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5.xml" ContentType="application/vnd.openxmlformats-officedocument.drawing+xml"/>
  <Override PartName="/xl/comments9.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omments10.xml" ContentType="application/vnd.openxmlformats-officedocument.spreadsheetml.comments+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9" ContentType="application/binary"/>
  <Override PartName="/xl/commentsmeta10" ContentType="application/binary"/>
  <Override PartName="/xl/commentsmeta1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tur81743\Downloads\"/>
    </mc:Choice>
  </mc:AlternateContent>
  <xr:revisionPtr revIDLastSave="0" documentId="8_{1A704F2B-2028-48AB-A9B2-C08D5B520276}" xr6:coauthVersionLast="47" xr6:coauthVersionMax="47" xr10:uidLastSave="{00000000-0000-0000-0000-000000000000}"/>
  <bookViews>
    <workbookView xWindow="-120" yWindow="-120" windowWidth="29040" windowHeight="15720" xr2:uid="{00000000-000D-0000-FFFF-FFFF00000000}"/>
  </bookViews>
  <sheets>
    <sheet name="Cover" sheetId="2" r:id="rId1"/>
    <sheet name="Summary" sheetId="3" r:id="rId2"/>
    <sheet name="Model Output" sheetId="4" r:id="rId3"/>
    <sheet name="Football Field" sheetId="5" r:id="rId4"/>
    <sheet name="Integrity" sheetId="6" r:id="rId5"/>
    <sheet name="Revenue Build" sheetId="7" r:id="rId6"/>
    <sheet name="Model" sheetId="8" r:id="rId7"/>
    <sheet name="Segment Analysis" sheetId="9" r:id="rId8"/>
    <sheet name="Drivers" sheetId="10" r:id="rId9"/>
    <sheet name="_CIQHiddenCacheSheet" sheetId="20" state="veryHidden" r:id="rId10"/>
    <sheet name="Comparables" sheetId="11" r:id="rId11"/>
    <sheet name="CIQ ID Locater" sheetId="12" r:id="rId12"/>
    <sheet name="WACC" sheetId="13" r:id="rId13"/>
    <sheet name="Valuation" sheetId="14" r:id="rId14"/>
    <sheet name="Multiples Data" sheetId="15" r:id="rId15"/>
    <sheet name="Charts" sheetId="16" r:id="rId16"/>
    <sheet name="Benchmark" sheetId="17" r:id="rId17"/>
    <sheet name="Pre-Earnings" sheetId="18" r:id="rId18"/>
    <sheet name="Post-Earnings" sheetId="19" r:id="rId19"/>
  </sheets>
  <externalReferences>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1_0_Table2_">[1]MERGER!#REF!</definedName>
    <definedName name="__FDS_HYPERLINK_TOGGLE_STATE__">"ON"</definedName>
    <definedName name="_1_0_Table2_">[1]MERGER!#REF!</definedName>
    <definedName name="_2_0_Table2_">[1]MERGER!#REF!</definedName>
    <definedName name="_3_0_Table2_">[1]MERGER!#REF!</definedName>
    <definedName name="_4_0_Table2_">[1]MERGER!#REF!</definedName>
    <definedName name="_5_0_Table2_">[1]MERGER!#REF!</definedName>
    <definedName name="_9_0_Table2_">[1]MERGER!#REF!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bdm.001de5d049b6489bbc2025ad50c87030.edm">Model!$1:$1048576</definedName>
    <definedName name="_bdm.146e958bbea04416b86a4d5943392c04.edm" localSheetId="6">Model!$M$100</definedName>
    <definedName name="_bdm.1ff456f35144482ea0525e6d75d0206f.edm">Integrity!$1:$1048576</definedName>
    <definedName name="_bdm.a65ed6e2cd6142fea39714a1a8762f97.edm">Integrity!$1:$1048576</definedName>
    <definedName name="_bdm.bf5a9ed53fe44c598e3cfb84ac34b21f.edm" localSheetId="4">Integrity!$F$37</definedName>
    <definedName name="_bdm.dca432f6461240c98baf2847c1b05465.edm">Integrity!$1:$1048576</definedName>
    <definedName name="_Fill">#REF!</definedName>
    <definedName name="_Key1">#REF!</definedName>
    <definedName name="_Order1">255</definedName>
    <definedName name="_Order2">255</definedName>
    <definedName name="_Sort">#REF!</definedName>
    <definedName name="_Table1_In1">[2]merger!#REF!</definedName>
    <definedName name="_Table1_Out">[2]merger!#REF!</definedName>
    <definedName name="_Table2_In1">[2]merger!#REF!</definedName>
    <definedName name="_Table2_Out">[2]merger!#REF!</definedName>
    <definedName name="_Toc209821136" localSheetId="0">Cover!$F$33</definedName>
    <definedName name="a">{"summary1",#N/A,TRUE,"Comps";"summary2",#N/A,TRUE,"Comps";"summary3",#N/A,TRUE,"Comps"}</definedName>
    <definedName name="aaaaaaaa">{"summary1",#N/A,TRUE,"Comps";"summary2",#N/A,TRUE,"Comps";"summary3",#N/A,TRUE,"Comps"}</definedName>
    <definedName name="aaaaaaaaaaa">{TRUE,TRUE,-1.25,-15.5,604.5,369,FALSE,FALSE,TRUE,TRUE,0,1,#N/A,41,#N/A,20.5555555555556,27.0714285714286,1,FALSE,FALSE,3,TRUE,1,FALSE,80,"Swvu.summary2.","ACwvu.summary2.",#N/A,FALSE,FALSE,0.5,0.5,0.5,0.5,2,"&amp;F","&amp;A&amp;RPage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adsfsadfas">{"multiple",#N/A,FALSE,"client (2)";"margins",#N/A,FALSE,"client (2)";"data",#N/A,FALSE,"client (2)";"multiple",#N/A,FALSE,"client";"margins",#N/A,FALSE,"client";"data",#N/A,FALSE,"client"}</definedName>
    <definedName name="adsfsdfe">{"Page1",#N/A,FALSE,"CompCo";"Page2",#N/A,FALSE,"CompCo"}</definedName>
    <definedName name="aefae">{"inputs raw data",#N/A,TRUE,"INPUT"}</definedName>
    <definedName name="aefe">{"cap_structure",#N/A,FALSE,"Graph-Mkt Cap";"price",#N/A,FALSE,"Graph-Price";"ebit",#N/A,FALSE,"Graph-EBITDA";"ebitda",#N/A,FALSE,"Graph-EBITDA"}</definedName>
    <definedName name="aefes">{TRUE,TRUE,-1.25,-15.5,604.5,369,FALSE,FALSE,TRUE,TRUE,0,1,83,1,38,4,5,4,TRUE,TRUE,3,TRUE,1,TRUE,75,"Swvu.inputs._.raw._.data.","ACwvu.inputs._.raw._.data.",#N/A,FALSE,FALSE,0.5,0.5,0.5,0.5,2,"&amp;F","&amp;A&amp;RPage &amp;P",FALSE,FALSE,FALSE,FALSE,1,60,#N/A,#N/A,"=R1C61:R53C89","=C1:C5",#N/A,#N/A,FALSE,FALSE,FALSE,1,600,600,FALSE,FALSE,TRUE,TRUE,TRUE}</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sdfasdfas">{"cap_structure",#N/A,FALSE,"Graph-Mkt Cap";"price",#N/A,FALSE,"Graph-Price";"ebit",#N/A,FALSE,"Graph-EBITDA";"ebitda",#N/A,FALSE,"Graph-EBITDA"}</definedName>
    <definedName name="asdfsdfasdf">{"Page1",#N/A,FALSE,"CompCo";"Page2",#N/A,FALSE,"CompCo"}</definedName>
    <definedName name="augpto">[3]Vacation!$M$56</definedName>
    <definedName name="avg_Health_and_Welfare">[4]PBCFringe!$Q$22</definedName>
    <definedName name="awefaw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awefweawe">{"Page1",#N/A,FALSE,"CompCo";"Page2",#N/A,FALSE,"CompCo"}</definedName>
    <definedName name="b">{"Page1",#N/A,FALSE,"CompCo";"Page2",#N/A,FALSE,"CompCo"}</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 localSheetId="11">Cover!$F$22</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hangeRange">[6]!ChangeRange</definedName>
    <definedName name="CIQWBGuid" localSheetId="11">"d7d956a9-85b8-4e89-a737-f5bc9d3e451f"</definedName>
    <definedName name="CIQWBGuid" hidden="1">"097fb167-a1c4-4e8b-ad73-7ee1438020e4"</definedName>
    <definedName name="CIQWBInfo" hidden="1">"{ ""CIQVersion"":""9.51.3510.3078"" }"</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 localSheetId="11">'[7]Multiples Data'!$C$14:$H$26</definedName>
    <definedName name="Company_Cyclical_Multiples_Data">'Multiples Data'!$C$14:$H$26</definedName>
    <definedName name="Company_Name" localSheetId="11">Cover!$F$19</definedName>
    <definedName name="Company_Name">Cover!$F$19</definedName>
    <definedName name="Company_Rev_Methodology" localSheetId="11">'[7]Revenue Build'!$C$7</definedName>
    <definedName name="Company_Rev_Methodology">'Revenue Build'!$C$7</definedName>
    <definedName name="ContentsHelp">[6]!ContentsHelp</definedName>
    <definedName name="copy">{#N/A,#N/A,FALSE,"Title Page";#N/A,#N/A,FALSE,"Conclusions";#N/A,#N/A,FALSE,"Assum.";#N/A,#N/A,FALSE,"Sun  DCF-WC-Dep";#N/A,#N/A,FALSE,"MarketValue";#N/A,#N/A,FALSE,"BalSheet";#N/A,#N/A,FALSE,"WACC";#N/A,#N/A,FALSE,"PC+ Info.";#N/A,#N/A,FALSE,"PC+Info_2"}</definedName>
    <definedName name="Cost_of_Debt" localSheetId="11">WACC!$G$17</definedName>
    <definedName name="Cost_of_Debt">WACC!$G$17</definedName>
    <definedName name="Cost_of_Equity" localSheetId="11">WACC!$G$25</definedName>
    <definedName name="Cost_of_Equity">WACC!$G$25</definedName>
    <definedName name="Cost_of_Preferred" localSheetId="11">WACC!$G$10</definedName>
    <definedName name="Cost_of_Preferred">WACC!$G$10</definedName>
    <definedName name="CreateTable">[6]!CreateTable</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 localSheetId="11">Cover!$F$27</definedName>
    <definedName name="Current_Date">Cover!$F$27</definedName>
    <definedName name="Current_Salary">'[8]Planning Worksheet'!$C:$C</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 localSheetId="11">Valuation!$G$213</definedName>
    <definedName name="Cycle_Period_Toggle">Valuation!$G$213</definedName>
    <definedName name="Cycle_Toggle" localSheetId="11">Valuation!$G$212</definedName>
    <definedName name="Cycle_Toggle">Valuation!$G$212</definedName>
    <definedName name="Cyclical_LTM_NTM_Toggle" localSheetId="11">Valuation!$G$214</definedName>
    <definedName name="Cyclical_LTM_NTM_Toggle">Valuation!$G$214</definedName>
    <definedName name="Cyclical_Peer_Group_Toggle">Valuation!$G$215</definedName>
    <definedName name="d">{TRUE,TRUE,-1.25,-15.5,604.5,369,FALSE,FALSE,TRUE,TRUE,0,1,#N/A,1,#N/A,20.5555555555556,28.9285714285714,1,FALSE,FALSE,3,TRUE,1,FALSE,80,"Swvu.summary1.","ACwvu.summary1.",#N/A,FALSE,FALSE,0.5,0.5,0.5,0.5,2,"&amp;F","&amp;L&amp;D&amp;C&amp;A&amp;RPage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ata" localSheetId="11">Model!$C$25:$AK$159</definedName>
    <definedName name="Data">Model!$C$25:$AK$159</definedName>
    <definedName name="dd">{"Opsys",#N/A,FALSE,"NPV_OPsys";"NT",#N/A,FALSE,"NPV_NT";"DevP",#N/A,FALSE,"NPV_DevPdt";"Office",#N/A,FALSE,"NPV_Office"}</definedName>
    <definedName name="dddddddddddd">{TRUE,TRUE,-1.25,-15.5,604.5,369,FALSE,FALSE,TRUE,TRUE,0,1,83,1,38,4,5,4,TRUE,TRUE,3,TRUE,1,TRUE,75,"Swvu.inputs._.raw._.data.","ACwvu.inputs._.raw._.data.",#N/A,FALSE,FALSE,0.5,0.5,0.5,0.5,2,"&amp;F","&amp;A&amp;RPage &amp;P",FALSE,FALSE,FALSE,FALSE,1,60,#N/A,#N/A,"=R1C61:R53C89","=C1:C5",#N/A,#N/A,FALSE,FALSE,FALSE,1,600,600,FALSE,FALSE,TRUE,TRUE,TRUE}</definedName>
    <definedName name="decpto">[3]Vacation!$Q$56</definedName>
    <definedName name="del">{#N/A,#N/A,FALSE,"Cov";#N/A,#N/A,FALSE,"sum";#N/A,#N/A,FALSE,"baladj";#N/A,#N/A,FALSE,"bs";#N/A,#N/A,FALSE,"is";#N/A,#N/A,FALSE,"pis";#N/A,#N/A,FALSE,"pis";#N/A,#N/A,FALSE,"cf";#N/A,#N/A,FALSE,"balhist";#N/A,#N/A,FALSE,"wc";#N/A,#N/A,FALSE,"ltd";#N/A,#N/A,FALSE,"cover";#N/A,#N/A,FALSE,"fa";#N/A,#N/A,FALSE,"tax";#N/A,#N/A,FALSE,"irr";#N/A,#N/A,FALSE,"in";#N/A,#N/A,FALSE,"DCF Cov";#N/A,#N/A,FALSE,"dcf"}</definedName>
    <definedName name="dele">{#N/A,#N/A,FALSE,"Cov";#N/A,#N/A,FALSE,"sum";#N/A,#N/A,FALSE,"baladj";#N/A,#N/A,FALSE,"bs";#N/A,#N/A,FALSE,"is";#N/A,#N/A,FALSE,"pis";#N/A,#N/A,FALSE,"cf";#N/A,#N/A,FALSE,"balhist";#N/A,#N/A,FALSE,"wc";#N/A,#N/A,FALSE,"ltd";#N/A,#N/A,FALSE,"cover";#N/A,#N/A,FALSE,"fa";#N/A,#N/A,FALSE,"tax";#N/A,#N/A,FALSE,"irr";#N/A,#N/A,FALSE,"in"}</definedName>
    <definedName name="delete">{#N/A,#N/A,FALSE,"DCF Cov";#N/A,#N/A,FALSE,"dcf"}</definedName>
    <definedName name="DeleteRange">[6]!DeleteRange</definedName>
    <definedName name="DeleteTable">[6]!DeleteTable</definedName>
    <definedName name="Denominator">[5]data!$A$6</definedName>
    <definedName name="df09salary">[3]Salaries!$G$26</definedName>
    <definedName name="df10salary">[3]Salaries!$K$26</definedName>
    <definedName name="dff">[9]Salaries!$A$26</definedName>
    <definedName name="dfffffffff">{TRUE,TRUE,-1.25,-15.5,604.5,369,FALSE,FALSE,TRUE,TRUE,0,1,#N/A,91,#N/A,20.5555555555556,24.8571428571429,1,FALSE,FALSE,3,TRUE,1,FALSE,80,"Swvu.summary3.","ACwvu.summary3.",#N/A,FALSE,FALSE,0.5,0.5,0.5,0.5,2,"&amp;F","&amp;A&amp;RPage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 localSheetId="11">Cover!$F$35</definedName>
    <definedName name="Diluted_Shares">Cover!$F$35</definedName>
    <definedName name="Direct_Salary">'[10]Pay Roll &amp; Taxes'!$R$66</definedName>
    <definedName name="Discount_Rate" localSheetId="11">WACC!$O$13</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afee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eafeas">{"Page1",#N/A,FALSE,"CompCo";"Page2",#N/A,FALSE,"CompCo"}</definedName>
    <definedName name="eeeeeqq">{"data",#N/A,FALSE,"client (3)";"margins",#N/A,FALSE,"client (3)";"multiple",#N/A,FALSE,"client (3)"}</definedName>
    <definedName name="efasef">{"multiple",#N/A,FALSE,"client (2)";"margins",#N/A,FALSE,"client (2)";"data",#N/A,FALSE,"client (2)";"multiple",#N/A,FALSE,"client";"margins",#N/A,FALSE,"client";"data",#N/A,FALSE,"client"}</definedName>
    <definedName name="efefawwa">{"multiple",#N/A,FALSE,"client";"margins",#N/A,FALSE,"client";"data",#N/A,FALSE,"client"}</definedName>
    <definedName name="End_Bal">'[11]Loan Amortization Schedule'!$I$18:$I$377</definedName>
    <definedName name="eqewq">{"multiple",#N/A,FALSE,"client (2)";"margins",#N/A,FALSE,"client (2)";"data",#N/A,FALSE,"client (2)";"multiple",#N/A,FALSE,"client";"margins",#N/A,FALSE,"client";"data",#N/A,FALSE,"client"}</definedName>
    <definedName name="ERP" localSheetId="11">WACC!$G$7</definedName>
    <definedName name="ERP">WACC!$G$7</definedName>
    <definedName name="erqer">{"cap_structure",#N/A,FALSE,"Graph-Mkt Cap";"price",#N/A,FALSE,"Graph-Price";"ebit",#N/A,FALSE,"Graph-EBITDA";"ebitda",#N/A,FALSE,"Graph-EBITDA"}</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ewaeeeee">{"Page1",#N/A,FALSE,"CompCo";"Page2",#N/A,FALSE,"CompCo"}</definedName>
    <definedName name="ewrwqer">{TRUE,TRUE,-1.25,-15.5,604.5,369,FALSE,FALSE,TRUE,TRUE,0,1,83,1,38,4,5,4,TRUE,TRUE,3,TRUE,1,TRUE,75,"Swvu.inputs._.raw._.data.","ACwvu.inputs._.raw._.data.",#N/A,FALSE,FALSE,0.5,0.5,0.5,0.5,2,"&amp;F","&amp;A&amp;RPage &amp;P",FALSE,FALSE,FALSE,FALSE,1,60,#N/A,#N/A,"=R1C61:R53C89","=C1:C5",#N/A,#N/A,FALSE,FALSE,FALSE,1,600,600,FALSE,FALSE,TRUE,TRUE,TRUE}</definedName>
    <definedName name="fdsfe">{"data",#N/A,FALSE,"client (3)";"margins",#N/A,FALSE,"client (3)";"multiple",#N/A,FALSE,"client (3)"}</definedName>
    <definedName name="febpto">[3]Vacation!$G$56</definedName>
    <definedName name="Fiscal_Periods" localSheetId="11">Model!$C$25:$AG$25</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ender">'[8]Planning Worksheet'!$P:$P</definedName>
    <definedName name="gfg">[9]Salaries!$G$17</definedName>
    <definedName name="Header_Row">ROW('[11]Loan Amortization Schedule'!$A$17:$IV$17)</definedName>
    <definedName name="Hun">Cover!$F$41</definedName>
    <definedName name="ID">[5]Key_Company!$C$2</definedName>
    <definedName name="Interest_Rate">'[11]Loan Amortization Schedule'!$D$6</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DIN">"AUTO"</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NNUAL_DIVIDEND">"c229"</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BROKER_REC">"c63"</definedName>
    <definedName name="IQ_AVG_BROKER_REC_NO">"c64"</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FAX">"c2100"</definedName>
    <definedName name="IQ_BOARD_MEMBER_OFFICE">"c2098"</definedName>
    <definedName name="IQ_BOARD_MEMBER_PHONE">"c2099"</definedName>
    <definedName name="IQ_BOARD_MEMBER_TITLE">"c97"</definedName>
    <definedName name="IQ_BONDRATING_FITCH">"c223"</definedName>
    <definedName name="IQ_BONDRATING_FITCH_DATE">"c241"</definedName>
    <definedName name="IQ_BONDRATING_SP">"c224"</definedName>
    <definedName name="IQ_BONDRATING_SP_DATE">"c242"</definedName>
    <definedName name="IQ_BOOK_VALUE">"c68"</definedName>
    <definedName name="IQ_BROK_COMISSION">"c98"</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INESS_DESCRIPTION">"c322"</definedName>
    <definedName name="IQ_BV_ACT_OR_EST_REUT">"c5471"</definedName>
    <definedName name="IQ_BV_ACT_OR_EST_THOM">"c5308"</definedName>
    <definedName name="IQ_BV_EST_REUT">"c5403"</definedName>
    <definedName name="IQ_BV_EST_THOM">"c5147"</definedName>
    <definedName name="IQ_BV_HIGH_EST_REUT">"c5405"</definedName>
    <definedName name="IQ_BV_HIGH_EST_THOM">"c5149"</definedName>
    <definedName name="IQ_BV_LOW_EST_REUT">"c5406"</definedName>
    <definedName name="IQ_BV_LOW_EST_THOM">"c5150"</definedName>
    <definedName name="IQ_BV_MEDIAN_EST_REUT">"c5404"</definedName>
    <definedName name="IQ_BV_MEDIAN_EST_THOM">"c5148"</definedName>
    <definedName name="IQ_BV_NUM_EST_REUT">"c5407"</definedName>
    <definedName name="IQ_BV_NUM_EST_THOM">"c5151"</definedName>
    <definedName name="IQ_BV_OVER_SHARES">"c1349"</definedName>
    <definedName name="IQ_BV_SHARE">"c100"</definedName>
    <definedName name="IQ_BV_STDDEV_EST_REUT">"c5408"</definedName>
    <definedName name="IQ_BV_STDDEV_EST_THOM">"c5152"</definedName>
    <definedName name="IQ_CAL_Q">"c101"</definedName>
    <definedName name="IQ_CAL_Y">"c102"</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OPER_ACT_OR_EST">"c4164"</definedName>
    <definedName name="IQ_CASH_SEGREG">"c123"</definedName>
    <definedName name="IQ_CASH_SHARE">"c1911"</definedName>
    <definedName name="IQ_CASH_ST">"c1355"</definedName>
    <definedName name="IQ_CASH_ST_INVEST">"c124"</definedName>
    <definedName name="IQ_CASH_TAXES">"c125"</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WORKING_CAPITAL">"c1909"</definedName>
    <definedName name="IQ_CHANGE_OTHER_NET_OPER_ASSETS_BR">"c3595"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ASSA_OUTSTANDING_BS_DATE">"c1971"</definedName>
    <definedName name="IQ_CLASSA_OUTSTANDING_FILING_DATE">"c1973"</definedName>
    <definedName name="IQ_CLASSB_OUTSTANDING_BS_DATE">"c1972"</definedName>
    <definedName name="IQ_CLASSB_OUTSTANDING_FILING_DATE">"c1974"</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TRACTS_OTHER_COMMODITIES_EQUITIES._FDIC">"c6522"</definedName>
    <definedName name="IQ_CONV_RATE">"c2192"</definedName>
    <definedName name="IQ_CONVERT_DEBT">"c224"</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FEE">"c231"</definedName>
    <definedName name="IQ_CREDIT_CARD_FEE_BNK">"c231"</definedName>
    <definedName name="IQ_CREDIT_CARD_FEE_FIN">"c1583"</definedName>
    <definedName name="IQ_CREDIT_LOSS_CF">"c232"</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FF_LASTCLOSE_TARGET_PRICE">"c1854"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"c2106"</definedName>
    <definedName name="IQ_DIV_RECORD_DATE">"c2105"</definedName>
    <definedName name="IQ_DIV_SHARE">"c330"</definedName>
    <definedName name="IQ_DIVEST_CF">"c331"</definedName>
    <definedName name="IQ_DIVID_SHARE">"c1366"</definedName>
    <definedName name="IQ_DIVIDEND_YIELD">"c332"</definedName>
    <definedName name="IQ_DNTM" hidden="1">700000</definedName>
    <definedName name="IQ_DO">"c333"</definedName>
    <definedName name="IQ_DO_ASSETS_CURRENT">"c334"</definedName>
    <definedName name="IQ_DO_ASSETS_LT">"c335"</definedName>
    <definedName name="IQ_DO_CF">"c336"</definedName>
    <definedName name="IQ_DPAC">"c2801"</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"c1649"</definedName>
    <definedName name="IQ_EBIT">"c352"</definedName>
    <definedName name="IQ_EBIT_10K">"IQ_EBIT_10K"</definedName>
    <definedName name="IQ_EBIT_10Q">"IQ_EBIT_10Q"</definedName>
    <definedName name="IQ_EBIT_10Q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"c157"</definedName>
    <definedName name="IQ_EBIT_GROWTH_2">"c161"</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"IQ_EBITDA_10K"</definedName>
    <definedName name="IQ_EBITDA_10Q">"IQ_EBITDA_10Q"</definedName>
    <definedName name="IQ_EBITDA_10Q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"c369"</definedName>
    <definedName name="IQ_EBITDA_GROWTH_1">"c156"</definedName>
    <definedName name="IQ_EBITDA_GROWTH_2">"c160"</definedName>
    <definedName name="IQ_EBITDA_HIGH_EST">"c370"</definedName>
    <definedName name="IQ_EBITDA_INT">"c373"</definedName>
    <definedName name="IQ_EBITDA_LOW_EST">"c371"</definedName>
    <definedName name="IQ_EBITDA_MARGIN">"c372"</definedName>
    <definedName name="IQ_EBITDA_NO_EST">"c267"</definedName>
    <definedName name="IQ_EBITDA_NUM_EST">"c374"</definedName>
    <definedName name="IQ_EBITDA_OVER_TOTAL_IE">"c1371"</definedName>
    <definedName name="IQ_EBITDA_STDDEV_EST">"c375"</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10">"c6810"</definedName>
    <definedName name="IQ_ECO_METRIC_6811">"c6811"</definedName>
    <definedName name="IQ_ECO_METRIC_6812">"c6812"</definedName>
    <definedName name="IQ_ECO_METRIC_6813">"c6813"</definedName>
    <definedName name="IQ_ECO_METRIC_6814">"c6814"</definedName>
    <definedName name="IQ_ECO_METRIC_6815">"c6815"</definedName>
    <definedName name="IQ_ECO_METRIC_6816">"c6816"</definedName>
    <definedName name="IQ_ECO_METRIC_6817">"c6817"</definedName>
    <definedName name="IQ_ECO_METRIC_6818">"c6818"</definedName>
    <definedName name="IQ_ECO_METRIC_6819">"c6819"</definedName>
    <definedName name="IQ_ECO_METRIC_6820">"c6820"</definedName>
    <definedName name="IQ_ECO_METRIC_6821">"c6821"</definedName>
    <definedName name="IQ_ECO_METRIC_6822">"c6822"</definedName>
    <definedName name="IQ_ECO_METRIC_6823">"c6823"</definedName>
    <definedName name="IQ_ECO_METRIC_6824">"c6824"</definedName>
    <definedName name="IQ_ECO_METRIC_6825">"c6825"</definedName>
    <definedName name="IQ_ECO_METRIC_6825_UNUSED_UNUSED_UNUSED">"c6825"</definedName>
    <definedName name="IQ_ECO_METRIC_6826">"c6826"</definedName>
    <definedName name="IQ_ECO_METRIC_6827">"c6827"</definedName>
    <definedName name="IQ_ECO_METRIC_6828">"c6828"</definedName>
    <definedName name="IQ_ECO_METRIC_6829">"c6829"</definedName>
    <definedName name="IQ_ECO_METRIC_6830">"c6830"</definedName>
    <definedName name="IQ_ECO_METRIC_6831">"c6831"</definedName>
    <definedName name="IQ_ECO_METRIC_6832">"c6832"</definedName>
    <definedName name="IQ_ECO_METRIC_6833">"c6833"</definedName>
    <definedName name="IQ_ECO_METRIC_6834">"c6834"</definedName>
    <definedName name="IQ_ECO_METRIC_6835">"c6835"</definedName>
    <definedName name="IQ_ECO_METRIC_6836">"c6836"</definedName>
    <definedName name="IQ_ECO_METRIC_6837">"c6837"</definedName>
    <definedName name="IQ_ECO_METRIC_6838">"c6838"</definedName>
    <definedName name="IQ_ECO_METRIC_6839">"c6839"</definedName>
    <definedName name="IQ_ECO_METRIC_6839_UNUSED_UNUSED_UNUSED">"c6839"</definedName>
    <definedName name="IQ_ECO_METRIC_6840">"c6840"</definedName>
    <definedName name="IQ_ECO_METRIC_6841">"c6841"</definedName>
    <definedName name="IQ_ECO_METRIC_6842">"c6842"</definedName>
    <definedName name="IQ_ECO_METRIC_6843">"c6843"</definedName>
    <definedName name="IQ_ECO_METRIC_6844">"c6844"</definedName>
    <definedName name="IQ_ECO_METRIC_6845">"c6845"</definedName>
    <definedName name="IQ_ECO_METRIC_6846">"c6846"</definedName>
    <definedName name="IQ_ECO_METRIC_6847">"c6847"</definedName>
    <definedName name="IQ_ECO_METRIC_6848">"c6848"</definedName>
    <definedName name="IQ_ECO_METRIC_6849">"c6849"</definedName>
    <definedName name="IQ_ECO_METRIC_6850">"c6850"</definedName>
    <definedName name="IQ_ECO_METRIC_6851">"c6851"</definedName>
    <definedName name="IQ_ECO_METRIC_6852">"c6852"</definedName>
    <definedName name="IQ_ECO_METRIC_6853">"c6853"</definedName>
    <definedName name="IQ_ECO_METRIC_6854">"c6854"</definedName>
    <definedName name="IQ_ECO_METRIC_6855">"c6855"</definedName>
    <definedName name="IQ_ECO_METRIC_6856">"c6856"</definedName>
    <definedName name="IQ_ECO_METRIC_6857">"c6857"</definedName>
    <definedName name="IQ_ECO_METRIC_6858">"c6858"</definedName>
    <definedName name="IQ_ECO_METRIC_6859">"c6859"</definedName>
    <definedName name="IQ_ECO_METRIC_6860">"c6860"</definedName>
    <definedName name="IQ_ECO_METRIC_6861">"c6861"</definedName>
    <definedName name="IQ_ECO_METRIC_6862">"c6862"</definedName>
    <definedName name="IQ_ECO_METRIC_6863">"c6863"</definedName>
    <definedName name="IQ_ECO_METRIC_6864">"c6864"</definedName>
    <definedName name="IQ_ECO_METRIC_6865">"c6865"</definedName>
    <definedName name="IQ_ECO_METRIC_6866">"c6866"</definedName>
    <definedName name="IQ_ECO_METRIC_6867">"c6867"</definedName>
    <definedName name="IQ_ECO_METRIC_6868">"c6868"</definedName>
    <definedName name="IQ_ECO_METRIC_6869">"c6869"</definedName>
    <definedName name="IQ_ECO_METRIC_6870">"c6870"</definedName>
    <definedName name="IQ_ECO_METRIC_6871">"c6871"</definedName>
    <definedName name="IQ_ECO_METRIC_6872">"c6872"</definedName>
    <definedName name="IQ_ECO_METRIC_6873">"c6873"</definedName>
    <definedName name="IQ_ECO_METRIC_6874">"c6874"</definedName>
    <definedName name="IQ_ECO_METRIC_6875">"c6875"</definedName>
    <definedName name="IQ_ECO_METRIC_6876">"c6876"</definedName>
    <definedName name="IQ_ECO_METRIC_6877">"c6877"</definedName>
    <definedName name="IQ_ECO_METRIC_6878">"c6878"</definedName>
    <definedName name="IQ_ECO_METRIC_6879">"c6879"</definedName>
    <definedName name="IQ_ECO_METRIC_6880">"c6880"</definedName>
    <definedName name="IQ_ECO_METRIC_6881">"c6881"</definedName>
    <definedName name="IQ_ECO_METRIC_6882">"c6882"</definedName>
    <definedName name="IQ_ECO_METRIC_6883">"c6883"</definedName>
    <definedName name="IQ_ECO_METRIC_6884">"c6884"</definedName>
    <definedName name="IQ_ECO_METRIC_6885">"c6885"</definedName>
    <definedName name="IQ_ECO_METRIC_6886">"c6886"</definedName>
    <definedName name="IQ_ECO_METRIC_6887">"c6887"</definedName>
    <definedName name="IQ_ECO_METRIC_6888">"c6888"</definedName>
    <definedName name="IQ_ECO_METRIC_6889">"c6889"</definedName>
    <definedName name="IQ_ECO_METRIC_6890">"c6890"</definedName>
    <definedName name="IQ_ECO_METRIC_6891">"c6891"</definedName>
    <definedName name="IQ_ECO_METRIC_6892">"c6892"</definedName>
    <definedName name="IQ_ECO_METRIC_6893">"c6893"</definedName>
    <definedName name="IQ_ECO_METRIC_6894">"c6894"</definedName>
    <definedName name="IQ_ECO_METRIC_6895">"c6895"</definedName>
    <definedName name="IQ_ECO_METRIC_6896">"c6896"</definedName>
    <definedName name="IQ_ECO_METRIC_6896_UNUSED_UNUSED_UNUSED">"c6896"</definedName>
    <definedName name="IQ_ECO_METRIC_6897">"c6897"</definedName>
    <definedName name="IQ_ECO_METRIC_6897_UNUSED_UNUSED_UNUSED">"c6897"</definedName>
    <definedName name="IQ_ECO_METRIC_6899">"c6899"</definedName>
    <definedName name="IQ_ECO_METRIC_6900">"c6900"</definedName>
    <definedName name="IQ_ECO_METRIC_6901">"c6901"</definedName>
    <definedName name="IQ_ECO_METRIC_6902">"c6902"</definedName>
    <definedName name="IQ_ECO_METRIC_6903">"c6903"</definedName>
    <definedName name="IQ_ECO_METRIC_6904">"c6904"</definedName>
    <definedName name="IQ_ECO_METRIC_6905">"c6905"</definedName>
    <definedName name="IQ_ECO_METRIC_6906">"c6906"</definedName>
    <definedName name="IQ_ECO_METRIC_6907">"c6907"</definedName>
    <definedName name="IQ_ECO_METRIC_6908">"c6908"</definedName>
    <definedName name="IQ_ECO_METRIC_6909">"c6909"</definedName>
    <definedName name="IQ_ECO_METRIC_6910">"c6910"</definedName>
    <definedName name="IQ_ECO_METRIC_6911">"c6911"</definedName>
    <definedName name="IQ_ECO_METRIC_6912">"c6912"</definedName>
    <definedName name="IQ_ECO_METRIC_6913">"c6913"</definedName>
    <definedName name="IQ_ECO_METRIC_6914">"c6914"</definedName>
    <definedName name="IQ_ECO_METRIC_6915">"c6915"</definedName>
    <definedName name="IQ_ECO_METRIC_6916">"c6916"</definedName>
    <definedName name="IQ_ECO_METRIC_6917">"c6917"</definedName>
    <definedName name="IQ_ECO_METRIC_6918">"c6918"</definedName>
    <definedName name="IQ_ECO_METRIC_6919">"c6919"</definedName>
    <definedName name="IQ_ECO_METRIC_6920">"c6920"</definedName>
    <definedName name="IQ_ECO_METRIC_6921">"c6921"</definedName>
    <definedName name="IQ_ECO_METRIC_6922">"c6922"</definedName>
    <definedName name="IQ_ECO_METRIC_6923">"c6923"</definedName>
    <definedName name="IQ_ECO_METRIC_6924">"c6924"</definedName>
    <definedName name="IQ_ECO_METRIC_6925">"c6925"</definedName>
    <definedName name="IQ_ECO_METRIC_6926">"c6926"</definedName>
    <definedName name="IQ_ECO_METRIC_6928">"c6928"</definedName>
    <definedName name="IQ_ECO_METRIC_6929">"c6929"</definedName>
    <definedName name="IQ_ECO_METRIC_6930">"c6930"</definedName>
    <definedName name="IQ_ECO_METRIC_6931">"c6931"</definedName>
    <definedName name="IQ_ECO_METRIC_6932">"c6932"</definedName>
    <definedName name="IQ_ECO_METRIC_6933">"c6933"</definedName>
    <definedName name="IQ_ECO_METRIC_6934">"c6934"</definedName>
    <definedName name="IQ_ECO_METRIC_6935">"c6935"</definedName>
    <definedName name="IQ_ECO_METRIC_6936">"c6936"</definedName>
    <definedName name="IQ_ECO_METRIC_6937">"c6937"</definedName>
    <definedName name="IQ_ECO_METRIC_6938">"c6938"</definedName>
    <definedName name="IQ_ECO_METRIC_6939">"c6939"</definedName>
    <definedName name="IQ_ECO_METRIC_6940">"c6940"</definedName>
    <definedName name="IQ_ECO_METRIC_6941">"c6941"</definedName>
    <definedName name="IQ_ECO_METRIC_6942">"c6942"</definedName>
    <definedName name="IQ_ECO_METRIC_6943">"c6943"</definedName>
    <definedName name="IQ_ECO_METRIC_6944">"c6944"</definedName>
    <definedName name="IQ_ECO_METRIC_6945">"c6945"</definedName>
    <definedName name="IQ_ECO_METRIC_6946">"c6946"</definedName>
    <definedName name="IQ_ECO_METRIC_6947">"c6947"</definedName>
    <definedName name="IQ_ECO_METRIC_6948">"c6948"</definedName>
    <definedName name="IQ_ECO_METRIC_6949">"c6949"</definedName>
    <definedName name="IQ_ECO_METRIC_6950">"c6950"</definedName>
    <definedName name="IQ_ECO_METRIC_6951">"c6951"</definedName>
    <definedName name="IQ_ECO_METRIC_6952">"c6952"</definedName>
    <definedName name="IQ_ECO_METRIC_6953">"c6953"</definedName>
    <definedName name="IQ_ECO_METRIC_6954">"c6954"</definedName>
    <definedName name="IQ_ECO_METRIC_6955">"c6955"</definedName>
    <definedName name="IQ_ECO_METRIC_6956">"c6956"</definedName>
    <definedName name="IQ_ECO_METRIC_6957">"c6957"</definedName>
    <definedName name="IQ_ECO_METRIC_6958">"c6958"</definedName>
    <definedName name="IQ_ECO_METRIC_6959">"c6959"</definedName>
    <definedName name="IQ_ECO_METRIC_6960">"c6960"</definedName>
    <definedName name="IQ_ECO_METRIC_6962">"c6962"</definedName>
    <definedName name="IQ_ECO_METRIC_6963">"c6963"</definedName>
    <definedName name="IQ_ECO_METRIC_6964">"c6964"</definedName>
    <definedName name="IQ_ECO_METRIC_6965">"c6965"</definedName>
    <definedName name="IQ_ECO_METRIC_6966">"c6966"</definedName>
    <definedName name="IQ_ECO_METRIC_6967">"c6967"</definedName>
    <definedName name="IQ_ECO_METRIC_6968">"c6968"</definedName>
    <definedName name="IQ_ECO_METRIC_6969">"c6969"</definedName>
    <definedName name="IQ_ECO_METRIC_6970">"c6970"</definedName>
    <definedName name="IQ_ECO_METRIC_6971">"c6971"</definedName>
    <definedName name="IQ_ECO_METRIC_6972">"c6972"</definedName>
    <definedName name="IQ_ECO_METRIC_6973">"c6973"</definedName>
    <definedName name="IQ_ECO_METRIC_6974">"c6974"</definedName>
    <definedName name="IQ_ECO_METRIC_6975">"c6975"</definedName>
    <definedName name="IQ_ECO_METRIC_6976">"c6976"</definedName>
    <definedName name="IQ_ECO_METRIC_6977">"c6977"</definedName>
    <definedName name="IQ_ECO_METRIC_6978">"c6978"</definedName>
    <definedName name="IQ_ECO_METRIC_6979">"c6979"</definedName>
    <definedName name="IQ_ECO_METRIC_6980">"c6980"</definedName>
    <definedName name="IQ_ECO_METRIC_6981">"c6981"</definedName>
    <definedName name="IQ_ECO_METRIC_6982">"c6982"</definedName>
    <definedName name="IQ_ECO_METRIC_6983">"c6983"</definedName>
    <definedName name="IQ_ECO_METRIC_6984">"c6984"</definedName>
    <definedName name="IQ_ECO_METRIC_6985">"c6985"</definedName>
    <definedName name="IQ_ECO_METRIC_6986">"c6986"</definedName>
    <definedName name="IQ_ECO_METRIC_6987">"c6987"</definedName>
    <definedName name="IQ_ECO_METRIC_6988">"c6988"</definedName>
    <definedName name="IQ_ECO_METRIC_6988_UNUSED_UNUSED_UNUSED">"c6988"</definedName>
    <definedName name="IQ_ECO_METRIC_6989">"c6989"</definedName>
    <definedName name="IQ_ECO_METRIC_6990">"c6990"</definedName>
    <definedName name="IQ_ECO_METRIC_6991">"c6991"</definedName>
    <definedName name="IQ_ECO_METRIC_6992">"c6992"</definedName>
    <definedName name="IQ_ECO_METRIC_6993">"c6993"</definedName>
    <definedName name="IQ_ECO_METRIC_6994">"c6994"</definedName>
    <definedName name="IQ_ECO_METRIC_6995">"c6995"</definedName>
    <definedName name="IQ_ECO_METRIC_6996">"c6996"</definedName>
    <definedName name="IQ_ECO_METRIC_6997">"c6997"</definedName>
    <definedName name="IQ_ECO_METRIC_6998">"c6998"</definedName>
    <definedName name="IQ_ECO_METRIC_7000">"c7000"</definedName>
    <definedName name="IQ_ECO_METRIC_7001">"c7001"</definedName>
    <definedName name="IQ_ECO_METRIC_7002">"c7002"</definedName>
    <definedName name="IQ_ECO_METRIC_7003">"c7003"</definedName>
    <definedName name="IQ_ECO_METRIC_7004">"c7004"</definedName>
    <definedName name="IQ_ECO_METRIC_7005">"c7005"</definedName>
    <definedName name="IQ_ECO_METRIC_7006">"c7006"</definedName>
    <definedName name="IQ_ECO_METRIC_7007">"c7007"</definedName>
    <definedName name="IQ_ECO_METRIC_7008">"c7008"</definedName>
    <definedName name="IQ_ECO_METRIC_7009">"c7009"</definedName>
    <definedName name="IQ_ECO_METRIC_7010">"c7010"</definedName>
    <definedName name="IQ_ECO_METRIC_7011">"c7011"</definedName>
    <definedName name="IQ_ECO_METRIC_7012">"c7012"</definedName>
    <definedName name="IQ_ECO_METRIC_7013">"c7013"</definedName>
    <definedName name="IQ_ECO_METRIC_7015">"c7015"</definedName>
    <definedName name="IQ_ECO_METRIC_7016">"c7016"</definedName>
    <definedName name="IQ_ECO_METRIC_7017">"c7017"</definedName>
    <definedName name="IQ_ECO_METRIC_7018">"c7018"</definedName>
    <definedName name="IQ_ECO_METRIC_7019">"c7019"</definedName>
    <definedName name="IQ_ECO_METRIC_7020">"c7020"</definedName>
    <definedName name="IQ_ECO_METRIC_7021">"c7021"</definedName>
    <definedName name="IQ_ECO_METRIC_7023">"c7023"</definedName>
    <definedName name="IQ_ECO_METRIC_7024">"c7024"</definedName>
    <definedName name="IQ_ECO_METRIC_7025">"c7025"</definedName>
    <definedName name="IQ_ECO_METRIC_7026">"c7026"</definedName>
    <definedName name="IQ_ECO_METRIC_7027">"c7027"</definedName>
    <definedName name="IQ_ECO_METRIC_7028">"c7028"</definedName>
    <definedName name="IQ_ECO_METRIC_7029">"c7029"</definedName>
    <definedName name="IQ_ECO_METRIC_7030">"c7030"</definedName>
    <definedName name="IQ_ECO_METRIC_7031">"c7031"</definedName>
    <definedName name="IQ_ECO_METRIC_7032">"c7032"</definedName>
    <definedName name="IQ_ECO_METRIC_7033">"c7033"</definedName>
    <definedName name="IQ_ECO_METRIC_7034">"c7034"</definedName>
    <definedName name="IQ_ECO_METRIC_7035">"c7035"</definedName>
    <definedName name="IQ_ECO_METRIC_7036">"c7036"</definedName>
    <definedName name="IQ_ECO_METRIC_7037">"c7037"</definedName>
    <definedName name="IQ_ECO_METRIC_7038">"c7038"</definedName>
    <definedName name="IQ_ECO_METRIC_7039">"c7039"</definedName>
    <definedName name="IQ_ECO_METRIC_7040">"c7040"</definedName>
    <definedName name="IQ_ECO_METRIC_7041">"c7041"</definedName>
    <definedName name="IQ_ECO_METRIC_7042">"c7042"</definedName>
    <definedName name="IQ_ECO_METRIC_7043">"c7043"</definedName>
    <definedName name="IQ_ECO_METRIC_7044">"c7044"</definedName>
    <definedName name="IQ_ECO_METRIC_7045">"c7045"</definedName>
    <definedName name="IQ_ECO_METRIC_7045_UNUSED_UNUSED_UNUSED">"c7045"</definedName>
    <definedName name="IQ_ECO_METRIC_7046">"c7046"</definedName>
    <definedName name="IQ_ECO_METRIC_7047">"c7047"</definedName>
    <definedName name="IQ_ECO_METRIC_7048">"c7048"</definedName>
    <definedName name="IQ_ECO_METRIC_7049">"c7049"</definedName>
    <definedName name="IQ_ECO_METRIC_7050">"c7050"</definedName>
    <definedName name="IQ_ECO_METRIC_7051">"c7051"</definedName>
    <definedName name="IQ_ECO_METRIC_7052">"c7052"</definedName>
    <definedName name="IQ_ECO_METRIC_7053">"c7053"</definedName>
    <definedName name="IQ_ECO_METRIC_7054">"c7054"</definedName>
    <definedName name="IQ_ECO_METRIC_7055">"c7055"</definedName>
    <definedName name="IQ_ECO_METRIC_7056">"c7056"</definedName>
    <definedName name="IQ_ECO_METRIC_7057">"c7057"</definedName>
    <definedName name="IQ_ECO_METRIC_7058">"c7058"</definedName>
    <definedName name="IQ_ECO_METRIC_7059">"c7059"</definedName>
    <definedName name="IQ_ECO_METRIC_7059_UNUSED_UNUSED_UNUSED">"c7059"</definedName>
    <definedName name="IQ_ECO_METRIC_7060">"c7060"</definedName>
    <definedName name="IQ_ECO_METRIC_7061">"c7061"</definedName>
    <definedName name="IQ_ECO_METRIC_7062">"c7062"</definedName>
    <definedName name="IQ_ECO_METRIC_7063">"c7063"</definedName>
    <definedName name="IQ_ECO_METRIC_7064">"c7064"</definedName>
    <definedName name="IQ_ECO_METRIC_7065">"c7065"</definedName>
    <definedName name="IQ_ECO_METRIC_7066">"c7066"</definedName>
    <definedName name="IQ_ECO_METRIC_7067">"c7067"</definedName>
    <definedName name="IQ_ECO_METRIC_7068">"c7068"</definedName>
    <definedName name="IQ_ECO_METRIC_7069">"c7069"</definedName>
    <definedName name="IQ_ECO_METRIC_7070">"c7070"</definedName>
    <definedName name="IQ_ECO_METRIC_7071">"c7071"</definedName>
    <definedName name="IQ_ECO_METRIC_7072">"c7072"</definedName>
    <definedName name="IQ_ECO_METRIC_7073">"c7073"</definedName>
    <definedName name="IQ_ECO_METRIC_7074">"c7074"</definedName>
    <definedName name="IQ_ECO_METRIC_7075">"c7075"</definedName>
    <definedName name="IQ_ECO_METRIC_7076">"c7076"</definedName>
    <definedName name="IQ_ECO_METRIC_7077">"c7077"</definedName>
    <definedName name="IQ_ECO_METRIC_7078">"c7078"</definedName>
    <definedName name="IQ_ECO_METRIC_7079">"c7079"</definedName>
    <definedName name="IQ_ECO_METRIC_7080">"c7080"</definedName>
    <definedName name="IQ_ECO_METRIC_7081">"c7081"</definedName>
    <definedName name="IQ_ECO_METRIC_7082">"c7082"</definedName>
    <definedName name="IQ_ECO_METRIC_7083">"c7083"</definedName>
    <definedName name="IQ_ECO_METRIC_7084">"c7084"</definedName>
    <definedName name="IQ_ECO_METRIC_7085">"c7085"</definedName>
    <definedName name="IQ_ECO_METRIC_7086">"c7086"</definedName>
    <definedName name="IQ_ECO_METRIC_7087">"c7087"</definedName>
    <definedName name="IQ_ECO_METRIC_7088">"c7088"</definedName>
    <definedName name="IQ_ECO_METRIC_7089">"c7089"</definedName>
    <definedName name="IQ_ECO_METRIC_7090">"c7090"</definedName>
    <definedName name="IQ_ECO_METRIC_7091">"c7091"</definedName>
    <definedName name="IQ_ECO_METRIC_7092">"c7092"</definedName>
    <definedName name="IQ_ECO_METRIC_7093">"c7093"</definedName>
    <definedName name="IQ_ECO_METRIC_7094">"c7094"</definedName>
    <definedName name="IQ_ECO_METRIC_7095">"c7095"</definedName>
    <definedName name="IQ_ECO_METRIC_7096">"c7096"</definedName>
    <definedName name="IQ_ECO_METRIC_7097">"c7097"</definedName>
    <definedName name="IQ_ECO_METRIC_7098">"c7098"</definedName>
    <definedName name="IQ_ECO_METRIC_7099">"c7099"</definedName>
    <definedName name="IQ_ECO_METRIC_7100">"c7100"</definedName>
    <definedName name="IQ_ECO_METRIC_7101">"c7101"</definedName>
    <definedName name="IQ_ECO_METRIC_7102">"c7102"</definedName>
    <definedName name="IQ_ECO_METRIC_7103">"c7103"</definedName>
    <definedName name="IQ_ECO_METRIC_7104">"c7104"</definedName>
    <definedName name="IQ_ECO_METRIC_7105">"c7105"</definedName>
    <definedName name="IQ_ECO_METRIC_7106">"c7106"</definedName>
    <definedName name="IQ_ECO_METRIC_7107">"c7107"</definedName>
    <definedName name="IQ_ECO_METRIC_7108">"c7108"</definedName>
    <definedName name="IQ_ECO_METRIC_7109">"c7109"</definedName>
    <definedName name="IQ_ECO_METRIC_7110">"c7110"</definedName>
    <definedName name="IQ_ECO_METRIC_7111">"c7111"</definedName>
    <definedName name="IQ_ECO_METRIC_7112">"c7112"</definedName>
    <definedName name="IQ_ECO_METRIC_7113">"c7113"</definedName>
    <definedName name="IQ_ECO_METRIC_7114">"c7114"</definedName>
    <definedName name="IQ_ECO_METRIC_7115">"c7115"</definedName>
    <definedName name="IQ_ECO_METRIC_7116">"c7116"</definedName>
    <definedName name="IQ_ECO_METRIC_7116_UNUSED_UNUSED_UNUSED">"c7116"</definedName>
    <definedName name="IQ_ECO_METRIC_7117">"c7117"</definedName>
    <definedName name="IQ_ECO_METRIC_7117_UNUSED_UNUSED_UNUSED">"c7117"</definedName>
    <definedName name="IQ_ECO_METRIC_7119">"c7119"</definedName>
    <definedName name="IQ_ECO_METRIC_7120">"c7120"</definedName>
    <definedName name="IQ_ECO_METRIC_7121">"c7121"</definedName>
    <definedName name="IQ_ECO_METRIC_7122">"c7122"</definedName>
    <definedName name="IQ_ECO_METRIC_7123">"c7123"</definedName>
    <definedName name="IQ_ECO_METRIC_7124">"c7124"</definedName>
    <definedName name="IQ_ECO_METRIC_7125">"c7125"</definedName>
    <definedName name="IQ_ECO_METRIC_7126">"c7126"</definedName>
    <definedName name="IQ_ECO_METRIC_7127">"c7127"</definedName>
    <definedName name="IQ_ECO_METRIC_7128">"c7128"</definedName>
    <definedName name="IQ_ECO_METRIC_7129">"c7129"</definedName>
    <definedName name="IQ_ECO_METRIC_7130">"c7130"</definedName>
    <definedName name="IQ_ECO_METRIC_7131">"c7131"</definedName>
    <definedName name="IQ_ECO_METRIC_7132">"c7132"</definedName>
    <definedName name="IQ_ECO_METRIC_7133">"c7133"</definedName>
    <definedName name="IQ_ECO_METRIC_7134">"c7134"</definedName>
    <definedName name="IQ_ECO_METRIC_7135">"c7135"</definedName>
    <definedName name="IQ_ECO_METRIC_7136">"c7136"</definedName>
    <definedName name="IQ_ECO_METRIC_7137">"c7137"</definedName>
    <definedName name="IQ_ECO_METRIC_7138">"c7138"</definedName>
    <definedName name="IQ_ECO_METRIC_7139">"c7139"</definedName>
    <definedName name="IQ_ECO_METRIC_7140">"c7140"</definedName>
    <definedName name="IQ_ECO_METRIC_7141">"c7141"</definedName>
    <definedName name="IQ_ECO_METRIC_7142">"c7142"</definedName>
    <definedName name="IQ_ECO_METRIC_7143">"c7143"</definedName>
    <definedName name="IQ_ECO_METRIC_7144">"c7144"</definedName>
    <definedName name="IQ_ECO_METRIC_7145">"c7145"</definedName>
    <definedName name="IQ_ECO_METRIC_7146">"c7146"</definedName>
    <definedName name="IQ_ECO_METRIC_7148">"c7148"</definedName>
    <definedName name="IQ_ECO_METRIC_7149">"c7149"</definedName>
    <definedName name="IQ_ECO_METRIC_7150">"c7150"</definedName>
    <definedName name="IQ_ECO_METRIC_7151">"c7151"</definedName>
    <definedName name="IQ_ECO_METRIC_7152">"c7152"</definedName>
    <definedName name="IQ_ECO_METRIC_7153">"c7153"</definedName>
    <definedName name="IQ_ECO_METRIC_7154">"c7154"</definedName>
    <definedName name="IQ_ECO_METRIC_7155">"c7155"</definedName>
    <definedName name="IQ_ECO_METRIC_7156">"c7156"</definedName>
    <definedName name="IQ_ECO_METRIC_7157">"c7157"</definedName>
    <definedName name="IQ_ECO_METRIC_7158">"c7158"</definedName>
    <definedName name="IQ_ECO_METRIC_7159">"c7159"</definedName>
    <definedName name="IQ_ECO_METRIC_7160">"c7160"</definedName>
    <definedName name="IQ_ECO_METRIC_7161">"c7161"</definedName>
    <definedName name="IQ_ECO_METRIC_7162">"c7162"</definedName>
    <definedName name="IQ_ECO_METRIC_7163">"c7163"</definedName>
    <definedName name="IQ_ECO_METRIC_7164">"c7164"</definedName>
    <definedName name="IQ_ECO_METRIC_7165">"c7165"</definedName>
    <definedName name="IQ_ECO_METRIC_7166">"c7166"</definedName>
    <definedName name="IQ_ECO_METRIC_7167">"c7167"</definedName>
    <definedName name="IQ_ECO_METRIC_7168">"c7168"</definedName>
    <definedName name="IQ_ECO_METRIC_7169">"c7169"</definedName>
    <definedName name="IQ_ECO_METRIC_7170">"c7170"</definedName>
    <definedName name="IQ_ECO_METRIC_7171">"c7171"</definedName>
    <definedName name="IQ_ECO_METRIC_7172">"c7172"</definedName>
    <definedName name="IQ_ECO_METRIC_7173">"c7173"</definedName>
    <definedName name="IQ_ECO_METRIC_7174">"c7174"</definedName>
    <definedName name="IQ_ECO_METRIC_7175">"c7175"</definedName>
    <definedName name="IQ_ECO_METRIC_7176">"c7176"</definedName>
    <definedName name="IQ_ECO_METRIC_7177">"c7177"</definedName>
    <definedName name="IQ_ECO_METRIC_7178">"c7178"</definedName>
    <definedName name="IQ_ECO_METRIC_7179">"c7179"</definedName>
    <definedName name="IQ_ECO_METRIC_7180">"c7180"</definedName>
    <definedName name="IQ_ECO_METRIC_7182">"c7182"</definedName>
    <definedName name="IQ_ECO_METRIC_7183">"c7183"</definedName>
    <definedName name="IQ_ECO_METRIC_7184">"c7184"</definedName>
    <definedName name="IQ_ECO_METRIC_7185">"c7185"</definedName>
    <definedName name="IQ_ECO_METRIC_7186">"c7186"</definedName>
    <definedName name="IQ_ECO_METRIC_7187">"c7187"</definedName>
    <definedName name="IQ_ECO_METRIC_7188">"c7188"</definedName>
    <definedName name="IQ_ECO_METRIC_7189">"c7189"</definedName>
    <definedName name="IQ_ECO_METRIC_7190">"c7190"</definedName>
    <definedName name="IQ_ECO_METRIC_7191">"c7191"</definedName>
    <definedName name="IQ_ECO_METRIC_7192">"c7192"</definedName>
    <definedName name="IQ_ECO_METRIC_7193">"c7193"</definedName>
    <definedName name="IQ_ECO_METRIC_7194">"c7194"</definedName>
    <definedName name="IQ_ECO_METRIC_7195">"c7195"</definedName>
    <definedName name="IQ_ECO_METRIC_7196">"c7196"</definedName>
    <definedName name="IQ_ECO_METRIC_7197">"c7197"</definedName>
    <definedName name="IQ_ECO_METRIC_7198">"c7198"</definedName>
    <definedName name="IQ_ECO_METRIC_7199">"c7199"</definedName>
    <definedName name="IQ_ECO_METRIC_7200">"c7200"</definedName>
    <definedName name="IQ_ECO_METRIC_7201">"c7201"</definedName>
    <definedName name="IQ_ECO_METRIC_7202">"c7202"</definedName>
    <definedName name="IQ_ECO_METRIC_7203">"c7203"</definedName>
    <definedName name="IQ_ECO_METRIC_7204">"c7204"</definedName>
    <definedName name="IQ_ECO_METRIC_7205">"c7205"</definedName>
    <definedName name="IQ_ECO_METRIC_7206">"c7206"</definedName>
    <definedName name="IQ_ECO_METRIC_7207">"c7207"</definedName>
    <definedName name="IQ_ECO_METRIC_7208">"c7208"</definedName>
    <definedName name="IQ_ECO_METRIC_7208_UNUSED_UNUSED_UNUSED">"c7208"</definedName>
    <definedName name="IQ_ECO_METRIC_7209">"c7209"</definedName>
    <definedName name="IQ_ECO_METRIC_7210">"c7210"</definedName>
    <definedName name="IQ_ECO_METRIC_7211">"c7211"</definedName>
    <definedName name="IQ_ECO_METRIC_7212">"c7212"</definedName>
    <definedName name="IQ_ECO_METRIC_7213">"c7213"</definedName>
    <definedName name="IQ_ECO_METRIC_7214">"c7214"</definedName>
    <definedName name="IQ_ECO_METRIC_7215">"c7215"</definedName>
    <definedName name="IQ_ECO_METRIC_7216">"c7216"</definedName>
    <definedName name="IQ_ECO_METRIC_7217">"c7217"</definedName>
    <definedName name="IQ_ECO_METRIC_7218">"c7218"</definedName>
    <definedName name="IQ_ECO_METRIC_7220">"c7220"</definedName>
    <definedName name="IQ_ECO_METRIC_7221">"c7221"</definedName>
    <definedName name="IQ_ECO_METRIC_7222">"c7222"</definedName>
    <definedName name="IQ_ECO_METRIC_7223">"c7223"</definedName>
    <definedName name="IQ_ECO_METRIC_7224">"c7224"</definedName>
    <definedName name="IQ_ECO_METRIC_7225">"c7225"</definedName>
    <definedName name="IQ_ECO_METRIC_7226">"c7226"</definedName>
    <definedName name="IQ_ECO_METRIC_7227">"c7227"</definedName>
    <definedName name="IQ_ECO_METRIC_7228">"c7228"</definedName>
    <definedName name="IQ_ECO_METRIC_7229">"c7229"</definedName>
    <definedName name="IQ_ECO_METRIC_7230">"c7230"</definedName>
    <definedName name="IQ_ECO_METRIC_7231">"c7231"</definedName>
    <definedName name="IQ_ECO_METRIC_7232">"c7232"</definedName>
    <definedName name="IQ_ECO_METRIC_7233">"c7233"</definedName>
    <definedName name="IQ_ECO_METRIC_7235">"c7235"</definedName>
    <definedName name="IQ_ECO_METRIC_7236">"c7236"</definedName>
    <definedName name="IQ_ECO_METRIC_7237">"c7237"</definedName>
    <definedName name="IQ_ECO_METRIC_7238">"c7238"</definedName>
    <definedName name="IQ_ECO_METRIC_7239">"c7239"</definedName>
    <definedName name="IQ_ECO_METRIC_7240">"c7240"</definedName>
    <definedName name="IQ_ECO_METRIC_7241">"c7241"</definedName>
    <definedName name="IQ_ECO_METRIC_7243">"c7243"</definedName>
    <definedName name="IQ_ECO_METRIC_7244">"c7244"</definedName>
    <definedName name="IQ_ECO_METRIC_7245">"c7245"</definedName>
    <definedName name="IQ_ECO_METRIC_7246">"c7246"</definedName>
    <definedName name="IQ_ECO_METRIC_7247">"c7247"</definedName>
    <definedName name="IQ_ECO_METRIC_7248">"c7248"</definedName>
    <definedName name="IQ_ECO_METRIC_7249">"c7249"</definedName>
    <definedName name="IQ_ECO_METRIC_7250">"c7250"</definedName>
    <definedName name="IQ_ECO_METRIC_7251">"c7251"</definedName>
    <definedName name="IQ_ECO_METRIC_7252">"c7252"</definedName>
    <definedName name="IQ_ECO_METRIC_7253">"c7253"</definedName>
    <definedName name="IQ_ECO_METRIC_7254">"c7254"</definedName>
    <definedName name="IQ_ECO_METRIC_7255">"c7255"</definedName>
    <definedName name="IQ_ECO_METRIC_7256">"c7256"</definedName>
    <definedName name="IQ_ECO_METRIC_7257">"c7257"</definedName>
    <definedName name="IQ_ECO_METRIC_7258">"c7258"</definedName>
    <definedName name="IQ_ECO_METRIC_7259">"c7259"</definedName>
    <definedName name="IQ_ECO_METRIC_7260">"c7260"</definedName>
    <definedName name="IQ_ECO_METRIC_7261">"c7261"</definedName>
    <definedName name="IQ_ECO_METRIC_7262">"c7262"</definedName>
    <definedName name="IQ_ECO_METRIC_7263">"c7263"</definedName>
    <definedName name="IQ_ECO_METRIC_7264">"c7264"</definedName>
    <definedName name="IQ_ECO_METRIC_7265">"c7265"</definedName>
    <definedName name="IQ_ECO_METRIC_7265_UNUSED_UNUSED_UNUSED">"c7265"</definedName>
    <definedName name="IQ_ECO_METRIC_7266">"c7266"</definedName>
    <definedName name="IQ_ECO_METRIC_7267">"c7267"</definedName>
    <definedName name="IQ_ECO_METRIC_7268">"c7268"</definedName>
    <definedName name="IQ_ECO_METRIC_7269">"c7269"</definedName>
    <definedName name="IQ_ECO_METRIC_7270">"c7270"</definedName>
    <definedName name="IQ_ECO_METRIC_7272">"c7272"</definedName>
    <definedName name="IQ_ECO_METRIC_7273">"c7273"</definedName>
    <definedName name="IQ_ECO_METRIC_7274">"c7274"</definedName>
    <definedName name="IQ_ECO_METRIC_7275">"c7275"</definedName>
    <definedName name="IQ_ECO_METRIC_7276">"c7276"</definedName>
    <definedName name="IQ_ECO_METRIC_7277">"c7277"</definedName>
    <definedName name="IQ_ECO_METRIC_7278">"c7278"</definedName>
    <definedName name="IQ_ECO_METRIC_7279">"c7279"</definedName>
    <definedName name="IQ_ECO_METRIC_7279_UNUSED_UNUSED_UNUSED">"c7279"</definedName>
    <definedName name="IQ_ECO_METRIC_7280">"c7280"</definedName>
    <definedName name="IQ_ECO_METRIC_7281">"c7281"</definedName>
    <definedName name="IQ_ECO_METRIC_7282">"c7282"</definedName>
    <definedName name="IQ_ECO_METRIC_7283">"c7283"</definedName>
    <definedName name="IQ_ECO_METRIC_7284">"c7284"</definedName>
    <definedName name="IQ_ECO_METRIC_7285">"c7285"</definedName>
    <definedName name="IQ_ECO_METRIC_7286">"c7286"</definedName>
    <definedName name="IQ_ECO_METRIC_7287">"c7287"</definedName>
    <definedName name="IQ_ECO_METRIC_7288">"c7288"</definedName>
    <definedName name="IQ_ECO_METRIC_7289">"c7289"</definedName>
    <definedName name="IQ_ECO_METRIC_7290">"c7290"</definedName>
    <definedName name="IQ_ECO_METRIC_7291">"c7291"</definedName>
    <definedName name="IQ_ECO_METRIC_7292">"c7292"</definedName>
    <definedName name="IQ_ECO_METRIC_7293">"c7293"</definedName>
    <definedName name="IQ_ECO_METRIC_7294">"c7294"</definedName>
    <definedName name="IQ_ECO_METRIC_7295">"c7295"</definedName>
    <definedName name="IQ_ECO_METRIC_7296">"c7296"</definedName>
    <definedName name="IQ_ECO_METRIC_7297">"c7297"</definedName>
    <definedName name="IQ_ECO_METRIC_7298">"c7298"</definedName>
    <definedName name="IQ_ECO_METRIC_7299">"c7299"</definedName>
    <definedName name="IQ_ECO_METRIC_7300">"c7300"</definedName>
    <definedName name="IQ_ECO_METRIC_7301">"c7301"</definedName>
    <definedName name="IQ_ECO_METRIC_7302">"c7302"</definedName>
    <definedName name="IQ_ECO_METRIC_7303">"c7303"</definedName>
    <definedName name="IQ_ECO_METRIC_7304">"c7304"</definedName>
    <definedName name="IQ_ECO_METRIC_7305">"c7305"</definedName>
    <definedName name="IQ_ECO_METRIC_7306">"c7306"</definedName>
    <definedName name="IQ_ECO_METRIC_7307">"c7307"</definedName>
    <definedName name="IQ_ECO_METRIC_7308">"c7308"</definedName>
    <definedName name="IQ_ECO_METRIC_7309">"c7309"</definedName>
    <definedName name="IQ_ECO_METRIC_7310">"c7310"</definedName>
    <definedName name="IQ_ECO_METRIC_7311">"c7311"</definedName>
    <definedName name="IQ_ECO_METRIC_7312">"c7312"</definedName>
    <definedName name="IQ_ECO_METRIC_7313">"c7313"</definedName>
    <definedName name="IQ_ECO_METRIC_7314">"c7314"</definedName>
    <definedName name="IQ_ECO_METRIC_7315">"c7315"</definedName>
    <definedName name="IQ_ECO_METRIC_7316">"c7316"</definedName>
    <definedName name="IQ_ECO_METRIC_7317">"c7317"</definedName>
    <definedName name="IQ_ECO_METRIC_7318">"c7318"</definedName>
    <definedName name="IQ_ECO_METRIC_7319">"c7319"</definedName>
    <definedName name="IQ_ECO_METRIC_7320">"c7320"</definedName>
    <definedName name="IQ_ECO_METRIC_7321">"c7321"</definedName>
    <definedName name="IQ_ECO_METRIC_7322">"c7322"</definedName>
    <definedName name="IQ_ECO_METRIC_7323">"c7323"</definedName>
    <definedName name="IQ_ECO_METRIC_7324">"c7324"</definedName>
    <definedName name="IQ_ECO_METRIC_7325">"c7325"</definedName>
    <definedName name="IQ_ECO_METRIC_7326">"c7326"</definedName>
    <definedName name="IQ_ECO_METRIC_7327">"c7327"</definedName>
    <definedName name="IQ_ECO_METRIC_7328">"c7328"</definedName>
    <definedName name="IQ_ECO_METRIC_7329">"c7329"</definedName>
    <definedName name="IQ_ECO_METRIC_7330">"c7330"</definedName>
    <definedName name="IQ_ECO_METRIC_7331">"c7331"</definedName>
    <definedName name="IQ_ECO_METRIC_7332">"c7332"</definedName>
    <definedName name="IQ_ECO_METRIC_7333">"c7333"</definedName>
    <definedName name="IQ_ECO_METRIC_7334">"c7334"</definedName>
    <definedName name="IQ_ECO_METRIC_7335">"c7335"</definedName>
    <definedName name="IQ_ECO_METRIC_7336">"c7336"</definedName>
    <definedName name="IQ_ECO_METRIC_7336_UNUSED_UNUSED_UNUSED">"c7336"</definedName>
    <definedName name="IQ_ECO_METRIC_7337">"c7337"</definedName>
    <definedName name="IQ_ECO_METRIC_7337_UNUSED_UNUSED_UNUSED">"c7337"</definedName>
    <definedName name="IQ_ECO_METRIC_7339">"c7339"</definedName>
    <definedName name="IQ_ECO_METRIC_7341">"c7341"</definedName>
    <definedName name="IQ_ECO_METRIC_7342">"c7342"</definedName>
    <definedName name="IQ_ECO_METRIC_7343">"c7343"</definedName>
    <definedName name="IQ_ECO_METRIC_7344">"c7344"</definedName>
    <definedName name="IQ_ECO_METRIC_7345">"c7345"</definedName>
    <definedName name="IQ_ECO_METRIC_7346">"c7346"</definedName>
    <definedName name="IQ_ECO_METRIC_7347">"c7347"</definedName>
    <definedName name="IQ_ECO_METRIC_7348">"c7348"</definedName>
    <definedName name="IQ_ECO_METRIC_7349">"c7349"</definedName>
    <definedName name="IQ_ECO_METRIC_7350">"c7350"</definedName>
    <definedName name="IQ_ECO_METRIC_7351">"c7351"</definedName>
    <definedName name="IQ_ECO_METRIC_7352">"c7352"</definedName>
    <definedName name="IQ_ECO_METRIC_7353">"c7353"</definedName>
    <definedName name="IQ_ECO_METRIC_7354">"c7354"</definedName>
    <definedName name="IQ_ECO_METRIC_7355">"c7355"</definedName>
    <definedName name="IQ_ECO_METRIC_7356">"c7356"</definedName>
    <definedName name="IQ_ECO_METRIC_7357">"c7357"</definedName>
    <definedName name="IQ_ECO_METRIC_7358">"c7358"</definedName>
    <definedName name="IQ_ECO_METRIC_7359">"c7359"</definedName>
    <definedName name="IQ_ECO_METRIC_7360">"c7360"</definedName>
    <definedName name="IQ_ECO_METRIC_7361">"c7361"</definedName>
    <definedName name="IQ_ECO_METRIC_7362">"c7362"</definedName>
    <definedName name="IQ_ECO_METRIC_7363">"c7363"</definedName>
    <definedName name="IQ_ECO_METRIC_7364">"c7364"</definedName>
    <definedName name="IQ_ECO_METRIC_7365">"c7365"</definedName>
    <definedName name="IQ_ECO_METRIC_7366">"c7366"</definedName>
    <definedName name="IQ_ECO_METRIC_7368">"c7368"</definedName>
    <definedName name="IQ_ECO_METRIC_7369">"c7369"</definedName>
    <definedName name="IQ_ECO_METRIC_7370">"c7370"</definedName>
    <definedName name="IQ_ECO_METRIC_7371">"c7371"</definedName>
    <definedName name="IQ_ECO_METRIC_7372">"c7372"</definedName>
    <definedName name="IQ_ECO_METRIC_7373">"c7373"</definedName>
    <definedName name="IQ_ECO_METRIC_7374">"c7374"</definedName>
    <definedName name="IQ_ECO_METRIC_7375">"c7375"</definedName>
    <definedName name="IQ_ECO_METRIC_7376">"c7376"</definedName>
    <definedName name="IQ_ECO_METRIC_7377">"c7377"</definedName>
    <definedName name="IQ_ECO_METRIC_7378">"c7378"</definedName>
    <definedName name="IQ_ECO_METRIC_7379">"c7379"</definedName>
    <definedName name="IQ_ECO_METRIC_7380">"c7380"</definedName>
    <definedName name="IQ_ECO_METRIC_7381">"c7381"</definedName>
    <definedName name="IQ_ECO_METRIC_7382">"c7382"</definedName>
    <definedName name="IQ_ECO_METRIC_7383">"c7383"</definedName>
    <definedName name="IQ_ECO_METRIC_7384">"c7384"</definedName>
    <definedName name="IQ_ECO_METRIC_7385">"c7385"</definedName>
    <definedName name="IQ_ECO_METRIC_7386">"c7386"</definedName>
    <definedName name="IQ_ECO_METRIC_7387">"c7387"</definedName>
    <definedName name="IQ_ECO_METRIC_7388">"c7388"</definedName>
    <definedName name="IQ_ECO_METRIC_7389">"c7389"</definedName>
    <definedName name="IQ_ECO_METRIC_7390">"c7390"</definedName>
    <definedName name="IQ_ECO_METRIC_7391">"c7391"</definedName>
    <definedName name="IQ_ECO_METRIC_7392">"c7392"</definedName>
    <definedName name="IQ_ECO_METRIC_7393">"c7393"</definedName>
    <definedName name="IQ_ECO_METRIC_7394">"c7394"</definedName>
    <definedName name="IQ_ECO_METRIC_7395">"c7395"</definedName>
    <definedName name="IQ_ECO_METRIC_7396">"c7396"</definedName>
    <definedName name="IQ_ECO_METRIC_7397">"c7397"</definedName>
    <definedName name="IQ_ECO_METRIC_7398">"c7398"</definedName>
    <definedName name="IQ_ECO_METRIC_7399">"c7399"</definedName>
    <definedName name="IQ_ECO_METRIC_7400">"c7400"</definedName>
    <definedName name="IQ_ECO_METRIC_7402">"c7402"</definedName>
    <definedName name="IQ_ECO_METRIC_7403">"c7403"</definedName>
    <definedName name="IQ_ECO_METRIC_7404">"c7404"</definedName>
    <definedName name="IQ_ECO_METRIC_7405">"c7405"</definedName>
    <definedName name="IQ_ECO_METRIC_7406">"c7406"</definedName>
    <definedName name="IQ_ECO_METRIC_7407">"c7407"</definedName>
    <definedName name="IQ_ECO_METRIC_7408">"c7408"</definedName>
    <definedName name="IQ_ECO_METRIC_7409">"c7409"</definedName>
    <definedName name="IQ_ECO_METRIC_7410">"c7410"</definedName>
    <definedName name="IQ_ECO_METRIC_7411">"c7411"</definedName>
    <definedName name="IQ_ECO_METRIC_7412">"c7412"</definedName>
    <definedName name="IQ_ECO_METRIC_7413">"c7413"</definedName>
    <definedName name="IQ_ECO_METRIC_7414">"c7414"</definedName>
    <definedName name="IQ_ECO_METRIC_7415">"c7415"</definedName>
    <definedName name="IQ_ECO_METRIC_7416">"c7416"</definedName>
    <definedName name="IQ_ECO_METRIC_7417">"c7417"</definedName>
    <definedName name="IQ_ECO_METRIC_7418">"c7418"</definedName>
    <definedName name="IQ_ECO_METRIC_7419">"c7419"</definedName>
    <definedName name="IQ_ECO_METRIC_7420">"c7420"</definedName>
    <definedName name="IQ_ECO_METRIC_7421">"c7421"</definedName>
    <definedName name="IQ_ECO_METRIC_7422">"c7422"</definedName>
    <definedName name="IQ_ECO_METRIC_7423">"c7423"</definedName>
    <definedName name="IQ_ECO_METRIC_7424">"c7424"</definedName>
    <definedName name="IQ_ECO_METRIC_7425">"c7425"</definedName>
    <definedName name="IQ_ECO_METRIC_7426">"c7426"</definedName>
    <definedName name="IQ_ECO_METRIC_7427">"c7427"</definedName>
    <definedName name="IQ_ECO_METRIC_7428">"c7428"</definedName>
    <definedName name="IQ_ECO_METRIC_7428_UNUSED_UNUSED_UNUSED">"c7428"</definedName>
    <definedName name="IQ_ECO_METRIC_7429">"c7429"</definedName>
    <definedName name="IQ_ECO_METRIC_7430">"c7430"</definedName>
    <definedName name="IQ_ECO_METRIC_7431">"c7431"</definedName>
    <definedName name="IQ_ECO_METRIC_7432">"c7432"</definedName>
    <definedName name="IQ_ECO_METRIC_7433">"c7433"</definedName>
    <definedName name="IQ_ECO_METRIC_7434">"c7434"</definedName>
    <definedName name="IQ_ECO_METRIC_7435">"c7435"</definedName>
    <definedName name="IQ_ECO_METRIC_7436">"c7436"</definedName>
    <definedName name="IQ_ECO_METRIC_7437">"c7437"</definedName>
    <definedName name="IQ_ECO_METRIC_7438">"c7438"</definedName>
    <definedName name="IQ_ECO_METRIC_7440">"c7440"</definedName>
    <definedName name="IQ_ECO_METRIC_7441">"c7441"</definedName>
    <definedName name="IQ_ECO_METRIC_7442">"c7442"</definedName>
    <definedName name="IQ_ECO_METRIC_7443">"c7443"</definedName>
    <definedName name="IQ_ECO_METRIC_7444">"c7444"</definedName>
    <definedName name="IQ_ECO_METRIC_7445">"c7445"</definedName>
    <definedName name="IQ_ECO_METRIC_7446">"c7446"</definedName>
    <definedName name="IQ_ECO_METRIC_7447">"c7447"</definedName>
    <definedName name="IQ_ECO_METRIC_7448">"c7448"</definedName>
    <definedName name="IQ_ECO_METRIC_7449">"c7449"</definedName>
    <definedName name="IQ_ECO_METRIC_7450">"c7450"</definedName>
    <definedName name="IQ_ECO_METRIC_7451">"c7451"</definedName>
    <definedName name="IQ_ECO_METRIC_7452">"c7452"</definedName>
    <definedName name="IQ_ECO_METRIC_7453">"c7453"</definedName>
    <definedName name="IQ_ECO_METRIC_7455">"c7455"</definedName>
    <definedName name="IQ_ECO_METRIC_7456">"c7456"</definedName>
    <definedName name="IQ_ECO_METRIC_7457">"c7457"</definedName>
    <definedName name="IQ_ECO_METRIC_7458">"c7458"</definedName>
    <definedName name="IQ_ECO_METRIC_7459">"c7459"</definedName>
    <definedName name="IQ_ECO_METRIC_7460">"c7460"</definedName>
    <definedName name="IQ_ECO_METRIC_7461">"c7461"</definedName>
    <definedName name="IQ_ECO_METRIC_7463">"c7463"</definedName>
    <definedName name="IQ_ECO_METRIC_7464">"c7464"</definedName>
    <definedName name="IQ_ECO_METRIC_7465">"c7465"</definedName>
    <definedName name="IQ_ECO_METRIC_7466">"c7466"</definedName>
    <definedName name="IQ_ECO_METRIC_7467">"c7467"</definedName>
    <definedName name="IQ_ECO_METRIC_7468">"c7468"</definedName>
    <definedName name="IQ_ECO_METRIC_7469">"c7469"</definedName>
    <definedName name="IQ_ECO_METRIC_7470">"c7470"</definedName>
    <definedName name="IQ_ECO_METRIC_7472">"c7472"</definedName>
    <definedName name="IQ_ECO_METRIC_7473">"c7473"</definedName>
    <definedName name="IQ_ECO_METRIC_7474">"c7474"</definedName>
    <definedName name="IQ_ECO_METRIC_7475">"c7475"</definedName>
    <definedName name="IQ_ECO_METRIC_7476">"c7476"</definedName>
    <definedName name="IQ_ECO_METRIC_7477">"c7477"</definedName>
    <definedName name="IQ_ECO_METRIC_7478">"c7478"</definedName>
    <definedName name="IQ_ECO_METRIC_7479">"c7479"</definedName>
    <definedName name="IQ_ECO_METRIC_7480">"c7480"</definedName>
    <definedName name="IQ_ECO_METRIC_7481">"c7481"</definedName>
    <definedName name="IQ_ECO_METRIC_7482">"c7482"</definedName>
    <definedName name="IQ_ECO_METRIC_7483">"c7483"</definedName>
    <definedName name="IQ_ECO_METRIC_7486">"c7486"</definedName>
    <definedName name="IQ_ECO_METRIC_7487">"c7487"</definedName>
    <definedName name="IQ_ECO_METRIC_7488">"c7488"</definedName>
    <definedName name="IQ_ECO_METRIC_7489">"c7489"</definedName>
    <definedName name="IQ_ECO_METRIC_7490">"c7490"</definedName>
    <definedName name="IQ_ECO_METRIC_7491">"c7491"</definedName>
    <definedName name="IQ_ECO_METRIC_7492">"c7492"</definedName>
    <definedName name="IQ_ECO_METRIC_7493">"c7493"</definedName>
    <definedName name="IQ_ECO_METRIC_7494">"c7494"</definedName>
    <definedName name="IQ_ECO_METRIC_7495">"c7495"</definedName>
    <definedName name="IQ_ECO_METRIC_7496">"c7496"</definedName>
    <definedName name="IQ_ECO_METRIC_7497">"c7497"</definedName>
    <definedName name="IQ_ECO_METRIC_7498">"c7498"</definedName>
    <definedName name="IQ_ECO_METRIC_7500">"c7500"</definedName>
    <definedName name="IQ_ECO_METRIC_7501">"c7501"</definedName>
    <definedName name="IQ_ECO_METRIC_7502">"c7502"</definedName>
    <definedName name="IQ_ECO_METRIC_7503">"c7503"</definedName>
    <definedName name="IQ_ECO_METRIC_7504">"c7504"</definedName>
    <definedName name="IQ_ECO_METRIC_7505">"c7505"</definedName>
    <definedName name="IQ_ECO_METRIC_7507">"c7507"</definedName>
    <definedName name="IQ_ECO_METRIC_7508">"c7508"</definedName>
    <definedName name="IQ_ECO_METRIC_7509">"c7509"</definedName>
    <definedName name="IQ_ECO_METRIC_7510">"c7510"</definedName>
    <definedName name="IQ_ECO_METRIC_7511">"c7511"</definedName>
    <definedName name="IQ_ECO_METRIC_7512">"c7512"</definedName>
    <definedName name="IQ_ECO_METRIC_7513">"c7513"</definedName>
    <definedName name="IQ_ECO_METRIC_7514">"c7514"</definedName>
    <definedName name="IQ_ECO_METRIC_7515">"c7515"</definedName>
    <definedName name="IQ_ECO_METRIC_7516">"c7516"</definedName>
    <definedName name="IQ_ECO_METRIC_7517">"c7517"</definedName>
    <definedName name="IQ_ECO_METRIC_7518">"c7518"</definedName>
    <definedName name="IQ_ECO_METRIC_7519">"c7519"</definedName>
    <definedName name="IQ_ECO_METRIC_7520">"c7520"</definedName>
    <definedName name="IQ_ECO_METRIC_7521">"c7521"</definedName>
    <definedName name="IQ_ECO_METRIC_7522">"c7522"</definedName>
    <definedName name="IQ_ECO_METRIC_7523">"c7523"</definedName>
    <definedName name="IQ_ECO_METRIC_7524">"c7524"</definedName>
    <definedName name="IQ_ECO_METRIC_7525">"c7525"</definedName>
    <definedName name="IQ_ECO_METRIC_7526">"c7526"</definedName>
    <definedName name="IQ_ECO_METRIC_7527">"c7527"</definedName>
    <definedName name="IQ_ECO_METRIC_7528">"c7528"</definedName>
    <definedName name="IQ_ECO_METRIC_7529">"c7529"</definedName>
    <definedName name="IQ_ECO_METRIC_7530">"c7530"</definedName>
    <definedName name="IQ_ECO_METRIC_7531">"c7531"</definedName>
    <definedName name="IQ_ECO_METRIC_7532">"c7532"</definedName>
    <definedName name="IQ_ECO_METRIC_7533">"c7533"</definedName>
    <definedName name="IQ_ECO_METRIC_7534">"c7534"</definedName>
    <definedName name="IQ_ECO_METRIC_7535">"c7535"</definedName>
    <definedName name="IQ_ECO_METRIC_7536">"c7536"</definedName>
    <definedName name="IQ_ECO_METRIC_7537">"c7537"</definedName>
    <definedName name="IQ_ECO_METRIC_7538">"c7538"</definedName>
    <definedName name="IQ_ECO_METRIC_7539">"c7539"</definedName>
    <definedName name="IQ_ECO_METRIC_7540">"c7540"</definedName>
    <definedName name="IQ_ECO_METRIC_7541">"c7541"</definedName>
    <definedName name="IQ_ECO_METRIC_7542">"c7542"</definedName>
    <definedName name="IQ_ECO_METRIC_7543">"c7543"</definedName>
    <definedName name="IQ_ECO_METRIC_7544">"c7544"</definedName>
    <definedName name="IQ_ECO_METRIC_7545">"c7545"</definedName>
    <definedName name="IQ_ECO_METRIC_7546">"c7546"</definedName>
    <definedName name="IQ_ECO_METRIC_7547">"c7547"</definedName>
    <definedName name="IQ_ECO_METRIC_7548">"c7548"</definedName>
    <definedName name="IQ_ECO_METRIC_7549">"c7549"</definedName>
    <definedName name="IQ_ECO_METRIC_7550">"c7550"</definedName>
    <definedName name="IQ_ECO_METRIC_7551">"c7551"</definedName>
    <definedName name="IQ_ECO_METRIC_7552">"c7552"</definedName>
    <definedName name="IQ_ECO_METRIC_7553">"c7553"</definedName>
    <definedName name="IQ_ECO_METRIC_7554">"c7554"</definedName>
    <definedName name="IQ_ECO_METRIC_7555">"c7555"</definedName>
    <definedName name="IQ_ECO_METRIC_7556">"c7556"</definedName>
    <definedName name="IQ_ECO_METRIC_7556_UNUSED_UNUSED_UNUSED">"c7556"</definedName>
    <definedName name="IQ_ECO_METRIC_7557">"c7557"</definedName>
    <definedName name="IQ_ECO_METRIC_7557_UNUSED_UNUSED_UNUSED">"c7557"</definedName>
    <definedName name="IQ_ECO_METRIC_7560">"c7560"</definedName>
    <definedName name="IQ_ECO_METRIC_7561">"c7561"</definedName>
    <definedName name="IQ_ECO_METRIC_7562">"c7562"</definedName>
    <definedName name="IQ_ECO_METRIC_7563">"c7563"</definedName>
    <definedName name="IQ_ECO_METRIC_7564">"c7564"</definedName>
    <definedName name="IQ_ECO_METRIC_7565">"c7565"</definedName>
    <definedName name="IQ_ECO_METRIC_7566">"c7566"</definedName>
    <definedName name="IQ_ECO_METRIC_7567">"c7567"</definedName>
    <definedName name="IQ_ECO_METRIC_7568">"c7568"</definedName>
    <definedName name="IQ_ECO_METRIC_7570">"c7570"</definedName>
    <definedName name="IQ_ECO_METRIC_7571">"c7571"</definedName>
    <definedName name="IQ_ECO_METRIC_7572">"c7572"</definedName>
    <definedName name="IQ_ECO_METRIC_7573">"c7573"</definedName>
    <definedName name="IQ_ECO_METRIC_7574">"c7574"</definedName>
    <definedName name="IQ_ECO_METRIC_7575">"c7575"</definedName>
    <definedName name="IQ_ECO_METRIC_7576">"c7576"</definedName>
    <definedName name="IQ_ECO_METRIC_7577">"c7577"</definedName>
    <definedName name="IQ_ECO_METRIC_7578">"c7578"</definedName>
    <definedName name="IQ_ECO_METRIC_7579">"c7579"</definedName>
    <definedName name="IQ_ECO_METRIC_7580">"c7580"</definedName>
    <definedName name="IQ_ECO_METRIC_7581">"c7581"</definedName>
    <definedName name="IQ_ECO_METRIC_7582">"c7582"</definedName>
    <definedName name="IQ_ECO_METRIC_7583">"c7583"</definedName>
    <definedName name="IQ_ECO_METRIC_7584">"c7584"</definedName>
    <definedName name="IQ_ECO_METRIC_7585">"c7585"</definedName>
    <definedName name="IQ_ECO_METRIC_7586">"c7586"</definedName>
    <definedName name="IQ_ECO_METRIC_7588">"c7588"</definedName>
    <definedName name="IQ_ECO_METRIC_7589">"c7589"</definedName>
    <definedName name="IQ_ECO_METRIC_7590">"c7590"</definedName>
    <definedName name="IQ_ECO_METRIC_7591">"c7591"</definedName>
    <definedName name="IQ_ECO_METRIC_7592">"c7592"</definedName>
    <definedName name="IQ_ECO_METRIC_7593">"c7593"</definedName>
    <definedName name="IQ_ECO_METRIC_7594">"c7594"</definedName>
    <definedName name="IQ_ECO_METRIC_7596">"c7596"</definedName>
    <definedName name="IQ_ECO_METRIC_7597">"c7597"</definedName>
    <definedName name="IQ_ECO_METRIC_7598">"c7598"</definedName>
    <definedName name="IQ_ECO_METRIC_7599">"c7599"</definedName>
    <definedName name="IQ_ECO_METRIC_7600">"c7600"</definedName>
    <definedName name="IQ_ECO_METRIC_7601">"c7601"</definedName>
    <definedName name="IQ_ECO_METRIC_7602">"c7602"</definedName>
    <definedName name="IQ_ECO_METRIC_7603">"c7603"</definedName>
    <definedName name="IQ_ECO_METRIC_7604">"c7604"</definedName>
    <definedName name="IQ_ECO_METRIC_7605">"c7605"</definedName>
    <definedName name="IQ_ECO_METRIC_7606">"c7606"</definedName>
    <definedName name="IQ_ECO_METRIC_7607">"c7607"</definedName>
    <definedName name="IQ_ECO_METRIC_7608">"c7608"</definedName>
    <definedName name="IQ_ECO_METRIC_7609">"c7609"</definedName>
    <definedName name="IQ_ECO_METRIC_7610">"c7610"</definedName>
    <definedName name="IQ_ECO_METRIC_7611">"c7611"</definedName>
    <definedName name="IQ_ECO_METRIC_7612">"c7612"</definedName>
    <definedName name="IQ_ECO_METRIC_7613">"c7613"</definedName>
    <definedName name="IQ_ECO_METRIC_7614">"c7614"</definedName>
    <definedName name="IQ_ECO_METRIC_7615">"c7615"</definedName>
    <definedName name="IQ_ECO_METRIC_7616">"c7616"</definedName>
    <definedName name="IQ_ECO_METRIC_7617">"c7617"</definedName>
    <definedName name="IQ_ECO_METRIC_7618">"c7618"</definedName>
    <definedName name="IQ_ECO_METRIC_7619">"c7619"</definedName>
    <definedName name="IQ_ECO_METRIC_7620">"c7620"</definedName>
    <definedName name="IQ_ECO_METRIC_7622">"c7622"</definedName>
    <definedName name="IQ_ECO_METRIC_7623">"c7623"</definedName>
    <definedName name="IQ_ECO_METRIC_7624">"c7624"</definedName>
    <definedName name="IQ_ECO_METRIC_7625">"c7625"</definedName>
    <definedName name="IQ_ECO_METRIC_7626">"c7626"</definedName>
    <definedName name="IQ_ECO_METRIC_7627">"c7627"</definedName>
    <definedName name="IQ_ECO_METRIC_7628">"c7628"</definedName>
    <definedName name="IQ_ECO_METRIC_7629">"c7629"</definedName>
    <definedName name="IQ_ECO_METRIC_7630">"c7630"</definedName>
    <definedName name="IQ_ECO_METRIC_7631">"c7631"</definedName>
    <definedName name="IQ_ECO_METRIC_7632">"c7632"</definedName>
    <definedName name="IQ_ECO_METRIC_7633">"c7633"</definedName>
    <definedName name="IQ_ECO_METRIC_7634">"c7634"</definedName>
    <definedName name="IQ_ECO_METRIC_7635">"c7635"</definedName>
    <definedName name="IQ_ECO_METRIC_7636">"c7636"</definedName>
    <definedName name="IQ_ECO_METRIC_7637">"c7637"</definedName>
    <definedName name="IQ_ECO_METRIC_7638">"c7638"</definedName>
    <definedName name="IQ_ECO_METRIC_7639">"c7639"</definedName>
    <definedName name="IQ_ECO_METRIC_7640">"c7640"</definedName>
    <definedName name="IQ_ECO_METRIC_7641">"c7641"</definedName>
    <definedName name="IQ_ECO_METRIC_7642">"c7642"</definedName>
    <definedName name="IQ_ECO_METRIC_7643">"c7643"</definedName>
    <definedName name="IQ_ECO_METRIC_7644">"c7644"</definedName>
    <definedName name="IQ_ECO_METRIC_7645">"c7645"</definedName>
    <definedName name="IQ_ECO_METRIC_7646">"c7646"</definedName>
    <definedName name="IQ_ECO_METRIC_7647">"c7647"</definedName>
    <definedName name="IQ_ECO_METRIC_7648">"c7648"</definedName>
    <definedName name="IQ_ECO_METRIC_7648_UNUSED_UNUSED_UNUSED">"c7648"</definedName>
    <definedName name="IQ_ECO_METRIC_7649">"c7649"</definedName>
    <definedName name="IQ_ECO_METRIC_7650">"c7650"</definedName>
    <definedName name="IQ_ECO_METRIC_7651">"c7651"</definedName>
    <definedName name="IQ_ECO_METRIC_7652">"c7652"</definedName>
    <definedName name="IQ_ECO_METRIC_7653">"c7653"</definedName>
    <definedName name="IQ_ECO_METRIC_7654">"c7654"</definedName>
    <definedName name="IQ_ECO_METRIC_7655">"c7655"</definedName>
    <definedName name="IQ_ECO_METRIC_7656">"c7656"</definedName>
    <definedName name="IQ_ECO_METRIC_7657">"c7657"</definedName>
    <definedName name="IQ_ECO_METRIC_7658">"c7658"</definedName>
    <definedName name="IQ_ECO_METRIC_7660">"c7660"</definedName>
    <definedName name="IQ_ECO_METRIC_7661">"c7661"</definedName>
    <definedName name="IQ_ECO_METRIC_7663">"c7663"</definedName>
    <definedName name="IQ_ECO_METRIC_7664">"c7664"</definedName>
    <definedName name="IQ_ECO_METRIC_7665">"c7665"</definedName>
    <definedName name="IQ_ECO_METRIC_7666">"c7666"</definedName>
    <definedName name="IQ_ECO_METRIC_7667">"c7667"</definedName>
    <definedName name="IQ_ECO_METRIC_7668">"c7668"</definedName>
    <definedName name="IQ_ECO_METRIC_7669">"c7669"</definedName>
    <definedName name="IQ_ECO_METRIC_7670">"c7670"</definedName>
    <definedName name="IQ_ECO_METRIC_7675">"c7675"</definedName>
    <definedName name="IQ_ECO_METRIC_7676">"c7676"</definedName>
    <definedName name="IQ_ECO_METRIC_7677">"c7677"</definedName>
    <definedName name="IQ_ECO_METRIC_7678">"c7678"</definedName>
    <definedName name="IQ_ECO_METRIC_7679">"c7679"</definedName>
    <definedName name="IQ_ECO_METRIC_7680">"c7680"</definedName>
    <definedName name="IQ_ECO_METRIC_7681">"c7681"</definedName>
    <definedName name="IQ_ECO_METRIC_7685">"c7685"</definedName>
    <definedName name="IQ_ECO_METRIC_7687">"c7687"</definedName>
    <definedName name="IQ_ECO_METRIC_7688">"c7688"</definedName>
    <definedName name="IQ_ECO_METRIC_7689">"c7689"</definedName>
    <definedName name="IQ_ECO_METRIC_7690">"c7690"</definedName>
    <definedName name="IQ_ECO_METRIC_7691">"c7691"</definedName>
    <definedName name="IQ_ECO_METRIC_7692">"c7692"</definedName>
    <definedName name="IQ_ECO_METRIC_7693">"c7693"</definedName>
    <definedName name="IQ_ECO_METRIC_7694">"c7694"</definedName>
    <definedName name="IQ_ECO_METRIC_7695">"c7695"</definedName>
    <definedName name="IQ_ECO_METRIC_7696">"c7696"</definedName>
    <definedName name="IQ_ECO_METRIC_7697">"c7697"</definedName>
    <definedName name="IQ_ECO_METRIC_7698">"c7698"</definedName>
    <definedName name="IQ_ECO_METRIC_7699">"c7699"</definedName>
    <definedName name="IQ_ECO_METRIC_7700">"c7700"</definedName>
    <definedName name="IQ_ECO_METRIC_7701">"c7701"</definedName>
    <definedName name="IQ_ECO_METRIC_7702">"c7702"</definedName>
    <definedName name="IQ_ECO_METRIC_7703">"c7703"</definedName>
    <definedName name="IQ_ECO_METRIC_7705">"c7705"</definedName>
    <definedName name="IQ_ECO_METRIC_7705_UNUSED_UNUSED_UNUSED">"c7705"</definedName>
    <definedName name="IQ_ECO_METRIC_7707">"c7707"</definedName>
    <definedName name="IQ_ECO_METRIC_7708">"c7708"</definedName>
    <definedName name="IQ_ECO_METRIC_7709">"c7709"</definedName>
    <definedName name="IQ_ECO_METRIC_7710">"c7710"</definedName>
    <definedName name="IQ_ECO_METRIC_7711">"c7711"</definedName>
    <definedName name="IQ_ECO_METRIC_7712">"c7712"</definedName>
    <definedName name="IQ_ECO_METRIC_7713">"c7713"</definedName>
    <definedName name="IQ_ECO_METRIC_7714">"c7714"</definedName>
    <definedName name="IQ_ECO_METRIC_7715">"c7715"</definedName>
    <definedName name="IQ_ECO_METRIC_7716">"c7716"</definedName>
    <definedName name="IQ_ECO_METRIC_7717">"c7717"</definedName>
    <definedName name="IQ_ECO_METRIC_7719">"c7719"</definedName>
    <definedName name="IQ_ECO_METRIC_7719_UNUSED_UNUSED_UNUSED">"c7719"</definedName>
    <definedName name="IQ_ECO_METRIC_7720">"c7720"</definedName>
    <definedName name="IQ_ECO_METRIC_7721">"c7721"</definedName>
    <definedName name="IQ_ECO_METRIC_7722">"c7722"</definedName>
    <definedName name="IQ_ECO_METRIC_7723">"c7723"</definedName>
    <definedName name="IQ_ECO_METRIC_7724">"c7724"</definedName>
    <definedName name="IQ_ECO_METRIC_7725">"c7725"</definedName>
    <definedName name="IQ_ECO_METRIC_7726">"c7726"</definedName>
    <definedName name="IQ_ECO_METRIC_7727">"c7727"</definedName>
    <definedName name="IQ_ECO_METRIC_7728">"c7728"</definedName>
    <definedName name="IQ_ECO_METRIC_7729">"c7729"</definedName>
    <definedName name="IQ_ECO_METRIC_7730">"c7730"</definedName>
    <definedName name="IQ_ECO_METRIC_7731">"c7731"</definedName>
    <definedName name="IQ_ECO_METRIC_7732">"c7732"</definedName>
    <definedName name="IQ_ECO_METRIC_7733">"c7733"</definedName>
    <definedName name="IQ_ECO_METRIC_7734">"c7734"</definedName>
    <definedName name="IQ_ECO_METRIC_7735">"c7735"</definedName>
    <definedName name="IQ_ECO_METRIC_7736">"c7736"</definedName>
    <definedName name="IQ_ECO_METRIC_7737">"c7737"</definedName>
    <definedName name="IQ_ECO_METRIC_7738">"c7738"</definedName>
    <definedName name="IQ_ECO_METRIC_7739">"c7739"</definedName>
    <definedName name="IQ_ECO_METRIC_7740">"c7740"</definedName>
    <definedName name="IQ_ECO_METRIC_7741">"c7741"</definedName>
    <definedName name="IQ_ECO_METRIC_7742">"c7742"</definedName>
    <definedName name="IQ_ECO_METRIC_7743">"c7743"</definedName>
    <definedName name="IQ_ECO_METRIC_7744">"c7744"</definedName>
    <definedName name="IQ_ECO_METRIC_7745">"c7745"</definedName>
    <definedName name="IQ_ECO_METRIC_7746">"c7746"</definedName>
    <definedName name="IQ_ECO_METRIC_7747">"c7747"</definedName>
    <definedName name="IQ_ECO_METRIC_7748">"c7748"</definedName>
    <definedName name="IQ_ECO_METRIC_7749">"c7749"</definedName>
    <definedName name="IQ_ECO_METRIC_7750">"c7750"</definedName>
    <definedName name="IQ_ECO_METRIC_7751">"c7751"</definedName>
    <definedName name="IQ_ECO_METRIC_7752">"c7752"</definedName>
    <definedName name="IQ_ECO_METRIC_7753">"c7753"</definedName>
    <definedName name="IQ_ECO_METRIC_7754">"c7754"</definedName>
    <definedName name="IQ_ECO_METRIC_7755">"c7755"</definedName>
    <definedName name="IQ_ECO_METRIC_7756">"c7756"</definedName>
    <definedName name="IQ_ECO_METRIC_7757">"c7757"</definedName>
    <definedName name="IQ_ECO_METRIC_7758">"c7758"</definedName>
    <definedName name="IQ_ECO_METRIC_7759">"c7759"</definedName>
    <definedName name="IQ_ECO_METRIC_7760">"c7760"</definedName>
    <definedName name="IQ_ECO_METRIC_7761">"c7761"</definedName>
    <definedName name="IQ_ECO_METRIC_7762">"c7762"</definedName>
    <definedName name="IQ_ECO_METRIC_7763">"c7763"</definedName>
    <definedName name="IQ_ECO_METRIC_7764">"c7764"</definedName>
    <definedName name="IQ_ECO_METRIC_7765">"c7765"</definedName>
    <definedName name="IQ_ECO_METRIC_7766">"c7766"</definedName>
    <definedName name="IQ_ECO_METRIC_7767">"c7767"</definedName>
    <definedName name="IQ_ECO_METRIC_7768">"c7768"</definedName>
    <definedName name="IQ_ECO_METRIC_7769">"c7769"</definedName>
    <definedName name="IQ_ECO_METRIC_7770">"c7770"</definedName>
    <definedName name="IQ_ECO_METRIC_7771">"c7771"</definedName>
    <definedName name="IQ_ECO_METRIC_7772">"c7772"</definedName>
    <definedName name="IQ_ECO_METRIC_7773">"c7773"</definedName>
    <definedName name="IQ_ECO_METRIC_7774">"c7774"</definedName>
    <definedName name="IQ_ECO_METRIC_7775">"c7775"</definedName>
    <definedName name="IQ_ECO_METRIC_7776">"c7776"</definedName>
    <definedName name="IQ_ECO_METRIC_7776_UNUSED_UNUSED_UNUSED">"c7776"</definedName>
    <definedName name="IQ_ECO_METRIC_7777">"c7777"</definedName>
    <definedName name="IQ_ECO_METRIC_7777_UNUSED_UNUSED_UNUSED">"c7777"</definedName>
    <definedName name="IQ_ECO_METRIC_7779">"c7779"</definedName>
    <definedName name="IQ_ECO_METRIC_7780">"c7780"</definedName>
    <definedName name="IQ_ECO_METRIC_7781">"c7781"</definedName>
    <definedName name="IQ_ECO_METRIC_7782">"c7782"</definedName>
    <definedName name="IQ_ECO_METRIC_7783">"c7783"</definedName>
    <definedName name="IQ_ECO_METRIC_7784">"c7784"</definedName>
    <definedName name="IQ_ECO_METRIC_7785">"c7785"</definedName>
    <definedName name="IQ_ECO_METRIC_7786">"c7786"</definedName>
    <definedName name="IQ_ECO_METRIC_7787">"c7787"</definedName>
    <definedName name="IQ_ECO_METRIC_7788">"c7788"</definedName>
    <definedName name="IQ_ECO_METRIC_7789">"c7789"</definedName>
    <definedName name="IQ_ECO_METRIC_7790">"c7790"</definedName>
    <definedName name="IQ_ECO_METRIC_7791">"c7791"</definedName>
    <definedName name="IQ_ECO_METRIC_7792">"c7792"</definedName>
    <definedName name="IQ_ECO_METRIC_7793">"c7793"</definedName>
    <definedName name="IQ_ECO_METRIC_7794">"c7794"</definedName>
    <definedName name="IQ_ECO_METRIC_7795">"c7795"</definedName>
    <definedName name="IQ_ECO_METRIC_7796">"c7796"</definedName>
    <definedName name="IQ_ECO_METRIC_7797">"c7797"</definedName>
    <definedName name="IQ_ECO_METRIC_7798">"c7798"</definedName>
    <definedName name="IQ_ECO_METRIC_7799">"c7799"</definedName>
    <definedName name="IQ_ECO_METRIC_7800">"c7800"</definedName>
    <definedName name="IQ_ECO_METRIC_7801">"c7801"</definedName>
    <definedName name="IQ_ECO_METRIC_7802">"c7802"</definedName>
    <definedName name="IQ_ECO_METRIC_7803">"c7803"</definedName>
    <definedName name="IQ_ECO_METRIC_7804">"c7804"</definedName>
    <definedName name="IQ_ECO_METRIC_7805">"c7805"</definedName>
    <definedName name="IQ_ECO_METRIC_7806">"c7806"</definedName>
    <definedName name="IQ_ECO_METRIC_7808">"c7808"</definedName>
    <definedName name="IQ_ECO_METRIC_7809">"c7809"</definedName>
    <definedName name="IQ_ECO_METRIC_7810">"c7810"</definedName>
    <definedName name="IQ_ECO_METRIC_7812">"c7812"</definedName>
    <definedName name="IQ_ECO_METRIC_7813">"c7813"</definedName>
    <definedName name="IQ_ECO_METRIC_7814">"c7814"</definedName>
    <definedName name="IQ_ECO_METRIC_7815">"c7815"</definedName>
    <definedName name="IQ_ECO_METRIC_7816">"c7816"</definedName>
    <definedName name="IQ_ECO_METRIC_7817">"c7817"</definedName>
    <definedName name="IQ_ECO_METRIC_7818">"c7818"</definedName>
    <definedName name="IQ_ECO_METRIC_7819">"c7819"</definedName>
    <definedName name="IQ_ECO_METRIC_7820">"c7820"</definedName>
    <definedName name="IQ_ECO_METRIC_7821">"c7821"</definedName>
    <definedName name="IQ_ECO_METRIC_7822">"c7822"</definedName>
    <definedName name="IQ_ECO_METRIC_7823">"c7823"</definedName>
    <definedName name="IQ_ECO_METRIC_7824">"c7824"</definedName>
    <definedName name="IQ_ECO_METRIC_7825">"c7825"</definedName>
    <definedName name="IQ_ECO_METRIC_7826">"c7826"</definedName>
    <definedName name="IQ_ECO_METRIC_7827">"c7827"</definedName>
    <definedName name="IQ_ECO_METRIC_7828">"c7828"</definedName>
    <definedName name="IQ_ECO_METRIC_7829">"c7829"</definedName>
    <definedName name="IQ_ECO_METRIC_7830">"c7830"</definedName>
    <definedName name="IQ_ECO_METRIC_7831">"c7831"</definedName>
    <definedName name="IQ_ECO_METRIC_7832">"c7832"</definedName>
    <definedName name="IQ_ECO_METRIC_7833">"c7833"</definedName>
    <definedName name="IQ_ECO_METRIC_7834">"c7834"</definedName>
    <definedName name="IQ_ECO_METRIC_7835">"c7835"</definedName>
    <definedName name="IQ_ECO_METRIC_7836">"c7836"</definedName>
    <definedName name="IQ_ECO_METRIC_7837">"c7837"</definedName>
    <definedName name="IQ_ECO_METRIC_7838">"c7838"</definedName>
    <definedName name="IQ_ECO_METRIC_7839">"c7839"</definedName>
    <definedName name="IQ_ECO_METRIC_7840">"c7840"</definedName>
    <definedName name="IQ_ECO_METRIC_7842">"c7842"</definedName>
    <definedName name="IQ_ECO_METRIC_7843">"c7843"</definedName>
    <definedName name="IQ_ECO_METRIC_7844">"c7844"</definedName>
    <definedName name="IQ_ECO_METRIC_7845">"c7845"</definedName>
    <definedName name="IQ_ECO_METRIC_7846">"c7846"</definedName>
    <definedName name="IQ_ECO_METRIC_7847">"c7847"</definedName>
    <definedName name="IQ_ECO_METRIC_7848">"c7848"</definedName>
    <definedName name="IQ_ECO_METRIC_7849">"c7849"</definedName>
    <definedName name="IQ_ECO_METRIC_7850">"c7850"</definedName>
    <definedName name="IQ_ECO_METRIC_7851">"c7851"</definedName>
    <definedName name="IQ_ECO_METRIC_7852">"c7852"</definedName>
    <definedName name="IQ_ECO_METRIC_7853">"c7853"</definedName>
    <definedName name="IQ_ECO_METRIC_7854">"c7854"</definedName>
    <definedName name="IQ_ECO_METRIC_7855">"c7855"</definedName>
    <definedName name="IQ_ECO_METRIC_7856">"c7856"</definedName>
    <definedName name="IQ_ECO_METRIC_7857">"c7857"</definedName>
    <definedName name="IQ_ECO_METRIC_7858">"c7858"</definedName>
    <definedName name="IQ_ECO_METRIC_7859">"c7859"</definedName>
    <definedName name="IQ_ECO_METRIC_7860">"c7860"</definedName>
    <definedName name="IQ_ECO_METRIC_7861">"c7861"</definedName>
    <definedName name="IQ_ECO_METRIC_7862">"c7862"</definedName>
    <definedName name="IQ_ECO_METRIC_7863">"c7863"</definedName>
    <definedName name="IQ_ECO_METRIC_7864">"c7864"</definedName>
    <definedName name="IQ_ECO_METRIC_7865">"c7865"</definedName>
    <definedName name="IQ_ECO_METRIC_7866">"c7866"</definedName>
    <definedName name="IQ_ECO_METRIC_7867">"c7867"</definedName>
    <definedName name="IQ_ECO_METRIC_7868">"c7868"</definedName>
    <definedName name="IQ_ECO_METRIC_7868_UNUSED_UNUSED_UNUSED">"c7868"</definedName>
    <definedName name="IQ_ECO_METRIC_7869">"c7869"</definedName>
    <definedName name="IQ_ECO_METRIC_7870">"c7870"</definedName>
    <definedName name="IQ_ECO_METRIC_7871">"c7871"</definedName>
    <definedName name="IQ_ECO_METRIC_7872">"c7872"</definedName>
    <definedName name="IQ_ECO_METRIC_7874">"c7874"</definedName>
    <definedName name="IQ_ECO_METRIC_7875">"c7875"</definedName>
    <definedName name="IQ_ECO_METRIC_7876">"c7876"</definedName>
    <definedName name="IQ_ECO_METRIC_7877">"c7877"</definedName>
    <definedName name="IQ_ECO_METRIC_7878">"c7878"</definedName>
    <definedName name="IQ_ECO_METRIC_7880">"c7880"</definedName>
    <definedName name="IQ_ECO_METRIC_7881">"c7881"</definedName>
    <definedName name="IQ_ECO_METRIC_7882">"c7882"</definedName>
    <definedName name="IQ_ECO_METRIC_7883">"c7883"</definedName>
    <definedName name="IQ_ECO_METRIC_7884">"c7884"</definedName>
    <definedName name="IQ_ECO_METRIC_7885">"c7885"</definedName>
    <definedName name="IQ_ECO_METRIC_7886">"c7886"</definedName>
    <definedName name="IQ_ECO_METRIC_7887">"c7887"</definedName>
    <definedName name="IQ_ECO_METRIC_7888">"c7888"</definedName>
    <definedName name="IQ_ECO_METRIC_7889">"c7889"</definedName>
    <definedName name="IQ_ECO_METRIC_7890">"c7890"</definedName>
    <definedName name="IQ_ECO_METRIC_7891">"c7891"</definedName>
    <definedName name="IQ_ECO_METRIC_7892">"c7892"</definedName>
    <definedName name="IQ_ECO_METRIC_7893">"c7893"</definedName>
    <definedName name="IQ_ECO_METRIC_7895">"c7895"</definedName>
    <definedName name="IQ_ECO_METRIC_7896">"c7896"</definedName>
    <definedName name="IQ_ECO_METRIC_7897">"c7897"</definedName>
    <definedName name="IQ_ECO_METRIC_7898">"c7898"</definedName>
    <definedName name="IQ_ECO_METRIC_7899">"c7899"</definedName>
    <definedName name="IQ_ECO_METRIC_7900">"c7900"</definedName>
    <definedName name="IQ_ECO_METRIC_7901">"c7901"</definedName>
    <definedName name="IQ_ECO_METRIC_7903">"c7903"</definedName>
    <definedName name="IQ_ECO_METRIC_7904">"c7904"</definedName>
    <definedName name="IQ_ECO_METRIC_7905">"c7905"</definedName>
    <definedName name="IQ_ECO_METRIC_7906">"c7906"</definedName>
    <definedName name="IQ_ECO_METRIC_7907">"c7907"</definedName>
    <definedName name="IQ_ECO_METRIC_7908">"c7908"</definedName>
    <definedName name="IQ_ECO_METRIC_7909">"c7909"</definedName>
    <definedName name="IQ_ECO_METRIC_7910">"c7910"</definedName>
    <definedName name="IQ_ECO_METRIC_7911">"c7911"</definedName>
    <definedName name="IQ_ECO_METRIC_7912">"c7912"</definedName>
    <definedName name="IQ_ECO_METRIC_7913">"c7913"</definedName>
    <definedName name="IQ_ECO_METRIC_7914">"c7914"</definedName>
    <definedName name="IQ_ECO_METRIC_7915">"c7915"</definedName>
    <definedName name="IQ_ECO_METRIC_7916">"c7916"</definedName>
    <definedName name="IQ_ECO_METRIC_7917">"c7917"</definedName>
    <definedName name="IQ_ECO_METRIC_7918">"c7918"</definedName>
    <definedName name="IQ_ECO_METRIC_7919">"c7919"</definedName>
    <definedName name="IQ_ECO_METRIC_7920">"c7920"</definedName>
    <definedName name="IQ_ECO_METRIC_7921">"c7921"</definedName>
    <definedName name="IQ_ECO_METRIC_7922">"c7922"</definedName>
    <definedName name="IQ_ECO_METRIC_7923">"c7923"</definedName>
    <definedName name="IQ_ECO_METRIC_7925">"c7925"</definedName>
    <definedName name="IQ_ECO_METRIC_7925_UNUSED_UNUSED_UNUSED">"c7925"</definedName>
    <definedName name="IQ_ECO_METRIC_7927">"c7927"</definedName>
    <definedName name="IQ_ECO_METRIC_7928">"c7928"</definedName>
    <definedName name="IQ_ECO_METRIC_7929">"c7929"</definedName>
    <definedName name="IQ_ECO_METRIC_7930">"c7930"</definedName>
    <definedName name="IQ_ECO_METRIC_7931">"c7931"</definedName>
    <definedName name="IQ_ECO_METRIC_7932">"c7932"</definedName>
    <definedName name="IQ_ECO_METRIC_7933">"c7933"</definedName>
    <definedName name="IQ_ECO_METRIC_7934">"c7934"</definedName>
    <definedName name="IQ_ECO_METRIC_7935">"c7935"</definedName>
    <definedName name="IQ_ECO_METRIC_7936">"c7936"</definedName>
    <definedName name="IQ_ECO_METRIC_7937">"c7937"</definedName>
    <definedName name="IQ_ECO_METRIC_7939">"c7939"</definedName>
    <definedName name="IQ_ECO_METRIC_7939_UNUSED_UNUSED_UNUSED">"c7939"</definedName>
    <definedName name="IQ_ECO_METRIC_7940">"c7940"</definedName>
    <definedName name="IQ_ECO_METRIC_7941">"c7941"</definedName>
    <definedName name="IQ_ECO_METRIC_7942">"c7942"</definedName>
    <definedName name="IQ_ECO_METRIC_7943">"c7943"</definedName>
    <definedName name="IQ_ECO_METRIC_7944">"c7944"</definedName>
    <definedName name="IQ_ECO_METRIC_7945">"c7945"</definedName>
    <definedName name="IQ_ECO_METRIC_7946">"c7946"</definedName>
    <definedName name="IQ_ECO_METRIC_7947">"c7947"</definedName>
    <definedName name="IQ_ECO_METRIC_7948">"c7948"</definedName>
    <definedName name="IQ_ECO_METRIC_7949">"c7949"</definedName>
    <definedName name="IQ_ECO_METRIC_7950">"c7950"</definedName>
    <definedName name="IQ_ECO_METRIC_7951">"c7951"</definedName>
    <definedName name="IQ_ECO_METRIC_7952">"c7952"</definedName>
    <definedName name="IQ_ECO_METRIC_7953">"c7953"</definedName>
    <definedName name="IQ_ECO_METRIC_7954">"c7954"</definedName>
    <definedName name="IQ_ECO_METRIC_7955">"c7955"</definedName>
    <definedName name="IQ_ECO_METRIC_7956">"c7956"</definedName>
    <definedName name="IQ_ECO_METRIC_7957">"c7957"</definedName>
    <definedName name="IQ_ECO_METRIC_7958">"c7958"</definedName>
    <definedName name="IQ_ECO_METRIC_7959">"c7959"</definedName>
    <definedName name="IQ_ECO_METRIC_7960">"c7960"</definedName>
    <definedName name="IQ_ECO_METRIC_7961">"c7961"</definedName>
    <definedName name="IQ_ECO_METRIC_7962">"c7962"</definedName>
    <definedName name="IQ_ECO_METRIC_7963">"c7963"</definedName>
    <definedName name="IQ_ECO_METRIC_7964">"c7964"</definedName>
    <definedName name="IQ_ECO_METRIC_7965">"c7965"</definedName>
    <definedName name="IQ_ECO_METRIC_7966">"c7966"</definedName>
    <definedName name="IQ_ECO_METRIC_7967">"c7967"</definedName>
    <definedName name="IQ_ECO_METRIC_7968">"c7968"</definedName>
    <definedName name="IQ_ECO_METRIC_7969">"c7969"</definedName>
    <definedName name="IQ_ECO_METRIC_7970">"c7970"</definedName>
    <definedName name="IQ_ECO_METRIC_7971">"c7971"</definedName>
    <definedName name="IQ_ECO_METRIC_7972">"c7972"</definedName>
    <definedName name="IQ_ECO_METRIC_7973">"c7973"</definedName>
    <definedName name="IQ_ECO_METRIC_7974">"c7974"</definedName>
    <definedName name="IQ_ECO_METRIC_7975">"c7975"</definedName>
    <definedName name="IQ_ECO_METRIC_7976">"c7976"</definedName>
    <definedName name="IQ_ECO_METRIC_7977">"c7977"</definedName>
    <definedName name="IQ_ECO_METRIC_7978">"c7978"</definedName>
    <definedName name="IQ_ECO_METRIC_7979">"c7979"</definedName>
    <definedName name="IQ_ECO_METRIC_7980">"c7980"</definedName>
    <definedName name="IQ_ECO_METRIC_7981">"c7981"</definedName>
    <definedName name="IQ_ECO_METRIC_7982">"c7982"</definedName>
    <definedName name="IQ_ECO_METRIC_7983">"c7983"</definedName>
    <definedName name="IQ_ECO_METRIC_7984">"c7984"</definedName>
    <definedName name="IQ_ECO_METRIC_7985">"c7985"</definedName>
    <definedName name="IQ_ECO_METRIC_7986">"c7986"</definedName>
    <definedName name="IQ_ECO_METRIC_7987">"c7987"</definedName>
    <definedName name="IQ_ECO_METRIC_7988">"c7988"</definedName>
    <definedName name="IQ_ECO_METRIC_7989">"c7989"</definedName>
    <definedName name="IQ_ECO_METRIC_7990">"c7990"</definedName>
    <definedName name="IQ_ECO_METRIC_7991">"c7991"</definedName>
    <definedName name="IQ_ECO_METRIC_7992">"c7992"</definedName>
    <definedName name="IQ_ECO_METRIC_7993">"c7993"</definedName>
    <definedName name="IQ_ECO_METRIC_7994">"c7994"</definedName>
    <definedName name="IQ_ECO_METRIC_7995">"c7995"</definedName>
    <definedName name="IQ_ECO_METRIC_7996">"c7996"</definedName>
    <definedName name="IQ_ECO_METRIC_7996_UNUSED_UNUSED_UNUSED">"c7996"</definedName>
    <definedName name="IQ_ECO_METRIC_7997">"c7997"</definedName>
    <definedName name="IQ_ECO_METRIC_7997_UNUSED_UNUSED_UNUSED">"c7997"</definedName>
    <definedName name="IQ_ECO_METRIC_7999">"c7999"</definedName>
    <definedName name="IQ_ECO_METRIC_8000">"c8000"</definedName>
    <definedName name="IQ_ECO_METRIC_8001">"c8001"</definedName>
    <definedName name="IQ_ECO_METRIC_8002">"c8002"</definedName>
    <definedName name="IQ_ECO_METRIC_8003">"c8003"</definedName>
    <definedName name="IQ_ECO_METRIC_8004">"c8004"</definedName>
    <definedName name="IQ_ECO_METRIC_8005">"c8005"</definedName>
    <definedName name="IQ_ECO_METRIC_8006">"c8006"</definedName>
    <definedName name="IQ_ECO_METRIC_8007">"c8007"</definedName>
    <definedName name="IQ_ECO_METRIC_8008">"c8008"</definedName>
    <definedName name="IQ_ECO_METRIC_8009">"c8009"</definedName>
    <definedName name="IQ_ECO_METRIC_8010">"c8010"</definedName>
    <definedName name="IQ_ECO_METRIC_8011">"c8011"</definedName>
    <definedName name="IQ_ECO_METRIC_8012">"c8012"</definedName>
    <definedName name="IQ_ECO_METRIC_8013">"c8013"</definedName>
    <definedName name="IQ_ECO_METRIC_8014">"c8014"</definedName>
    <definedName name="IQ_ECO_METRIC_8015">"c8015"</definedName>
    <definedName name="IQ_ECO_METRIC_8016">"c8016"</definedName>
    <definedName name="IQ_ECO_METRIC_8017">"c8017"</definedName>
    <definedName name="IQ_ECO_METRIC_8018">"c8018"</definedName>
    <definedName name="IQ_ECO_METRIC_8019">"c8019"</definedName>
    <definedName name="IQ_ECO_METRIC_8020">"c8020"</definedName>
    <definedName name="IQ_ECO_METRIC_8021">"c8021"</definedName>
    <definedName name="IQ_ECO_METRIC_8022">"c8022"</definedName>
    <definedName name="IQ_ECO_METRIC_8023">"c8023"</definedName>
    <definedName name="IQ_ECO_METRIC_8024">"c8024"</definedName>
    <definedName name="IQ_ECO_METRIC_8025">"c8025"</definedName>
    <definedName name="IQ_ECO_METRIC_8026">"c8026"</definedName>
    <definedName name="IQ_ECO_METRIC_8028">"c8028"</definedName>
    <definedName name="IQ_ECO_METRIC_8029">"c8029"</definedName>
    <definedName name="IQ_ECO_METRIC_8030">"c8030"</definedName>
    <definedName name="IQ_ECO_METRIC_8032">"c8032"</definedName>
    <definedName name="IQ_ECO_METRIC_8033">"c8033"</definedName>
    <definedName name="IQ_ECO_METRIC_8034">"c8034"</definedName>
    <definedName name="IQ_ECO_METRIC_8035">"c8035"</definedName>
    <definedName name="IQ_ECO_METRIC_8036">"c8036"</definedName>
    <definedName name="IQ_ECO_METRIC_8037">"c8037"</definedName>
    <definedName name="IQ_ECO_METRIC_8038">"c8038"</definedName>
    <definedName name="IQ_ECO_METRIC_8039">"c8039"</definedName>
    <definedName name="IQ_ECO_METRIC_8040">"c8040"</definedName>
    <definedName name="IQ_ECO_METRIC_8041">"c8041"</definedName>
    <definedName name="IQ_ECO_METRIC_8042">"c8042"</definedName>
    <definedName name="IQ_ECO_METRIC_8043">"c8043"</definedName>
    <definedName name="IQ_ECO_METRIC_8044">"c8044"</definedName>
    <definedName name="IQ_ECO_METRIC_8045">"c8045"</definedName>
    <definedName name="IQ_ECO_METRIC_8046">"c8046"</definedName>
    <definedName name="IQ_ECO_METRIC_8047">"c8047"</definedName>
    <definedName name="IQ_ECO_METRIC_8048">"c8048"</definedName>
    <definedName name="IQ_ECO_METRIC_8049">"c8049"</definedName>
    <definedName name="IQ_ECO_METRIC_8050">"c8050"</definedName>
    <definedName name="IQ_ECO_METRIC_8051">"c8051"</definedName>
    <definedName name="IQ_ECO_METRIC_8052">"c8052"</definedName>
    <definedName name="IQ_ECO_METRIC_8053">"c8053"</definedName>
    <definedName name="IQ_ECO_METRIC_8054">"c8054"</definedName>
    <definedName name="IQ_ECO_METRIC_8055">"c8055"</definedName>
    <definedName name="IQ_ECO_METRIC_8056">"c8056"</definedName>
    <definedName name="IQ_ECO_METRIC_8057">"c8057"</definedName>
    <definedName name="IQ_ECO_METRIC_8058">"c8058"</definedName>
    <definedName name="IQ_ECO_METRIC_8059">"c8059"</definedName>
    <definedName name="IQ_ECO_METRIC_8060">"c8060"</definedName>
    <definedName name="IQ_ECO_METRIC_8062">"c8062"</definedName>
    <definedName name="IQ_ECO_METRIC_8063">"c8063"</definedName>
    <definedName name="IQ_ECO_METRIC_8064">"c8064"</definedName>
    <definedName name="IQ_ECO_METRIC_8065">"c8065"</definedName>
    <definedName name="IQ_ECO_METRIC_8066">"c8066"</definedName>
    <definedName name="IQ_ECO_METRIC_8067">"c8067"</definedName>
    <definedName name="IQ_ECO_METRIC_8068">"c8068"</definedName>
    <definedName name="IQ_ECO_METRIC_8069">"c8069"</definedName>
    <definedName name="IQ_ECO_METRIC_8070">"c8070"</definedName>
    <definedName name="IQ_ECO_METRIC_8071">"c8071"</definedName>
    <definedName name="IQ_ECO_METRIC_8072">"c8072"</definedName>
    <definedName name="IQ_ECO_METRIC_8073">"c8073"</definedName>
    <definedName name="IQ_ECO_METRIC_8074">"c8074"</definedName>
    <definedName name="IQ_ECO_METRIC_8075">"c8075"</definedName>
    <definedName name="IQ_ECO_METRIC_8076">"c8076"</definedName>
    <definedName name="IQ_ECO_METRIC_8077">"c8077"</definedName>
    <definedName name="IQ_ECO_METRIC_8078">"c8078"</definedName>
    <definedName name="IQ_ECO_METRIC_8079">"c8079"</definedName>
    <definedName name="IQ_ECO_METRIC_8080">"c8080"</definedName>
    <definedName name="IQ_ECO_METRIC_8081">"c8081"</definedName>
    <definedName name="IQ_ECO_METRIC_8082">"c8082"</definedName>
    <definedName name="IQ_ECO_METRIC_8083">"c8083"</definedName>
    <definedName name="IQ_ECO_METRIC_8084">"c8084"</definedName>
    <definedName name="IQ_ECO_METRIC_8085">"c8085"</definedName>
    <definedName name="IQ_ECO_METRIC_8086">"c8086"</definedName>
    <definedName name="IQ_ECO_METRIC_8087">"c8087"</definedName>
    <definedName name="IQ_ECO_METRIC_8088">"c8088"</definedName>
    <definedName name="IQ_ECO_METRIC_8088_UNUSED_UNUSED_UNUSED">"c8088"</definedName>
    <definedName name="IQ_ECO_METRIC_8089">"c8089"</definedName>
    <definedName name="IQ_ECO_METRIC_8090">"c8090"</definedName>
    <definedName name="IQ_ECO_METRIC_8091">"c8091"</definedName>
    <definedName name="IQ_ECO_METRIC_8092">"c8092"</definedName>
    <definedName name="IQ_ECO_METRIC_8094">"c8094"</definedName>
    <definedName name="IQ_ECO_METRIC_8095">"c8095"</definedName>
    <definedName name="IQ_ECO_METRIC_8096">"c8096"</definedName>
    <definedName name="IQ_ECO_METRIC_8097">"c8097"</definedName>
    <definedName name="IQ_ECO_METRIC_8098">"c8098"</definedName>
    <definedName name="IQ_ECO_METRIC_8100">"c8100"</definedName>
    <definedName name="IQ_ECO_METRIC_8101">"c8101"</definedName>
    <definedName name="IQ_ECO_METRIC_8102">"c8102"</definedName>
    <definedName name="IQ_ECO_METRIC_8103">"c8103"</definedName>
    <definedName name="IQ_ECO_METRIC_8104">"c8104"</definedName>
    <definedName name="IQ_ECO_METRIC_8105">"c8105"</definedName>
    <definedName name="IQ_ECO_METRIC_8106">"c8106"</definedName>
    <definedName name="IQ_ECO_METRIC_8107">"c8107"</definedName>
    <definedName name="IQ_ECO_METRIC_8108">"c8108"</definedName>
    <definedName name="IQ_ECO_METRIC_8109">"c8109"</definedName>
    <definedName name="IQ_ECO_METRIC_8110">"c8110"</definedName>
    <definedName name="IQ_ECO_METRIC_8111">"c8111"</definedName>
    <definedName name="IQ_ECO_METRIC_8112">"c8112"</definedName>
    <definedName name="IQ_ECO_METRIC_8113">"c8113"</definedName>
    <definedName name="IQ_ECO_METRIC_8115">"c8115"</definedName>
    <definedName name="IQ_ECO_METRIC_8116">"c8116"</definedName>
    <definedName name="IQ_ECO_METRIC_8117">"c8117"</definedName>
    <definedName name="IQ_ECO_METRIC_8118">"c8118"</definedName>
    <definedName name="IQ_ECO_METRIC_8119">"c8119"</definedName>
    <definedName name="IQ_ECO_METRIC_8120">"c8120"</definedName>
    <definedName name="IQ_ECO_METRIC_8121">"c8121"</definedName>
    <definedName name="IQ_ECO_METRIC_8123">"c8123"</definedName>
    <definedName name="IQ_ECO_METRIC_8124">"c8124"</definedName>
    <definedName name="IQ_ECO_METRIC_8125">"c8125"</definedName>
    <definedName name="IQ_ECO_METRIC_8126">"c8126"</definedName>
    <definedName name="IQ_ECO_METRIC_8127">"c8127"</definedName>
    <definedName name="IQ_ECO_METRIC_8128">"c8128"</definedName>
    <definedName name="IQ_ECO_METRIC_8129">"c8129"</definedName>
    <definedName name="IQ_ECO_METRIC_8130">"c8130"</definedName>
    <definedName name="IQ_ECO_METRIC_8131">"c8131"</definedName>
    <definedName name="IQ_ECO_METRIC_8132">"c8132"</definedName>
    <definedName name="IQ_ECO_METRIC_8133">"c8133"</definedName>
    <definedName name="IQ_ECO_METRIC_8134">"c8134"</definedName>
    <definedName name="IQ_ECO_METRIC_8135">"c8135"</definedName>
    <definedName name="IQ_ECO_METRIC_8136">"c8136"</definedName>
    <definedName name="IQ_ECO_METRIC_8137">"c8137"</definedName>
    <definedName name="IQ_ECO_METRIC_8138">"c8138"</definedName>
    <definedName name="IQ_ECO_METRIC_8139">"c8139"</definedName>
    <definedName name="IQ_ECO_METRIC_8140">"c8140"</definedName>
    <definedName name="IQ_ECO_METRIC_8141">"c8141"</definedName>
    <definedName name="IQ_ECO_METRIC_8142">"c8142"</definedName>
    <definedName name="IQ_ECO_METRIC_8143">"c8143"</definedName>
    <definedName name="IQ_ECO_METRIC_8145">"c8145"</definedName>
    <definedName name="IQ_ECO_METRIC_8145_UNUSED_UNUSED_UNUSED">"c8145"</definedName>
    <definedName name="IQ_ECO_METRIC_8147">"c8147"</definedName>
    <definedName name="IQ_ECO_METRIC_8148">"c8148"</definedName>
    <definedName name="IQ_ECO_METRIC_8149">"c8149"</definedName>
    <definedName name="IQ_ECO_METRIC_8150">"c8150"</definedName>
    <definedName name="IQ_ECO_METRIC_8152">"c8152"</definedName>
    <definedName name="IQ_ECO_METRIC_8153">"c8153"</definedName>
    <definedName name="IQ_ECO_METRIC_8154">"c8154"</definedName>
    <definedName name="IQ_ECO_METRIC_8155">"c8155"</definedName>
    <definedName name="IQ_ECO_METRIC_8156">"c8156"</definedName>
    <definedName name="IQ_ECO_METRIC_8157">"c8157"</definedName>
    <definedName name="IQ_ECO_METRIC_8159">"c8159"</definedName>
    <definedName name="IQ_ECO_METRIC_8159_UNUSED_UNUSED_UNUSED">"c8159"</definedName>
    <definedName name="IQ_ECO_METRIC_8160">"c8160"</definedName>
    <definedName name="IQ_ECO_METRIC_8161">"c8161"</definedName>
    <definedName name="IQ_ECO_METRIC_8162">"c8162"</definedName>
    <definedName name="IQ_ECO_METRIC_8163">"c8163"</definedName>
    <definedName name="IQ_ECO_METRIC_8164">"c8164"</definedName>
    <definedName name="IQ_ECO_METRIC_8165">"c8165"</definedName>
    <definedName name="IQ_ECO_METRIC_8166">"c8166"</definedName>
    <definedName name="IQ_ECO_METRIC_8167">"c8167"</definedName>
    <definedName name="IQ_ECO_METRIC_8168">"c8168"</definedName>
    <definedName name="IQ_ECO_METRIC_8169">"c8169"</definedName>
    <definedName name="IQ_ECO_METRIC_8170">"c8170"</definedName>
    <definedName name="IQ_ECO_METRIC_8171">"c8171"</definedName>
    <definedName name="IQ_ECO_METRIC_8172">"c8172"</definedName>
    <definedName name="IQ_ECO_METRIC_8173">"c8173"</definedName>
    <definedName name="IQ_ECO_METRIC_8174">"c8174"</definedName>
    <definedName name="IQ_ECO_METRIC_8175">"c8175"</definedName>
    <definedName name="IQ_ECO_METRIC_8176">"c8176"</definedName>
    <definedName name="IQ_ECO_METRIC_8177">"c8177"</definedName>
    <definedName name="IQ_ECO_METRIC_8178">"c8178"</definedName>
    <definedName name="IQ_ECO_METRIC_8179">"c8179"</definedName>
    <definedName name="IQ_ECO_METRIC_8180">"c8180"</definedName>
    <definedName name="IQ_ECO_METRIC_8181">"c8181"</definedName>
    <definedName name="IQ_ECO_METRIC_8182">"c8182"</definedName>
    <definedName name="IQ_ECO_METRIC_8183">"c8183"</definedName>
    <definedName name="IQ_ECO_METRIC_8184">"c8184"</definedName>
    <definedName name="IQ_ECO_METRIC_8185">"c8185"</definedName>
    <definedName name="IQ_ECO_METRIC_8186">"c8186"</definedName>
    <definedName name="IQ_ECO_METRIC_8187">"c8187"</definedName>
    <definedName name="IQ_ECO_METRIC_8188">"c8188"</definedName>
    <definedName name="IQ_ECO_METRIC_8189">"c8189"</definedName>
    <definedName name="IQ_ECO_METRIC_8190">"c8190"</definedName>
    <definedName name="IQ_ECO_METRIC_8191">"c8191"</definedName>
    <definedName name="IQ_ECO_METRIC_8192">"c8192"</definedName>
    <definedName name="IQ_ECO_METRIC_8193">"c8193"</definedName>
    <definedName name="IQ_ECO_METRIC_8194">"c8194"</definedName>
    <definedName name="IQ_ECO_METRIC_8195">"c8195"</definedName>
    <definedName name="IQ_ECO_METRIC_8196">"c8196"</definedName>
    <definedName name="IQ_ECO_METRIC_8197">"c8197"</definedName>
    <definedName name="IQ_ECO_METRIC_8198">"c8198"</definedName>
    <definedName name="IQ_ECO_METRIC_8199">"c8199"</definedName>
    <definedName name="IQ_ECO_METRIC_8200">"c8200"</definedName>
    <definedName name="IQ_ECO_METRIC_8201">"c8201"</definedName>
    <definedName name="IQ_ECO_METRIC_8202">"c8202"</definedName>
    <definedName name="IQ_ECO_METRIC_8203">"c8203"</definedName>
    <definedName name="IQ_ECO_METRIC_8204">"c8204"</definedName>
    <definedName name="IQ_ECO_METRIC_8205">"c8205"</definedName>
    <definedName name="IQ_ECO_METRIC_8206">"c8206"</definedName>
    <definedName name="IQ_ECO_METRIC_8207">"c8207"</definedName>
    <definedName name="IQ_ECO_METRIC_8208">"c8208"</definedName>
    <definedName name="IQ_ECO_METRIC_8209">"c8209"</definedName>
    <definedName name="IQ_ECO_METRIC_8210">"c8210"</definedName>
    <definedName name="IQ_ECO_METRIC_8211">"c8211"</definedName>
    <definedName name="IQ_ECO_METRIC_8212">"c8212"</definedName>
    <definedName name="IQ_ECO_METRIC_8213">"c8213"</definedName>
    <definedName name="IQ_ECO_METRIC_8214">"c8214"</definedName>
    <definedName name="IQ_ECO_METRIC_8215">"c8215"</definedName>
    <definedName name="IQ_ECO_METRIC_8216">"c8216"</definedName>
    <definedName name="IQ_ECO_METRIC_8216_UNUSED_UNUSED_UNUSED">"c8216"</definedName>
    <definedName name="IQ_ECO_METRIC_8217">"c8217"</definedName>
    <definedName name="IQ_ECO_METRIC_8217_UNUSED_UNUSED_UNUSED">"c8217"</definedName>
    <definedName name="IQ_ECO_METRIC_8219">"c8219"</definedName>
    <definedName name="IQ_ECO_METRIC_8221">"c8221"</definedName>
    <definedName name="IQ_ECO_METRIC_8222">"c8222"</definedName>
    <definedName name="IQ_ECO_METRIC_8223">"c8223"</definedName>
    <definedName name="IQ_ECO_METRIC_8224">"c8224"</definedName>
    <definedName name="IQ_ECO_METRIC_8225">"c8225"</definedName>
    <definedName name="IQ_ECO_METRIC_8226">"c8226"</definedName>
    <definedName name="IQ_ECO_METRIC_8227">"c8227"</definedName>
    <definedName name="IQ_ECO_METRIC_8228">"c8228"</definedName>
    <definedName name="IQ_ECO_METRIC_8229">"c8229"</definedName>
    <definedName name="IQ_ECO_METRIC_8230">"c8230"</definedName>
    <definedName name="IQ_ECO_METRIC_8231">"c8231"</definedName>
    <definedName name="IQ_ECO_METRIC_8232">"c8232"</definedName>
    <definedName name="IQ_ECO_METRIC_8233">"c8233"</definedName>
    <definedName name="IQ_ECO_METRIC_8234">"c8234"</definedName>
    <definedName name="IQ_ECO_METRIC_8235">"c8235"</definedName>
    <definedName name="IQ_ECO_METRIC_8236">"c8236"</definedName>
    <definedName name="IQ_ECO_METRIC_8237">"c8237"</definedName>
    <definedName name="IQ_ECO_METRIC_8238">"c8238"</definedName>
    <definedName name="IQ_ECO_METRIC_8239">"c8239"</definedName>
    <definedName name="IQ_ECO_METRIC_8240">"c8240"</definedName>
    <definedName name="IQ_ECO_METRIC_8241">"c8241"</definedName>
    <definedName name="IQ_ECO_METRIC_8242">"c8242"</definedName>
    <definedName name="IQ_ECO_METRIC_8243">"c8243"</definedName>
    <definedName name="IQ_ECO_METRIC_8244">"c8244"</definedName>
    <definedName name="IQ_ECO_METRIC_8245">"c8245"</definedName>
    <definedName name="IQ_ECO_METRIC_8246">"c8246"</definedName>
    <definedName name="IQ_ECO_METRIC_8248">"c8248"</definedName>
    <definedName name="IQ_ECO_METRIC_8249">"c8249"</definedName>
    <definedName name="IQ_ECO_METRIC_8250">"c8250"</definedName>
    <definedName name="IQ_ECO_METRIC_8252">"c8252"</definedName>
    <definedName name="IQ_ECO_METRIC_8253">"c8253"</definedName>
    <definedName name="IQ_ECO_METRIC_8254">"c8254"</definedName>
    <definedName name="IQ_ECO_METRIC_8255">"c8255"</definedName>
    <definedName name="IQ_ECO_METRIC_8256">"c8256"</definedName>
    <definedName name="IQ_ECO_METRIC_8257">"c8257"</definedName>
    <definedName name="IQ_ECO_METRIC_8258">"c8258"</definedName>
    <definedName name="IQ_ECO_METRIC_8259">"c8259"</definedName>
    <definedName name="IQ_ECO_METRIC_8260">"c8260"</definedName>
    <definedName name="IQ_ECO_METRIC_8261">"c8261"</definedName>
    <definedName name="IQ_ECO_METRIC_8262">"c8262"</definedName>
    <definedName name="IQ_ECO_METRIC_8263">"c8263"</definedName>
    <definedName name="IQ_ECO_METRIC_8264">"c8264"</definedName>
    <definedName name="IQ_ECO_METRIC_8265">"c8265"</definedName>
    <definedName name="IQ_ECO_METRIC_8266">"c8266"</definedName>
    <definedName name="IQ_ECO_METRIC_8267">"c8267"</definedName>
    <definedName name="IQ_ECO_METRIC_8268">"c8268"</definedName>
    <definedName name="IQ_ECO_METRIC_8269">"c8269"</definedName>
    <definedName name="IQ_ECO_METRIC_8270">"c8270"</definedName>
    <definedName name="IQ_ECO_METRIC_8271">"c8271"</definedName>
    <definedName name="IQ_ECO_METRIC_8272">"c8272"</definedName>
    <definedName name="IQ_ECO_METRIC_8273">"c8273"</definedName>
    <definedName name="IQ_ECO_METRIC_8274">"c8274"</definedName>
    <definedName name="IQ_ECO_METRIC_8275">"c8275"</definedName>
    <definedName name="IQ_ECO_METRIC_8276">"c8276"</definedName>
    <definedName name="IQ_ECO_METRIC_8277">"c8277"</definedName>
    <definedName name="IQ_ECO_METRIC_8278">"c8278"</definedName>
    <definedName name="IQ_ECO_METRIC_8279">"c8279"</definedName>
    <definedName name="IQ_ECO_METRIC_8280">"c8280"</definedName>
    <definedName name="IQ_ECO_METRIC_8282">"c8282"</definedName>
    <definedName name="IQ_ECO_METRIC_8283">"c8283"</definedName>
    <definedName name="IQ_ECO_METRIC_8284">"c8284"</definedName>
    <definedName name="IQ_ECO_METRIC_8285">"c8285"</definedName>
    <definedName name="IQ_ECO_METRIC_8286">"c8286"</definedName>
    <definedName name="IQ_ECO_METRIC_8287">"c8287"</definedName>
    <definedName name="IQ_ECO_METRIC_8288">"c8288"</definedName>
    <definedName name="IQ_ECO_METRIC_8289">"c8289"</definedName>
    <definedName name="IQ_ECO_METRIC_8290">"c8290"</definedName>
    <definedName name="IQ_ECO_METRIC_8291">"c8291"</definedName>
    <definedName name="IQ_ECO_METRIC_8292">"c8292"</definedName>
    <definedName name="IQ_ECO_METRIC_8293">"c8293"</definedName>
    <definedName name="IQ_ECO_METRIC_8294">"c8294"</definedName>
    <definedName name="IQ_ECO_METRIC_8295">"c8295"</definedName>
    <definedName name="IQ_ECO_METRIC_8296">"c8296"</definedName>
    <definedName name="IQ_ECO_METRIC_8297">"c8297"</definedName>
    <definedName name="IQ_ECO_METRIC_8298">"c8298"</definedName>
    <definedName name="IQ_ECO_METRIC_8299">"c8299"</definedName>
    <definedName name="IQ_ECO_METRIC_8300">"c8300"</definedName>
    <definedName name="IQ_ECO_METRIC_8301">"c8301"</definedName>
    <definedName name="IQ_ECO_METRIC_8302">"c8302"</definedName>
    <definedName name="IQ_ECO_METRIC_8303">"c8303"</definedName>
    <definedName name="IQ_ECO_METRIC_8304">"c8304"</definedName>
    <definedName name="IQ_ECO_METRIC_8305">"c8305"</definedName>
    <definedName name="IQ_ECO_METRIC_8306">"c8306"</definedName>
    <definedName name="IQ_ECO_METRIC_8307">"c8307"</definedName>
    <definedName name="IQ_ECO_METRIC_8308">"c8308"</definedName>
    <definedName name="IQ_ECO_METRIC_8308_UNUSED_UNUSED_UNUSED">"c8308"</definedName>
    <definedName name="IQ_ECO_METRIC_8309">"c8309"</definedName>
    <definedName name="IQ_ECO_METRIC_8310">"c8310"</definedName>
    <definedName name="IQ_ECO_METRIC_8311">"c8311"</definedName>
    <definedName name="IQ_ECO_METRIC_8312">"c8312"</definedName>
    <definedName name="IQ_ECO_METRIC_8314">"c8314"</definedName>
    <definedName name="IQ_ECO_METRIC_8315">"c8315"</definedName>
    <definedName name="IQ_ECO_METRIC_8316">"c8316"</definedName>
    <definedName name="IQ_ECO_METRIC_8317">"c8317"</definedName>
    <definedName name="IQ_ECO_METRIC_8318">"c8318"</definedName>
    <definedName name="IQ_ECO_METRIC_8320">"c8320"</definedName>
    <definedName name="IQ_ECO_METRIC_8321">"c8321"</definedName>
    <definedName name="IQ_ECO_METRIC_8322">"c8322"</definedName>
    <definedName name="IQ_ECO_METRIC_8323">"c8323"</definedName>
    <definedName name="IQ_ECO_METRIC_8324">"c8324"</definedName>
    <definedName name="IQ_ECO_METRIC_8325">"c8325"</definedName>
    <definedName name="IQ_ECO_METRIC_8326">"c8326"</definedName>
    <definedName name="IQ_ECO_METRIC_8327">"c8327"</definedName>
    <definedName name="IQ_ECO_METRIC_8328">"c8328"</definedName>
    <definedName name="IQ_ECO_METRIC_8329">"c8329"</definedName>
    <definedName name="IQ_ECO_METRIC_8330">"c8330"</definedName>
    <definedName name="IQ_ECO_METRIC_8331">"c8331"</definedName>
    <definedName name="IQ_ECO_METRIC_8332">"c8332"</definedName>
    <definedName name="IQ_ECO_METRIC_8333">"c8333"</definedName>
    <definedName name="IQ_ECO_METRIC_8335">"c8335"</definedName>
    <definedName name="IQ_ECO_METRIC_8336">"c8336"</definedName>
    <definedName name="IQ_ECO_METRIC_8337">"c8337"</definedName>
    <definedName name="IQ_ECO_METRIC_8338">"c8338"</definedName>
    <definedName name="IQ_ECO_METRIC_8339">"c8339"</definedName>
    <definedName name="IQ_ECO_METRIC_8340">"c8340"</definedName>
    <definedName name="IQ_ECO_METRIC_8341">"c8341"</definedName>
    <definedName name="IQ_ECO_METRIC_8343">"c8343"</definedName>
    <definedName name="IQ_ECO_METRIC_8344">"c8344"</definedName>
    <definedName name="IQ_ECO_METRIC_8345">"c8345"</definedName>
    <definedName name="IQ_ECO_METRIC_8346">"c8346"</definedName>
    <definedName name="IQ_ECO_METRIC_8347">"c8347"</definedName>
    <definedName name="IQ_ECO_METRIC_8348">"c8348"</definedName>
    <definedName name="IQ_ECO_METRIC_8349">"c8349"</definedName>
    <definedName name="IQ_ECO_METRIC_8350">"c8350"</definedName>
    <definedName name="IQ_ECO_METRIC_8352">"c8352"</definedName>
    <definedName name="IQ_ECO_METRIC_8353">"c8353"</definedName>
    <definedName name="IQ_ECO_METRIC_8354">"c8354"</definedName>
    <definedName name="IQ_ECO_METRIC_8355">"c8355"</definedName>
    <definedName name="IQ_ECO_METRIC_8356">"c8356"</definedName>
    <definedName name="IQ_ECO_METRIC_8357">"c8357"</definedName>
    <definedName name="IQ_ECO_METRIC_8358">"c8358"</definedName>
    <definedName name="IQ_ECO_METRIC_8359">"c8359"</definedName>
    <definedName name="IQ_ECO_METRIC_8360">"c8360"</definedName>
    <definedName name="IQ_ECO_METRIC_8361">"c8361"</definedName>
    <definedName name="IQ_ECO_METRIC_8362">"c8362"</definedName>
    <definedName name="IQ_ECO_METRIC_8363">"c8363"</definedName>
    <definedName name="IQ_ECO_METRIC_8367">"c8367"</definedName>
    <definedName name="IQ_ECO_METRIC_8368">"c8368"</definedName>
    <definedName name="IQ_ECO_METRIC_8369">"c8369"</definedName>
    <definedName name="IQ_ECO_METRIC_8370">"c8370"</definedName>
    <definedName name="IQ_ECO_METRIC_8371">"c8371"</definedName>
    <definedName name="IQ_ECO_METRIC_8372">"c8372"</definedName>
    <definedName name="IQ_ECO_METRIC_8373">"c8373"</definedName>
    <definedName name="IQ_ECO_METRIC_8374">"c8374"</definedName>
    <definedName name="IQ_ECO_METRIC_8375">"c8375"</definedName>
    <definedName name="IQ_ECO_METRIC_8376">"c8376"</definedName>
    <definedName name="IQ_ECO_METRIC_8377">"c8377"</definedName>
    <definedName name="IQ_ECO_METRIC_8380">"c8380"</definedName>
    <definedName name="IQ_ECO_METRIC_8381">"c8381"</definedName>
    <definedName name="IQ_ECO_METRIC_8382">"c8382"</definedName>
    <definedName name="IQ_ECO_METRIC_8383">"c8383"</definedName>
    <definedName name="IQ_ECO_METRIC_8384">"c8384"</definedName>
    <definedName name="IQ_ECO_METRIC_8385">"c8385"</definedName>
    <definedName name="IQ_ECO_METRIC_8387">"c8387"</definedName>
    <definedName name="IQ_ECO_METRIC_8388">"c8388"</definedName>
    <definedName name="IQ_ECO_METRIC_8389">"c8389"</definedName>
    <definedName name="IQ_ECO_METRIC_8390">"c8390"</definedName>
    <definedName name="IQ_ECO_METRIC_8391">"c8391"</definedName>
    <definedName name="IQ_ECO_METRIC_8392">"c8392"</definedName>
    <definedName name="IQ_ECO_METRIC_8393">"c8393"</definedName>
    <definedName name="IQ_ECO_METRIC_8394">"c8394"</definedName>
    <definedName name="IQ_ECO_METRIC_8395">"c8395"</definedName>
    <definedName name="IQ_ECO_METRIC_8396">"c8396"</definedName>
    <definedName name="IQ_ECO_METRIC_8397">"c8397"</definedName>
    <definedName name="IQ_ECO_METRIC_8398">"c8398"</definedName>
    <definedName name="IQ_ECO_METRIC_8399">"c8399"</definedName>
    <definedName name="IQ_ECO_METRIC_8400">"c8400"</definedName>
    <definedName name="IQ_ECO_METRIC_8401">"c8401"</definedName>
    <definedName name="IQ_ECO_METRIC_8402">"c8402"</definedName>
    <definedName name="IQ_ECO_METRIC_8403">"c8403"</definedName>
    <definedName name="IQ_ECO_METRIC_8404">"c8404"</definedName>
    <definedName name="IQ_ECO_METRIC_8405">"c8405"</definedName>
    <definedName name="IQ_ECO_METRIC_8406">"c8406"</definedName>
    <definedName name="IQ_ECO_METRIC_8407">"c8407"</definedName>
    <definedName name="IQ_ECO_METRIC_8408">"c8408"</definedName>
    <definedName name="IQ_ECO_METRIC_8409">"c8409"</definedName>
    <definedName name="IQ_ECO_METRIC_8410">"c8410"</definedName>
    <definedName name="IQ_ECO_METRIC_8411">"c8411"</definedName>
    <definedName name="IQ_ECO_METRIC_8412">"c8412"</definedName>
    <definedName name="IQ_ECO_METRIC_8413">"c8413"</definedName>
    <definedName name="IQ_ECO_METRIC_8414">"c8414"</definedName>
    <definedName name="IQ_ECO_METRIC_8415">"c8415"</definedName>
    <definedName name="IQ_ECO_METRIC_8416">"c8416"</definedName>
    <definedName name="IQ_ECO_METRIC_8417">"c8417"</definedName>
    <definedName name="IQ_ECO_METRIC_8418">"c8418"</definedName>
    <definedName name="IQ_ECO_METRIC_8419">"c8419"</definedName>
    <definedName name="IQ_ECO_METRIC_8420">"c8420"</definedName>
    <definedName name="IQ_ECO_METRIC_8421">"c8421"</definedName>
    <definedName name="IQ_ECO_METRIC_8422">"c8422"</definedName>
    <definedName name="IQ_ECO_METRIC_8423">"c8423"</definedName>
    <definedName name="IQ_ECO_METRIC_8424">"c8424"</definedName>
    <definedName name="IQ_ECO_METRIC_8425">"c8425"</definedName>
    <definedName name="IQ_ECO_METRIC_8426">"c8426"</definedName>
    <definedName name="IQ_ECO_METRIC_8427">"c8427"</definedName>
    <definedName name="IQ_ECO_METRIC_8428">"c8428"</definedName>
    <definedName name="IQ_ECO_METRIC_8429">"c8429"</definedName>
    <definedName name="IQ_ECO_METRIC_8430">"c8430"</definedName>
    <definedName name="IQ_ECO_METRIC_8431">"c8431"</definedName>
    <definedName name="IQ_ECO_METRIC_8432">"c8432"</definedName>
    <definedName name="IQ_ECO_METRIC_8433">"c8433"</definedName>
    <definedName name="IQ_ECO_METRIC_8434">"c8434"</definedName>
    <definedName name="IQ_ECO_METRIC_8435">"c8435"</definedName>
    <definedName name="IQ_ECO_METRIC_8436">"c8436"</definedName>
    <definedName name="IQ_ECO_METRIC_8436_UNUSED_UNUSED_UNUSED">"c8436"</definedName>
    <definedName name="IQ_ECO_METRIC_8437">"c8437"</definedName>
    <definedName name="IQ_ECO_METRIC_8437_UNUSED_UNUSED_UNUSED">"c8437"</definedName>
    <definedName name="IQ_ECO_METRIC_8440">"c8440"</definedName>
    <definedName name="IQ_ECO_METRIC_8441">"c8441"</definedName>
    <definedName name="IQ_ECO_METRIC_8442">"c8442"</definedName>
    <definedName name="IQ_ECO_METRIC_8443">"c8443"</definedName>
    <definedName name="IQ_ECO_METRIC_8444">"c8444"</definedName>
    <definedName name="IQ_ECO_METRIC_8445">"c8445"</definedName>
    <definedName name="IQ_ECO_METRIC_8446">"c8446"</definedName>
    <definedName name="IQ_ECO_METRIC_8447">"c8447"</definedName>
    <definedName name="IQ_ECO_METRIC_8448">"c8448"</definedName>
    <definedName name="IQ_ECO_METRIC_8450">"c8450"</definedName>
    <definedName name="IQ_ECO_METRIC_8451">"c8451"</definedName>
    <definedName name="IQ_ECO_METRIC_8452">"c8452"</definedName>
    <definedName name="IQ_ECO_METRIC_8453">"c8453"</definedName>
    <definedName name="IQ_ECO_METRIC_8454">"c8454"</definedName>
    <definedName name="IQ_ECO_METRIC_8455">"c8455"</definedName>
    <definedName name="IQ_ECO_METRIC_8456">"c8456"</definedName>
    <definedName name="IQ_ECO_METRIC_8457">"c8457"</definedName>
    <definedName name="IQ_ECO_METRIC_8458">"c8458"</definedName>
    <definedName name="IQ_ECO_METRIC_8459">"c8459"</definedName>
    <definedName name="IQ_ECO_METRIC_8460">"c8460"</definedName>
    <definedName name="IQ_ECO_METRIC_8461">"c8461"</definedName>
    <definedName name="IQ_ECO_METRIC_8462">"c8462"</definedName>
    <definedName name="IQ_ECO_METRIC_8463">"c8463"</definedName>
    <definedName name="IQ_ECO_METRIC_8464">"c8464"</definedName>
    <definedName name="IQ_ECO_METRIC_8465">"c8465"</definedName>
    <definedName name="IQ_ECO_METRIC_8466">"c8466"</definedName>
    <definedName name="IQ_ECO_METRIC_8468">"c8468"</definedName>
    <definedName name="IQ_ECO_METRIC_8469">"c8469"</definedName>
    <definedName name="IQ_ECO_METRIC_8470">"c8470"</definedName>
    <definedName name="IQ_ECO_METRIC_8472">"c8472"</definedName>
    <definedName name="IQ_ECO_METRIC_8473">"c8473"</definedName>
    <definedName name="IQ_ECO_METRIC_8474">"c8474"</definedName>
    <definedName name="IQ_ECO_METRIC_8476">"c8476"</definedName>
    <definedName name="IQ_ECO_METRIC_8477">"c8477"</definedName>
    <definedName name="IQ_ECO_METRIC_8478">"c8478"</definedName>
    <definedName name="IQ_ECO_METRIC_8479">"c8479"</definedName>
    <definedName name="IQ_ECO_METRIC_8480">"c8480"</definedName>
    <definedName name="IQ_ECO_METRIC_8481">"c8481"</definedName>
    <definedName name="IQ_ECO_METRIC_8482">"c8482"</definedName>
    <definedName name="IQ_ECO_METRIC_8483">"c8483"</definedName>
    <definedName name="IQ_ECO_METRIC_8484">"c8484"</definedName>
    <definedName name="IQ_ECO_METRIC_8485">"c8485"</definedName>
    <definedName name="IQ_ECO_METRIC_8486">"c8486"</definedName>
    <definedName name="IQ_ECO_METRIC_8487">"c8487"</definedName>
    <definedName name="IQ_ECO_METRIC_8488">"c8488"</definedName>
    <definedName name="IQ_ECO_METRIC_8489">"c8489"</definedName>
    <definedName name="IQ_ECO_METRIC_8490">"c8490"</definedName>
    <definedName name="IQ_ECO_METRIC_8491">"c8491"</definedName>
    <definedName name="IQ_ECO_METRIC_8492">"c8492"</definedName>
    <definedName name="IQ_ECO_METRIC_8493">"c8493"</definedName>
    <definedName name="IQ_ECO_METRIC_8494">"c8494"</definedName>
    <definedName name="IQ_ECO_METRIC_8495">"c8495"</definedName>
    <definedName name="IQ_ECO_METRIC_8496">"c8496"</definedName>
    <definedName name="IQ_ECO_METRIC_8497">"c8497"</definedName>
    <definedName name="IQ_ECO_METRIC_8498">"c8498"</definedName>
    <definedName name="IQ_ECO_METRIC_8499">"c8499"</definedName>
    <definedName name="IQ_ECO_METRIC_8500">"c8500"</definedName>
    <definedName name="IQ_ECO_METRIC_8502">"c8502"</definedName>
    <definedName name="IQ_ECO_METRIC_8503">"c8503"</definedName>
    <definedName name="IQ_ECO_METRIC_8504">"c8504"</definedName>
    <definedName name="IQ_ECO_METRIC_8505">"c8505"</definedName>
    <definedName name="IQ_ECO_METRIC_8506">"c8506"</definedName>
    <definedName name="IQ_ECO_METRIC_8507">"c8507"</definedName>
    <definedName name="IQ_ECO_METRIC_8508">"c8508"</definedName>
    <definedName name="IQ_ECO_METRIC_8509">"c8509"</definedName>
    <definedName name="IQ_ECO_METRIC_8510">"c8510"</definedName>
    <definedName name="IQ_ECO_METRIC_8511">"c8511"</definedName>
    <definedName name="IQ_ECO_METRIC_8512">"c8512"</definedName>
    <definedName name="IQ_ECO_METRIC_8513">"c8513"</definedName>
    <definedName name="IQ_ECO_METRIC_8514">"c8514"</definedName>
    <definedName name="IQ_ECO_METRIC_8515">"c8515"</definedName>
    <definedName name="IQ_ECO_METRIC_8516">"c8516"</definedName>
    <definedName name="IQ_ECO_METRIC_8517">"c8517"</definedName>
    <definedName name="IQ_ECO_METRIC_8518">"c8518"</definedName>
    <definedName name="IQ_ECO_METRIC_8519">"c8519"</definedName>
    <definedName name="IQ_ECO_METRIC_8520">"c8520"</definedName>
    <definedName name="IQ_ECO_METRIC_8521">"c8521"</definedName>
    <definedName name="IQ_ECO_METRIC_8522">"c8522"</definedName>
    <definedName name="IQ_ECO_METRIC_8523">"c8523"</definedName>
    <definedName name="IQ_ECO_METRIC_8524">"c8524"</definedName>
    <definedName name="IQ_ECO_METRIC_8525">"c8525"</definedName>
    <definedName name="IQ_ECO_METRIC_8526">"c8526"</definedName>
    <definedName name="IQ_ECO_METRIC_8527">"c8527"</definedName>
    <definedName name="IQ_ECO_METRIC_8528">"c8528"</definedName>
    <definedName name="IQ_ECO_METRIC_8528_UNUSED_UNUSED_UNUSED">"c8528"</definedName>
    <definedName name="IQ_ECO_METRIC_8529">"c8529"</definedName>
    <definedName name="IQ_ECO_METRIC_8530">"c8530"</definedName>
    <definedName name="IQ_ECO_METRIC_8531">"c8531"</definedName>
    <definedName name="IQ_ECO_METRIC_8532">"c8532"</definedName>
    <definedName name="IQ_ECO_METRIC_8534">"c8534"</definedName>
    <definedName name="IQ_ECO_METRIC_8535">"c8535"</definedName>
    <definedName name="IQ_ECO_METRIC_8536">"c8536"</definedName>
    <definedName name="IQ_ECO_METRIC_8537">"c8537"</definedName>
    <definedName name="IQ_ECO_METRIC_8538">"c8538"</definedName>
    <definedName name="IQ_ECO_METRIC_8540">"c8540"</definedName>
    <definedName name="IQ_ECO_METRIC_8541">"c8541"</definedName>
    <definedName name="IQ_ECO_METRIC_8543">"c8543"</definedName>
    <definedName name="IQ_ECO_METRIC_8544">"c8544"</definedName>
    <definedName name="IQ_ECO_METRIC_8545">"c8545"</definedName>
    <definedName name="IQ_ECO_METRIC_8546">"c8546"</definedName>
    <definedName name="IQ_ECO_METRIC_8547">"c8547"</definedName>
    <definedName name="IQ_ECO_METRIC_8548">"c8548"</definedName>
    <definedName name="IQ_ECO_METRIC_8549">"c8549"</definedName>
    <definedName name="IQ_ECO_METRIC_8550">"c8550"</definedName>
    <definedName name="IQ_ECO_METRIC_8555">"c8555"</definedName>
    <definedName name="IQ_ECO_METRIC_8556">"c8556"</definedName>
    <definedName name="IQ_ECO_METRIC_8557">"c8557"</definedName>
    <definedName name="IQ_ECO_METRIC_8558">"c8558"</definedName>
    <definedName name="IQ_ECO_METRIC_8559">"c8559"</definedName>
    <definedName name="IQ_ECO_METRIC_8560">"c8560"</definedName>
    <definedName name="IQ_ECO_METRIC_8561">"c8561"</definedName>
    <definedName name="IQ_ECO_METRIC_8565">"c8565"</definedName>
    <definedName name="IQ_ECO_METRIC_8567">"c8567"</definedName>
    <definedName name="IQ_ECO_METRIC_8568">"c8568"</definedName>
    <definedName name="IQ_ECO_METRIC_8569">"c8569"</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"IQ_EPS"</definedName>
    <definedName name="IQ_EPS_10K">"IQ_EPS_10K"</definedName>
    <definedName name="IQ_EPS_10Q">"IQ_EPS_10Q"</definedName>
    <definedName name="IQ_EPS_10Q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"c2213"</definedName>
    <definedName name="IQ_EPS_EST">"c399"</definedName>
    <definedName name="IQ_EPS_EST_1">"c189"</definedName>
    <definedName name="IQ_EPS_HIGH_EST">"c400"</definedName>
    <definedName name="IQ_EPS_LOW_EST">"c401"</definedName>
    <definedName name="IQ_EPS_MEDIAN_EST">"c1661"</definedName>
    <definedName name="IQ_EPS_NO_EST">"c271"</definedName>
    <definedName name="IQ_EPS_NORM">"c1902"</definedName>
    <definedName name="IQ_EPS_NUM_EST">"c402"</definedName>
    <definedName name="IQ_EPS_STDDEV_EST">"c403"</definedName>
    <definedName name="IQ_EQUITY_AFFIL">"c1451"</definedName>
    <definedName name="IQ_EQUITY_METHOD">"c404"</definedName>
    <definedName name="IQ_EQV_OVER_BV">"c1596"</definedName>
    <definedName name="IQ_EQV_OVER_LTM_PRETAX_INC">"c1390"</definedName>
    <definedName name="IQ_ESOP_DEBT">"c1597"</definedName>
    <definedName name="IQ_EST_ACT_BV_REUT">"c5409"</definedName>
    <definedName name="IQ_EST_ACT_BV_THOM">"c5153"</definedName>
    <definedName name="IQ_EST_ACT_EPS">"c1648"</definedName>
    <definedName name="IQ_EST_ACT_FFO_REUT">"c3843"</definedName>
    <definedName name="IQ_EST_ACT_FFO_THOM">"c4005"</definedName>
    <definedName name="IQ_EST_BV_DIFF_REUT">"c5433"</definedName>
    <definedName name="IQ_EST_BV_DIFF_THOM">"c5204"</definedName>
    <definedName name="IQ_EST_BV_SURPRISE_PERCENT_REUT">"c5434"</definedName>
    <definedName name="IQ_EST_BV_SURPRISE_PERCENT_THOM">"c5205"</definedName>
    <definedName name="IQ_EST_CURRENCY">"c2140"</definedName>
    <definedName name="IQ_EST_DATE">"c1634"</definedName>
    <definedName name="IQ_EST_EPS_DIFF">"c1864"</definedName>
    <definedName name="IQ_EST_EPS_GROWTH_1YR">"c1636"</definedName>
    <definedName name="IQ_EST_EPS_GROWTH_2YR">"c1637"</definedName>
    <definedName name="IQ_EST_EPS_GROWTH_5YR">"c1655"</definedName>
    <definedName name="IQ_EST_EPS_GROWTH_5YR_HIGH">"c1657"</definedName>
    <definedName name="IQ_EST_EPS_GROWTH_5YR_LOW">"c1658"</definedName>
    <definedName name="IQ_EST_EPS_GROWTH_5YR_MEDIAN">"c1656"</definedName>
    <definedName name="IQ_EST_EPS_GROWTH_5YR_NUM">"c1659"</definedName>
    <definedName name="IQ_EST_EPS_GROWTH_5YR_STDDEV">"c1660"</definedName>
    <definedName name="IQ_EST_EPS_GROWTH_Q_1YR">"c1641"</definedName>
    <definedName name="IQ_EST_EPS_SURPRISE">"c1635"</definedName>
    <definedName name="IQ_EST_FFO_DIFF_REUT">"c3890"</definedName>
    <definedName name="IQ_EST_FFO_DIFF_THOM">"c5186"</definedName>
    <definedName name="IQ_EST_FFO_SURPRISE_PERCENT_REUT">"c3891"</definedName>
    <definedName name="IQ_EST_FFO_SURPRISE_PERCENT_THOM">"c5187"</definedName>
    <definedName name="IQ_EST_NUM_BUY_CIQ">"c3700"</definedName>
    <definedName name="IQ_EST_NUM_BUY_REUT">"c3869"</definedName>
    <definedName name="IQ_EST_NUM_BUY_THOM">"c5165"</definedName>
    <definedName name="IQ_EST_NUM_HOLD_CIQ">"c3702"</definedName>
    <definedName name="IQ_EST_NUM_HOLD_REUT">"c3871"</definedName>
    <definedName name="IQ_EST_NUM_HOLD_THOM">"c5167"</definedName>
    <definedName name="IQ_EST_NUM_OUTPERFORM_CIQ">"c3701"</definedName>
    <definedName name="IQ_EST_NUM_OUTPERFORM_REUT">"c3870"</definedName>
    <definedName name="IQ_EST_NUM_OUTPERFORM_THOM">"c5166"</definedName>
    <definedName name="IQ_EST_NUM_SELL_CIQ">"c3704"</definedName>
    <definedName name="IQ_EST_NUM_SELL_REUT">"c3873"</definedName>
    <definedName name="IQ_EST_NUM_SELL_THOM">"c5169"</definedName>
    <definedName name="IQ_EST_NUM_UNDERPERFORM_CIQ">"c3703"</definedName>
    <definedName name="IQ_EST_NUM_UNDERPERFORM_REUT">"c3872"</definedName>
    <definedName name="IQ_EST_NUM_UNDERPERFORM_THOM">"c5168"</definedName>
    <definedName name="IQ_EST_REV_GROWTH_1YR">"c1638"</definedName>
    <definedName name="IQ_EST_REV_GROWTH_2YR">"c1639"</definedName>
    <definedName name="IQ_EST_REV_GROWTH_Q_1YR">"c1640"</definedName>
    <definedName name="IQ_EV_OVER_EMPLOYEE">"c1428"</definedName>
    <definedName name="IQ_EV_OVER_LTM_EBIT">"c1426"</definedName>
    <definedName name="IQ_EV_OVER_LTM_EBITDA">"c1427"</definedName>
    <definedName name="IQ_EV_OVER_LTM_REVENUE">"c1429"</definedName>
    <definedName name="IQ_EV_OVER_REVENUE_EST">"c165"</definedName>
    <definedName name="IQ_EV_OVER_REVENUE_EST_1">"c166"</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 localSheetId="11">"test"</definedName>
    <definedName name="IQ_EXPENSE_CODE_">"01"</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FO">"c1574"</definedName>
    <definedName name="IQ_FFO_EST">"c418"</definedName>
    <definedName name="IQ_FFO_EST_REUT">"c3837"</definedName>
    <definedName name="IQ_FFO_EST_THOM">"c3999"</definedName>
    <definedName name="IQ_FFO_HIGH_EST">"c419"</definedName>
    <definedName name="IQ_FFO_HIGH_EST_REUT">"c3839"</definedName>
    <definedName name="IQ_FFO_HIGH_EST_THOM">"c4001"</definedName>
    <definedName name="IQ_FFO_LOW_EST">"c420"</definedName>
    <definedName name="IQ_FFO_LOW_EST_REUT">"c3840"</definedName>
    <definedName name="IQ_FFO_LOW_EST_THOM">"c4002"</definedName>
    <definedName name="IQ_FFO_MEDIAN_EST_REUT">"c3838"</definedName>
    <definedName name="IQ_FFO_MEDIAN_EST_THOM">"c4000"</definedName>
    <definedName name="IQ_FFO_NO_EST">"c276"</definedName>
    <definedName name="IQ_FFO_NUM_EST">"c421"</definedName>
    <definedName name="IQ_FFO_NUM_EST_REUT">"c3841"</definedName>
    <definedName name="IQ_FFO_NUM_EST_THOM">"c4003"</definedName>
    <definedName name="IQ_FFO_STDDEV_EST">"c422"</definedName>
    <definedName name="IQ_FFO_STDDEV_EST_REUT">"c3842"</definedName>
    <definedName name="IQ_FFO_STDDEV_EST_THOM">"c4004"</definedName>
    <definedName name="IQ_FH">100000</definedName>
    <definedName name="IQ_FHLB_DEBT">"c423"</definedName>
    <definedName name="IQ_FHLB_DUE_AFTER_FIVE">"c2086"</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NOTES_PAY_TOTAL">"c5522"</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Y">"c441"</definedName>
    <definedName name="IQ_FIVE_PERCENT_AMOUNT">"c240"</definedName>
    <definedName name="IQ_FIVE_PERCENT_OWNER">"c442"</definedName>
    <definedName name="IQ_FIVEPERCENT_OWNER">"c239"</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"c225"</definedName>
    <definedName name="IQ_FLOAT_PERCENT">"c1575"</definedName>
    <definedName name="IQ_FOREIGN_BRANCHES_U.S._BANKS_LOANS_FDIC">"c6438"</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"504"</definedName>
    <definedName name="IQ_FWD_Q4">"505"</definedName>
    <definedName name="IQ_FWD_Q5">"506"</definedName>
    <definedName name="IQ_FWD_Q6">"507"</definedName>
    <definedName name="IQ_FWD_Q7">"508"</definedName>
    <definedName name="IQ_FWD1">"LTM"</definedName>
    <definedName name="IQ_FX">"c451"</definedName>
    <definedName name="IQ_FY">1000</definedName>
    <definedName name="IQ_FY_DATE">"IQ_FY_DATE"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C_BNK">"c488"</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GW">"c519"</definedName>
    <definedName name="IQ_GROSS_INTAN">"c520"</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G_REV_OTHER_CASINO">"c8721"</definedName>
    <definedName name="IQ_HG_REV_OTHER_HOTEL_MOTEL">"c8731"</definedName>
    <definedName name="IQ_HG_REV_TOTAL_CASINO_GAMING">"c8723"</definedName>
    <definedName name="IQ_HG_REV_TOTAL_HOTEL_MOTEL">"c8732"</definedName>
    <definedName name="IQ_HIGHPRICE">"c545"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"c1534"</definedName>
    <definedName name="IQ_INSIDER_3MTH_BOUGHT_PCT">"c1534"</definedName>
    <definedName name="IQ_INSIDER_3MTH_NET">"c1535"</definedName>
    <definedName name="IQ_INSIDER_3MTH_NET_PCT">"c1535"</definedName>
    <definedName name="IQ_INSIDER_3MTH_SOLD">"c1533"</definedName>
    <definedName name="IQ_INSIDER_3MTH_SOLD_PCT">"c1533"</definedName>
    <definedName name="IQ_INSIDER_6MTH_BOUGHT">"c1537"</definedName>
    <definedName name="IQ_INSIDER_6MTH_BOUGHT_PCT">"c1537"</definedName>
    <definedName name="IQ_INSIDER_6MTH_NET">"c1538"</definedName>
    <definedName name="IQ_INSIDER_6MTH_NET_PCT">"c1538"</definedName>
    <definedName name="IQ_INSIDER_6MTH_SOLD">"c1536"</definedName>
    <definedName name="IQ_INSIDER_6MTH_SOLD_PCT">"c1536"</definedName>
    <definedName name="IQ_INSIDER_AMOUNT">"c238"</definedName>
    <definedName name="IQ_INSIDER_OVER_TOTAL">"c1581"</definedName>
    <definedName name="IQ_INSIDER_OWNER">"c577"</definedName>
    <definedName name="IQ_INSIDER_PERCENT">"c578"</definedName>
    <definedName name="IQ_INSIDER_SHARES">"c579"</definedName>
    <definedName name="IQ_INSTITUTIONAL_AMOUNT">"c236"</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"IQ_INTEREST_INC_10K"</definedName>
    <definedName name="IQ_INTEREST_INC_10Q">"IQ_INTEREST_INC_10Q"</definedName>
    <definedName name="IQ_INTEREST_INC_10Q1">"IQ_INTEREST_INC_10Q1"</definedName>
    <definedName name="IQ_INTEREST_INC_NON">"c1384"</definedName>
    <definedName name="IQ_INTEREST_INVEST_INC">"c619"</definedName>
    <definedName name="IQ_INTEREST_LT_DEBT">"c2086"</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LAND">"c645"</definedName>
    <definedName name="IQ_LAST_EBIT_MARGIN">"c151"</definedName>
    <definedName name="IQ_LAST_EBITDA_MARGIN">"c150"</definedName>
    <definedName name="IQ_LAST_GROSS_MARGIN">"c149"</definedName>
    <definedName name="IQ_LAST_NET_INC_MARGIN">"c152"</definedName>
    <definedName name="IQ_LAST_SPLIT_DATE">"c2095"</definedName>
    <definedName name="IQ_LAST_SPLIT_FACTOR">"c2093"</definedName>
    <definedName name="IQ_LASTSALEPRICE">"c646"</definedName>
    <definedName name="IQ_LASTSALEPRICE_DATE">"c2109"</definedName>
    <definedName name="IQ_LATEST">"1"</definedName>
    <definedName name="IQ_LATESTK" hidden="1">1000</definedName>
    <definedName name="IQ_LATESTKFR">"100"</definedName>
    <definedName name="IQ_LATESTQ" hidden="1">500</definedName>
    <definedName name="IQ_LATESTQFR">"50"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OR">"c655"</definedName>
    <definedName name="IQ_LISTING_CURRENCY">"c2127"</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_SENIOR_DEBT">"c702"</definedName>
    <definedName name="IQ_LT_SUB_DEBT">"c703"</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"IQ_LTM_DATE"</definedName>
    <definedName name="IQ_LTM_REVENUE_OVER_EMPLOYEES">"c1437"</definedName>
    <definedName name="IQ_LTMMONTH" hidden="1">120000</definedName>
    <definedName name="IQ_MACHINERY">"c711"</definedName>
    <definedName name="IQ_MAINT_CAPEX_ACT_OR_EST">"c4458"</definedName>
    <definedName name="IQ_MAINT_REPAIR">"c2087"</definedName>
    <definedName name="IQ_MARKET_CAP_LFCF">"c2209"</definedName>
    <definedName name="IQ_MARKETCAP">"c712"</definedName>
    <definedName name="IQ_MARKETING">"c2239"</definedName>
    <definedName name="IQ_MARKTCAP">"c258"</definedName>
    <definedName name="IQ_MC_GA_MARGIN">"c9930"</definedName>
    <definedName name="IQ_MC_GA_OPERATING_REV">"c9929"</definedName>
    <definedName name="IQ_MC_MEDICAL_EXPENSE_RATIO">"c9927"</definedName>
    <definedName name="IQ_MC_SGA_MARGIN">"c9932"</definedName>
    <definedName name="IQ_MC_SGA_OPERATING_REV">"c9931"</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M_ACCOUNT">"c743"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MTD" hidden="1">800000</definedName>
    <definedName name="IQ_NAMES_REVISION_DATE_" hidden="1">45392.4641203704</definedName>
    <definedName name="IQ_NAV_ACT_OR_EST">"c2225"</definedName>
    <definedName name="IQ_NET_CHANGE">"c749"</definedName>
    <definedName name="IQ_NET_DEBT">"c1584"</definedName>
    <definedName name="IQ_NET_DEBT_EBITDA">"c750"</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INC">"c1394"</definedName>
    <definedName name="IQ_NET_INC_10K">"IQ_NET_INC_10K"</definedName>
    <definedName name="IQ_NET_INC_10Q">"IQ_NET_INC_10Q"</definedName>
    <definedName name="IQ_NET_INC_10Q1">"IQ_NET_INC_10Q1"</definedName>
    <definedName name="IQ_NET_INC_BEFORE">"c1368"</definedName>
    <definedName name="IQ_NET_INC_CF">"c1397"</definedName>
    <definedName name="IQ_NET_INC_GROWTH_1">"c158"</definedName>
    <definedName name="IQ_NET_INC_GROWTH_2">"c162"</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_OFFICES">"c2088"</definedName>
    <definedName name="IQ_NUMBER_ADRHOLDERS">"c1970"</definedName>
    <definedName name="IQ_NUMBER_DAYS">"c1904"</definedName>
    <definedName name="IQ_NUMBER_SHAREHOLDERS">"c1967"</definedName>
    <definedName name="IQ_NUMBER_SHAREHOLDERS_CLASSA">"c1968"</definedName>
    <definedName name="IQ_NUMBER_SHAREHOLDERS_CLASSB">"c1969"</definedName>
    <definedName name="IQ_NUMBER_SHAREHOLDERS_OTHER">"c1969"</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AILY_PRDUCTION_GROWTH_GAS">"c10073"</definedName>
    <definedName name="IQ_OG_DAILY_PRDUCTION_GROWTH_GAS_EQUIVALENT">"c10076"</definedName>
    <definedName name="IQ_OG_DAILY_PRDUCTION_GROWTH_NGL">"c10074"</definedName>
    <definedName name="IQ_OG_DAILY_PRDUCTION_GROWTH_OIL">"c10072"</definedName>
    <definedName name="IQ_OG_DAILY_PRDUCTION_GROWTH_OIL_EQUIVALENT">"c10075"</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"c1999"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DUCTION_GROWTH_GAS">"c10067"</definedName>
    <definedName name="IQ_OG_PRDUCTION_GROWTH_GAS_EQUIVALENT">"c10070"</definedName>
    <definedName name="IQ_OG_PRDUCTION_GROWTH_NGL">"c10068"</definedName>
    <definedName name="IQ_OG_PRDUCTION_GROWTH_OIL">"c10066"</definedName>
    <definedName name="IQ_OG_PRDUCTION_GROWTH_OIL_EQUIVALENT">"c10069"</definedName>
    <definedName name="IQ_OG_PRDUCTION_GROWTH_TOAL">"c10071"</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CERCISED">"c2116"</definedName>
    <definedName name="IQ_OPTIONS_EXERCISED">"c2116"</definedName>
    <definedName name="IQ_OPTIONS_ISSUED">"c857"</definedName>
    <definedName name="IQ_OPTIONS_OS">"c858"</definedName>
    <definedName name="IQ_ORDER_BACKLOG">"c2090"</definedName>
    <definedName name="IQ_OTHER_ADJUST_GROSS_LOANS">"c859"</definedName>
    <definedName name="IQ_OTHER_AMORT_BR">"c5566"</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OUTSTANDING_FILING_DATE_TOTAL">"c2107"</definedName>
    <definedName name="IQ_PART_TIME">"c1024"</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"c1030"</definedName>
    <definedName name="IQ_PE_NORMALIZED">"c2207"</definedName>
    <definedName name="IQ_PE_RATIO">"c1610"</definedName>
    <definedName name="IQ_PENSION">"c1031"</definedName>
    <definedName name="IQ_PERCENT_CHANGE_EST_FFO_12MONTHS">"c1828"</definedName>
    <definedName name="IQ_PERCENT_CHANGE_EST_FFO_12MONTHS_CIQ">"c3769"</definedName>
    <definedName name="IQ_PERCENT_CHANGE_EST_FFO_12MONTHS_REUT">"c3938"</definedName>
    <definedName name="IQ_PERCENT_CHANGE_EST_FFO_12MONTHS_THOM">"c5248"</definedName>
    <definedName name="IQ_PERCENT_CHANGE_EST_FFO_18MONTHS">"c1829"</definedName>
    <definedName name="IQ_PERCENT_CHANGE_EST_FFO_18MONTHS_CIQ">"c3770"</definedName>
    <definedName name="IQ_PERCENT_CHANGE_EST_FFO_18MONTHS_REUT">"c3939"</definedName>
    <definedName name="IQ_PERCENT_CHANGE_EST_FFO_18MONTHS_THOM">"c5249"</definedName>
    <definedName name="IQ_PERCENT_CHANGE_EST_FFO_3MONTHS">"c1825"</definedName>
    <definedName name="IQ_PERCENT_CHANGE_EST_FFO_3MONTHS_CIQ">"c3766"</definedName>
    <definedName name="IQ_PERCENT_CHANGE_EST_FFO_3MONTHS_REUT">"c3935"</definedName>
    <definedName name="IQ_PERCENT_CHANGE_EST_FFO_3MONTHS_THOM">"c5245"</definedName>
    <definedName name="IQ_PERCENT_CHANGE_EST_FFO_6MONTHS">"c1826"</definedName>
    <definedName name="IQ_PERCENT_CHANGE_EST_FFO_6MONTHS_CIQ">"c3767"</definedName>
    <definedName name="IQ_PERCENT_CHANGE_EST_FFO_6MONTHS_REUT">"c3936"</definedName>
    <definedName name="IQ_PERCENT_CHANGE_EST_FFO_6MONTHS_THOM">"c5246"</definedName>
    <definedName name="IQ_PERCENT_CHANGE_EST_FFO_9MONTHS">"c1827"</definedName>
    <definedName name="IQ_PERCENT_CHANGE_EST_FFO_9MONTHS_CIQ">"c3768"</definedName>
    <definedName name="IQ_PERCENT_CHANGE_EST_FFO_9MONTHS_REUT">"c3937"</definedName>
    <definedName name="IQ_PERCENT_CHANGE_EST_FFO_9MONTHS_THOM">"c5247"</definedName>
    <definedName name="IQ_PERCENT_CHANGE_EST_FFO_DAY">"c1822"</definedName>
    <definedName name="IQ_PERCENT_CHANGE_EST_FFO_DAY_CIQ">"c3764"</definedName>
    <definedName name="IQ_PERCENT_CHANGE_EST_FFO_DAY_REUT">"c3933"</definedName>
    <definedName name="IQ_PERCENT_CHANGE_EST_FFO_DAY_THOM">"c5243"</definedName>
    <definedName name="IQ_PERCENT_CHANGE_EST_FFO_MONTH">"c1824"</definedName>
    <definedName name="IQ_PERCENT_CHANGE_EST_FFO_MONTH_CIQ">"c3765"</definedName>
    <definedName name="IQ_PERCENT_CHANGE_EST_FFO_MONTH_REUT">"c3934"</definedName>
    <definedName name="IQ_PERCENT_CHANGE_EST_FFO_MONTH_THOM">"c5244"</definedName>
    <definedName name="IQ_PERCENT_CHANGE_EST_FFO_WEEK">"c1823"</definedName>
    <definedName name="IQ_PERCENT_CHANGE_EST_FFO_WEEK_CIQ">"c3795"</definedName>
    <definedName name="IQ_PERCENT_CHANGE_EST_FFO_WEEK_REUT">"c3964"</definedName>
    <definedName name="IQ_PERCENT_CHANGE_EST_FFO_WEEK_THOM">"c5274"</definedName>
    <definedName name="IQ_PERCENT_FLOAT">"c227"</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HARMBIO_NUMBER_PROD__APPROVED_DURING_PERIOD">"c10027"</definedName>
    <definedName name="IQ_PHARMBIO_NUMBER_PROD__CLINICAL_DEV">"c10022"</definedName>
    <definedName name="IQ_PHARMBIO_NUMBER_PROD__LAUNCHED_DURING_PERIOD">"c10028"</definedName>
    <definedName name="IQ_PHARMBIO_NUMBER_PROD__PHASE_I">"c10023"</definedName>
    <definedName name="IQ_PHARMBIO_NUMBER_PROD__PHASE_II">"c10024"</definedName>
    <definedName name="IQ_PHARMBIO_NUMBER_PROD__PHASE_III">"c10025"</definedName>
    <definedName name="IQ_PHARMBIO_NUMBER_PROD__PRE_CLINICAL_TRIALS">"c10021"</definedName>
    <definedName name="IQ_PHARMBIO_NUMBER_PROD__PRE_REGISTRATION">"c10026"</definedName>
    <definedName name="IQ_PHARMBIO_NUMBER_PROD__RESEARCH_DEV">"c10020"</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"c16"</definedName>
    <definedName name="IQ_PRETAX_INC_10K">"IQ_PRETAX_INC_10K"</definedName>
    <definedName name="IQ_PRETAX_INC_10Q">"IQ_PRETAX_INC_10Q"</definedName>
    <definedName name="IQ_PRETAX_INC_10Q1">"IQ_PRETAX_INC_10Q1"</definedName>
    <definedName name="IQ_PRICE_OVER_BVPS">"c1412"</definedName>
    <definedName name="IQ_PRICE_OVER_EPS_EST">"c174"</definedName>
    <definedName name="IQ_PRICE_OVER_EPS_EST_1">"c175"</definedName>
    <definedName name="IQ_PRICE_OVER_LTM_EPS">"c1413"</definedName>
    <definedName name="IQ_PRICE_TARGET">"c82"</definedName>
    <definedName name="IQ_PRICEDATE">"c1069"</definedName>
    <definedName name="IQ_PRICEDATETIME">"IQ_PRICEDATETIME"</definedName>
    <definedName name="IQ_PRICING_DATE">"c1613"</definedName>
    <definedName name="IQ_PRIMARY_EPS_TYPE_THOM">"c5297"</definedName>
    <definedName name="IQ_PRIMARY_INDUSTRY">"c1070"</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VG_STORE_SIZE_GROSS">"c2066"</definedName>
    <definedName name="IQ_RETAIL_AVG_STORE_SIZE_NET">"c2067"</definedName>
    <definedName name="IQ_RETAIL_CLOSED_STORES">"c2063"</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STDDEV_EST">"c1124"</definedName>
    <definedName name="IQ_REV_UTI">"c1125"</definedName>
    <definedName name="IQ_REVENUE">"c1422"</definedName>
    <definedName name="IQ_REVENUE_10K">"IQ_REVENUE_10K"</definedName>
    <definedName name="IQ_REVENUE_10Q">"IQ_REVENUE_10Q"</definedName>
    <definedName name="IQ_REVENUE_10Q1">"IQ_REVENUE_10Q1"</definedName>
    <definedName name="IQ_REVENUE_EST">"c1126"</definedName>
    <definedName name="IQ_REVENUE_EST_1">"c190"</definedName>
    <definedName name="IQ_REVENUE_GROWTH_1">"c155"</definedName>
    <definedName name="IQ_REVENUE_GROWTH_2">"c159"</definedName>
    <definedName name="IQ_REVENUE_HIGH_EST">"c1127"</definedName>
    <definedName name="IQ_REVENUE_LOW_EST">"c1128"</definedName>
    <definedName name="IQ_REVENUE_NO_EST">"c263"</definedName>
    <definedName name="IQ_REVENUE_NUM_EST">"c1129"</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ITY_BORROW">"c1152"</definedName>
    <definedName name="IQ_SECURITY_OWN">"c1153"</definedName>
    <definedName name="IQ_SECURITY_RESELL">"c1154"</definedName>
    <definedName name="IQ_SEMI_BACKLOG_UNITS">"c10005"</definedName>
    <definedName name="IQ_SEMI_BOOKINGS_AVG_PRICE">"c10002"</definedName>
    <definedName name="IQ_SEMI_BOOKINGS_UNITS">"c10001"</definedName>
    <definedName name="IQ_SEMI_BOOKINGS_VALUE">"c10003"</definedName>
    <definedName name="IQ_SEMI_BOOKINGS_VALUE_CHANGE">"c10004"</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INTEREST_VOLUME">"c228"</definedName>
    <definedName name="IQ_SHORT_TERM_INVEST">"c1425"</definedName>
    <definedName name="IQ_SMALL_INT_BEAR_CD">"c1166"</definedName>
    <definedName name="IQ_SOFTWARE">"c1167"</definedName>
    <definedName name="IQ_SOURCE">"c1168"</definedName>
    <definedName name="IQ_SP_ISSUE_LC_ACTION">"c2644"</definedName>
    <definedName name="IQ_SP_ISSUE_LC_DATE">"c2643"</definedName>
    <definedName name="IQ_SP_ISSUE_LC_LT">"c2645"</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CF">"c1203"</definedName>
    <definedName name="IQ_STOCK_BASED_COGS_FIN">"c2998"</definedName>
    <definedName name="IQ_STOCK_BASED_COGS_UTIL">"c2997"</definedName>
    <definedName name="IQ_STRIKE_PRICE_ISSUED">"c1645"</definedName>
    <definedName name="IQ_STRIKE_PRICE_OS">"c1646"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RGET_PRICE_LASTCLOSE">"c1855"</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DA">"c1222"</definedName>
    <definedName name="IQ_TEV_EBITDA_AVG">"c1223"</definedName>
    <definedName name="IQ_TEV_EBITDA_FWD">"c1224"</definedName>
    <definedName name="IQ_TEV_EMPLOYEE_AVG">"c1225"</definedName>
    <definedName name="IQ_TEV_TOTAL_REV">"c1226"</definedName>
    <definedName name="IQ_TEV_TOTAL_REV_AVG">"c1227"</definedName>
    <definedName name="IQ_TEV_TOTAL_REV_FWD">"c1228"</definedName>
    <definedName name="IQ_TEV_UFCF">"c2208"</definedName>
    <definedName name="IQ_TIER_ONE_RATIO">"c1229"</definedName>
    <definedName name="IQ_TIME_DEP">"c1230"</definedName>
    <definedName name="IQ_TODAY" hidden="1">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DUE">"c2509"</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S">"c2119"</definedName>
    <definedName name="IQ_TOTAL_UNUSUAL">"c1508"</definedName>
    <definedName name="IQ_TOTAL_UNUSUAL_BR">"c5517"</definedName>
    <definedName name="IQ_TR_BUY_ADVISORS">"c2387"</definedName>
    <definedName name="IQ_TR_SELL_ADVISORS">"c2388"</definedName>
    <definedName name="IQ_TR_SUBDEBT">"c2370"</definedName>
    <definedName name="IQ_TR_TARGET_ADVISORS">"c2386"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USUAL_EXP">"c1456"</definedName>
    <definedName name="IQ_US_GAAP">"c1331"</definedName>
    <definedName name="IQ_US_GAAP_CA">"c2930"</definedName>
    <definedName name="IQ_US_GAAP_CL">"c2932"</definedName>
    <definedName name="IQ_US_GAAP_COST_REV">"c2965"</definedName>
    <definedName name="IQ_US_GAAP_DO">"c2973"</definedName>
    <definedName name="IQ_US_GAAP_EXTRA_ACC_ITEMS">"c2972"</definedName>
    <definedName name="IQ_US_GAAP_INC_TAX">"c2975"</definedName>
    <definedName name="IQ_US_GAAP_INTEREST_EXP">"c2971"</definedName>
    <definedName name="IQ_US_GAAP_LIAB_LT">"c2933"</definedName>
    <definedName name="IQ_US_GAAP_MINORITY_INTEREST_IS">"c2974"</definedName>
    <definedName name="IQ_US_GAAP_NCA">"c2931"</definedName>
    <definedName name="IQ_US_GAAP_NI_AVAIL_EXCL">"c2977"</definedName>
    <definedName name="IQ_US_GAAP_OTHER_NON_OPER">"c2969"</definedName>
    <definedName name="IQ_US_GAAP_OTHER_OPER">"c2968"</definedName>
    <definedName name="IQ_US_GAAP_RD">"c2967"</definedName>
    <definedName name="IQ_US_GAAP_SGA">"c2966"</definedName>
    <definedName name="IQ_US_GAAP_TOTAL_REV">"c2964"</definedName>
    <definedName name="IQ_US_GAAP_TOTAL_UNUSUAL">"c2970"</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EEK">50000</definedName>
    <definedName name="IQ_WEIGHTED_AVG_PRICE">"c1334"</definedName>
    <definedName name="IQ_WIP_INV">"c1335"</definedName>
    <definedName name="IQ_WORKMEN_WRITTEN">"c1336"</definedName>
    <definedName name="IQ_XDIV_DATE">"c2104"</definedName>
    <definedName name="IQ_YEARHIGH">"c1337"</definedName>
    <definedName name="IQ_YEARLOW">"c1338"</definedName>
    <definedName name="IQ_YTD">3000</definedName>
    <definedName name="IQ_YTDMONTH" hidden="1">130000</definedName>
    <definedName name="IQ_Z_SCORE">"c1339"</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J14" hidden="1">'CIQ ID Locater'!$K$14:$O$14</definedName>
    <definedName name="IQRCIQIDLocaterJ15" hidden="1">'CIQ ID Locater'!$K$15:$O$15</definedName>
    <definedName name="IQRCIQIDLocaterJ16" hidden="1">'CIQ ID Locater'!$K$16:$O$16</definedName>
    <definedName name="IQRCIQIDLocaterJ17" hidden="1">'CIQ ID Locater'!$K$17:$O$17</definedName>
    <definedName name="IQRCIQIDLocaterJ18" hidden="1">'CIQ ID Locater'!$K$18:$O$18</definedName>
    <definedName name="IQRCIQIDLocaterJ19" hidden="1">'CIQ ID Locater'!$K$19:$O$19</definedName>
    <definedName name="IQRCIQIDLocaterJ20" hidden="1">'CIQ ID Locater'!$K$20:$O$20</definedName>
    <definedName name="IQRCIQIDLocaterJ21" hidden="1">'CIQ ID Locater'!$K$21:$O$21</definedName>
    <definedName name="IQRCIQIDLocaterJ22" hidden="1">'CIQ ID Locater'!$K$22:$O$22</definedName>
    <definedName name="IQRCIQIDLocaterJ23" hidden="1">'CIQ ID Locater'!$K$23:$O$23</definedName>
    <definedName name="IQRCIQIDLocaterJ24" hidden="1">'CIQ ID Locater'!$K$24:$O$24</definedName>
    <definedName name="IQRCIQIDLocaterJ25" hidden="1">'CIQ ID Locater'!$K$25:$O$25</definedName>
    <definedName name="IQRCIQIDLocaterJ26" hidden="1">'CIQ ID Locater'!$K$26:$O$26</definedName>
    <definedName name="IQRCIQIDLocaterJ27" hidden="1">'CIQ ID Locater'!$K$27:$O$27</definedName>
    <definedName name="IQRCIQIDLocaterJ28" hidden="1">'CIQ ID Locater'!$K$28:$O$28</definedName>
    <definedName name="IQRCIQIDLocaterJ29" hidden="1">'CIQ ID Locater'!$K$29:$M$29</definedName>
    <definedName name="IQRCIQIDLocaterJ30" hidden="1">'CIQ ID Locater'!$K$30:$L$30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IQIDLocaterP14" hidden="1">'CIQ ID Locater'!$Q$14:$U$14</definedName>
    <definedName name="IQRCIQIDLocaterP15" hidden="1">'CIQ ID Locater'!$Q$15:$U$15</definedName>
    <definedName name="IQRCIQIDLocaterP16" hidden="1">'CIQ ID Locater'!$Q$16:$U$16</definedName>
    <definedName name="IQRCIQIDLocaterP17" hidden="1">'CIQ ID Locater'!$Q$17:$U$17</definedName>
    <definedName name="IQRCIQIDLocaterP18" hidden="1">'CIQ ID Locater'!$Q$18:$U$18</definedName>
    <definedName name="IQRCIQIDLocaterP19" hidden="1">'CIQ ID Locater'!$Q$19:$U$19</definedName>
    <definedName name="IQRCIQIDLocaterP20" hidden="1">'CIQ ID Locater'!$Q$20:$U$20</definedName>
    <definedName name="IQRCIQIDLocaterP21" hidden="1">'CIQ ID Locater'!$Q$21:$U$21</definedName>
    <definedName name="IQRCIQIDLocaterP22" hidden="1">'CIQ ID Locater'!$Q$22:$U$22</definedName>
    <definedName name="IQRCIQIDLocaterP23" hidden="1">'CIQ ID Locater'!$Q$23:$U$23</definedName>
    <definedName name="IQRCIQIDLocaterP24" hidden="1">'CIQ ID Locater'!$Q$24:$U$24</definedName>
    <definedName name="IQRCIQIDLocaterP25" hidden="1">'CIQ ID Locater'!$Q$25:$U$25</definedName>
    <definedName name="IQRCIQIDLocaterP26" hidden="1">'CIQ ID Locater'!$Q$26:$U$26</definedName>
    <definedName name="IQRCIQIDLocaterP27" hidden="1">'CIQ ID Locater'!$Q$27:$U$27</definedName>
    <definedName name="IQRCIQIDLocaterP28" hidden="1">'CIQ ID Locater'!$Q$28:$U$28</definedName>
    <definedName name="IQRCIQIDLocaterP29" hidden="1">'CIQ ID Locater'!$Q$29:$S$29</definedName>
    <definedName name="IQRCIQIDLocaterP30" hidden="1">'CIQ ID Locater'!$Q$30:$R$30</definedName>
    <definedName name="IQRCompaniesH12">'CIQ ID Locater'!#REF!</definedName>
    <definedName name="IQRCompaniesH13">'CIQ ID Locater'!$K$13:$O$13</definedName>
    <definedName name="IQRCompaniesH14">'CIQ ID Locater'!$K$14:$O$14</definedName>
    <definedName name="IQRCompaniesH15">'CIQ ID Locater'!$K$15:$O$15</definedName>
    <definedName name="IQRCompaniesH16">'CIQ ID Locater'!#REF!</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2">'CIQ ID Locater'!#REF!</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2">'CIQ ID Locater'!#REF!</definedName>
    <definedName name="IQRCompaniesN13">'CIQ ID Locater'!$Q$13:$U$13</definedName>
    <definedName name="IQRCompaniesN14">'CIQ ID Locater'!$Q$14:$U$14</definedName>
    <definedName name="IQRCompaniesN15">'CIQ ID Locater'!$Q$15:$U$15</definedName>
    <definedName name="IQRCompaniesN16">'CIQ ID Locater'!#REF!</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2">'CIQ ID Locater'!#REF!</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2">'CIQ ID Locater'!#REF!</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2">'CIQ ID Locater'!#REF!</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Comps1F7">[12]Comps!#REF!</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 localSheetId="11">"$O$14"</definedName>
    <definedName name="IQRN14">"$N$15:$N$22"</definedName>
    <definedName name="IQRN15">"$O$15:$S$15"</definedName>
    <definedName name="IQRN16" localSheetId="11">"$O$16:$S$16"</definedName>
    <definedName name="IQRN16">"$N$17:$N$24"</definedName>
    <definedName name="IQRN17" localSheetId="11">"$O$17:$S$17"</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2">'CIQ ID Locater'!#REF!</definedName>
    <definedName name="IQRSheet1H13">'CIQ ID Locater'!$K$13:$O$13</definedName>
    <definedName name="IQRSheet1H14">'CIQ ID Locater'!$K$14</definedName>
    <definedName name="IQRSheet1H15">'CIQ ID Locater'!$K$15:$O$15</definedName>
    <definedName name="IQRSheet1H16">'CIQ ID Locater'!#REF!</definedName>
    <definedName name="IQRSheet1H17">'CIQ ID Locater'!$K$16:$O$16</definedName>
    <definedName name="IQRSheet1H18">'CIQ ID Locater'!$K$17:$O$17</definedName>
    <definedName name="IQRSheet1H19">'CIQ ID Locater'!$K$18:$O$18</definedName>
    <definedName name="IQRSheet1H20">'CIQ ID Locater'!$K$19:$O$19</definedName>
    <definedName name="IQRSheet1I12">'CIQ ID Locater'!#REF!</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J12">'CIQ ID Locater'!#REF!</definedName>
    <definedName name="IQRSheet1N12">'CIQ ID Locater'!#REF!</definedName>
    <definedName name="IQRSheet1N13">'CIQ ID Locater'!$Q$13:$U$13</definedName>
    <definedName name="IQRSheet1N14">'CIQ ID Locater'!$Q$14</definedName>
    <definedName name="IQRSheet1N15">'CIQ ID Locater'!$Q$15:$U$15</definedName>
    <definedName name="IQRSheet1N16">'CIQ ID Locater'!#REF!</definedName>
    <definedName name="IQRSheet1N17">'CIQ ID Locater'!$Q$16:$U$16</definedName>
    <definedName name="IQRSheet1N18">'CIQ ID Locater'!$Q$17:$U$17</definedName>
    <definedName name="IQRSheet1N19">'CIQ ID Locater'!$Q$18:$U$18</definedName>
    <definedName name="IQRSheet1N20">'CIQ ID Locater'!$Q$19:$U$19</definedName>
    <definedName name="IQRSheet1O12">'CIQ ID Locater'!#REF!</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 localSheetId="11">Cover!$F$26</definedName>
    <definedName name="Last_FQR">Cover!$F$26</definedName>
    <definedName name="Last_FYE" localSheetId="11">Cover!$F$24</definedName>
    <definedName name="Last_FYE">Cover!$F$24</definedName>
    <definedName name="lc">'[3]2010 Labor Rates 091130'!$A$356</definedName>
    <definedName name="lcid">'[3]2010 Labor Rates 091130'!$E$363</definedName>
    <definedName name="Line_Items" localSheetId="11">Model!$C$25:$C$159</definedName>
    <definedName name="Line_Items">Model!$C$25:$C$159</definedName>
    <definedName name="ListOffset">1</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b_inputLocation">#REF!</definedName>
    <definedName name="mc09salary">[3]Salaries!$G$27</definedName>
    <definedName name="MerrillPrintIt">[6]!MerrillPrintIt</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[6]!ChangeRange</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wJSECcustomer">{#N/A,#N/A,FALSE,"Title Page";#N/A,#N/A,FALSE,"Conclusions";#N/A,#N/A,FALSE,"Assum.";#N/A,#N/A,FALSE,"Sun  DCF-WC-Dep";#N/A,#N/A,FALSE,"MarketValue";#N/A,#N/A,FALSE,"BalSheet";#N/A,#N/A,FALSE,"WACC";#N/A,#N/A,FALSE,"PC+ Info.";#N/A,#N/A,FALSE,"PC+Info_2"}</definedName>
    <definedName name="NewRange">[6]!NewRange</definedName>
    <definedName name="Next_FYE" localSheetId="11">Cover!$F$25</definedName>
    <definedName name="Next_FYE">Cover!$F$25</definedName>
    <definedName name="novpto">[3]Vacation!$P$56</definedName>
    <definedName name="NTM_Earnings">Model!$U$45:$X$45</definedName>
    <definedName name="NTM_EBITDA" localSheetId="11">Model!$U$61:$X$61</definedName>
    <definedName name="NTM_EBITDA">Valuation!$F$124</definedName>
    <definedName name="NTM_EPS" localSheetId="11">Model!$U$54:$X$54</definedName>
    <definedName name="NTM_EPS">Valuation!$F$123</definedName>
    <definedName name="Number_of_Payments">MATCH(0.01,End_Bal,-1)+1</definedName>
    <definedName name="octpto">[3]Vacation!$O$56</definedName>
    <definedName name="ohtotalbonus">[3]Salaries!$P$68</definedName>
    <definedName name="ok">{"Opsys",#N/A,FALSE,"NPV_OPsys";"NT",#N/A,FALSE,"NPV_NT";"DevP",#N/A,FALSE,"NPV_DevPdt";"Office",#N/A,FALSE,"NPV_Office"}</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ayment_Date">DATE(YEAR(Loan_Start),MONTH(Loan_Start)+Payment_Number,DAY(Loan_Start))</definedName>
    <definedName name="PCCnewcustomer">{#N/A,#N/A,FALSE,"Title Page";#N/A,#N/A,FALSE,"Conclusions";#N/A,#N/A,FALSE,"Assum.";#N/A,#N/A,FALSE,"Sun  DCF-WC-Dep";#N/A,#N/A,FALSE,"MarketValue";#N/A,#N/A,FALSE,"BalSheet";#N/A,#N/A,FALSE,"WACC";#N/A,#N/A,FALSE,"PC+ Info.";#N/A,#N/A,FALSE,"PC+Info_2"}</definedName>
    <definedName name="PeerGroup2_Cyclical_Valuation_Data" localSheetId="11">'[7]Multiples Data'!$C$58:$H$70</definedName>
    <definedName name="PeerGroup2_Cyclical_Valuation_Data">'Multiples Data'!$C$58:$H$70</definedName>
    <definedName name="PeerGroup3_Cyclical_Valuation_Data" localSheetId="11">'[7]Multiples Data'!$C$80:$H$93</definedName>
    <definedName name="PeerGroup3_Cyclical_Valuation_Data">'Multiples Data'!$C$80:$H$92</definedName>
    <definedName name="Primary_Peer_Cyclical_Valuation_Data" localSheetId="11">'[7]Multiples Data'!$C$36:$H$48</definedName>
    <definedName name="Primary_Peer_Cyclical_Valuation_Data">'Multiples Data'!$C$36:$H$48</definedName>
    <definedName name="Print_Area_Reset">OFFSET(Full_Print,0,0,Last_Row)</definedName>
    <definedName name="qeeee">{"Page1",#N/A,FALSE,"CompCo";"Page2",#N/A,FALSE,"CompCo"}</definedName>
    <definedName name="qeqe">{"Page1",#N/A,FALSE,"CompCo";"Page2",#N/A,FALSE,"CompCo"}</definedName>
    <definedName name="qerqwer">{TRUE,TRUE,-1.25,-15.5,604.5,369,FALSE,FALSE,TRUE,TRUE,0,1,#N/A,41,#N/A,20.5555555555556,27.0714285714286,1,FALSE,FALSE,3,TRUE,1,FALSE,80,"Swvu.summary2.","ACwvu.summary2.",#N/A,FALSE,FALSE,0.5,0.5,0.5,0.5,2,"&amp;F","&amp;A&amp;RPage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ewqe">{"Page1",#N/A,FALSE,"CompCo";"Page2",#N/A,FALSE,"CompCo"}</definedName>
    <definedName name="qewrqw">{TRUE,TRUE,-1.25,-15.5,604.5,369,FALSE,FALSE,TRUE,TRUE,0,1,#N/A,1,#N/A,20.5555555555556,28.9285714285714,1,FALSE,FALSE,3,TRUE,1,FALSE,80,"Swvu.summary1.","ACwvu.summary1.",#N/A,FALSE,FALSE,0.5,0.5,0.5,0.5,2,"&amp;F","&amp;L&amp;D&amp;C&amp;A&amp;RPage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qewrqwer">{"inputs raw data",#N/A,TRUE,"INPUT"}</definedName>
    <definedName name="qewrwe">{"summary1",#N/A,TRUE,"Comps";"summary2",#N/A,TRUE,"Comps";"summary3",#N/A,TRUE,"Comps"}</definedName>
    <definedName name="qewrwer">{TRUE,TRUE,-1.25,-15.5,604.5,369,FALSE,FALSE,TRUE,TRUE,0,1,#N/A,91,#N/A,20.5555555555556,24.8571428571429,1,FALSE,FALSE,3,TRUE,1,FALSE,80,"Swvu.summary3.","ACwvu.summary3.",#N/A,FALSE,FALSE,0.5,0.5,0.5,0.5,2,"&amp;F","&amp;A&amp;RPage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qqqq">{"multiple",#N/A,FALSE,"client";"margins",#N/A,FALSE,"client";"data",#N/A,FALSE,"client"}</definedName>
    <definedName name="question">[8]Sheet2!$D$6:$D$7</definedName>
    <definedName name="qweqe">{"multiple",#N/A,FALSE,"client (4)";"margins",#N/A,FALSE,"client (4)";"data",#N/A,FALSE,"client (4)"}</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ality">{#N/A,#N/A,FALSE,"Title Page";#N/A,#N/A,FALSE,"Conclusions";#N/A,#N/A,FALSE,"Assum.";#N/A,#N/A,FALSE,"Sun  DCF-WC-Dep";#N/A,#N/A,FALSE,"MarketValue";#N/A,#N/A,FALSE,"BalSheet";#N/A,#N/A,FALSE,"WACC";#N/A,#N/A,FALSE,"PC+ Info.";#N/A,#N/A,FALSE,"PC+Info_2"}</definedName>
    <definedName name="RedefinePrintTableRange">[6]!RedefinePrintTableRange</definedName>
    <definedName name="ReportGroup">0</definedName>
    <definedName name="Revenue_Data_Summary" localSheetId="11">'[7]Revenue Build'!$C$26:$AG$47</definedName>
    <definedName name="Revenue_Data_Summary">'Revenue Build'!$C$28:$AG$47</definedName>
    <definedName name="Risk_Free_Rate" localSheetId="11">WACC!$G$6</definedName>
    <definedName name="Risk_Free_Rate">WACC!$G$6</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TRUE</definedName>
    <definedName name="sddddd">{"inputs raw data",#N/A,TRUE,"INPUT"}</definedName>
    <definedName name="Segment1_Rev_Methodology" localSheetId="11">'[7]Revenue Build'!$C$9</definedName>
    <definedName name="Segment1_Rev_Methodology">'Revenue Build'!$C$9</definedName>
    <definedName name="Segment2_Rev_Methodology" localSheetId="11">'[7]Revenue Build'!$C$11</definedName>
    <definedName name="Segment2_Rev_Methodology">'Revenue Build'!$C$11</definedName>
    <definedName name="Segment3_Rev_Methodology" localSheetId="11">'[7]Revenue Build'!$C$13</definedName>
    <definedName name="Segment3_Rev_Methodology">'Revenue Build'!$C$13</definedName>
    <definedName name="Segment4_Rev_Methodology" localSheetId="11">'[7]Revenue Build'!$C$15</definedName>
    <definedName name="Segment4_Rev_Methodology">'Revenue Build'!$C$15</definedName>
    <definedName name="Segment5_Rev_Methodology" localSheetId="11">'[7]Revenue Build'!$C$17</definedName>
    <definedName name="Segment5_Rev_Methodology">'Revenue Build'!$C$17</definedName>
    <definedName name="Segment6_Rev_Methodology" localSheetId="11">'[7]Revenue Build'!$C$19</definedName>
    <definedName name="Segment6_Rev_Methodology">'Revenue Build'!$C$19</definedName>
    <definedName name="seppto">[3]Vacation!$N$56</definedName>
    <definedName name="Share_Price" localSheetId="11">Cover!$F$29</definedName>
    <definedName name="Share_Price">Cover!$F$29</definedName>
    <definedName name="Share_Price_High" localSheetId="11">Cover!$F$30</definedName>
    <definedName name="Share_Price_High">Cover!$F$30</definedName>
    <definedName name="Share_Price_Low" localSheetId="11">Cover!$F$31</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ssssssssssss">{TRUE,TRUE,-1.25,-15.5,604.5,369,FALSE,FALSE,TRUE,TRUE,0,1,#N/A,1,#N/A,20.5555555555556,28.9285714285714,1,FALSE,FALSE,3,TRUE,1,FALSE,80,"Swvu.summary1.","ACwvu.summary1.",#N/A,FALSE,FALSE,0.5,0.5,0.5,0.5,2,"&amp;F","&amp;L&amp;D&amp;C&amp;A&amp;RPage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Start_date">#REF!</definedName>
    <definedName name="suckit">#REF!</definedName>
    <definedName name="Tax_Rate" localSheetId="11">Cover!$F$33</definedName>
    <definedName name="Tax_Rate">Cover!$F$33</definedName>
    <definedName name="Taylor">'[13]P&amp;L Assumptions'!$A$42:$A$81</definedName>
    <definedName name="temp">{"contributory1",#N/A,FALSE,"Contributory Assets Detail";"contributory2",#N/A,FALSE,"Contributory Assets Detail"}</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 localSheetId="11">Cover!$F$20</definedName>
    <definedName name="Ticker">Cover!$F$20</definedName>
    <definedName name="Total_PTO">'[10]Pay Roll &amp; Taxes'!$R$67</definedName>
    <definedName name="utilization_correction_factor">'[10]FY11 CFF - the PLAN'!$X$14</definedName>
    <definedName name="Values_Entered">IF(Loan_Amount*Interest_Rate*Loan_Years*Loan_Start&gt;0,1,0)</definedName>
    <definedName name="we">'[3]2010 Labor Rates 091130'!$A$265</definedName>
    <definedName name="we09salary">[3]Salaries!$G$20</definedName>
    <definedName name="we10salary">[3]Salaries!$K$20</definedName>
    <definedName name="weee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eeee">{"multiple",#N/A,FALSE,"client";"margins",#N/A,FALSE,"client";"data",#N/A,FALSE,"client"}</definedName>
    <definedName name="wefwaefeaew">{"Page1",#N/A,FALSE,"CompCo";"Page2",#N/A,FALSE,"CompCo"}</definedName>
    <definedName name="wefweca">{"data",#N/A,FALSE,"client (3)";"margins",#N/A,FALSE,"client (3)";"multiple",#N/A,FALSE,"client (3)"}</definedName>
    <definedName name="wefwefe">{"multiple",#N/A,FALSE,"client (4)";"margins",#N/A,FALSE,"client (4)";"data",#N/A,FALSE,"client (4)"}</definedName>
    <definedName name="weid">'[3]2010 Labor Rates 091130'!$E$272</definedName>
    <definedName name="Weight_of_Debt" localSheetId="11">WACC!$N$6</definedName>
    <definedName name="Weight_of_Debt">WACC!$N$6</definedName>
    <definedName name="Weight_of_Equity">WACC!$N$7</definedName>
    <definedName name="Weight_of_Preferred" localSheetId="11">WACC!$N$8</definedName>
    <definedName name="Weight_of_Preferred">WACC!$N$8</definedName>
    <definedName name="wename">[3]Salaries!$A$20</definedName>
    <definedName name="wfeawa">{"multiple",#N/A,FALSE,"client (4)";"margins",#N/A,FALSE,"client (4)";"data",#N/A,FALSE,"client (4)"}</definedName>
    <definedName name="wrn.client.">{"multiple",#N/A,FALSE,"client";"margins",#N/A,FALSE,"client";"data",#N/A,FALSE,"client"}</definedName>
    <definedName name="wrn.Client3.">{"data",#N/A,FALSE,"client (3)";"margins",#N/A,FALSE,"client (3)";"multiple",#N/A,FALSE,"client (3)"}</definedName>
    <definedName name="wrn.client4.">{"multiple",#N/A,FALSE,"client (4)";"margins",#N/A,FALSE,"client (4)";"data",#N/A,FALSE,"client (4)"}</definedName>
    <definedName name="wrn.COMPCO.">{"Page1",#N/A,FALSE,"CompCo";"Page2",#N/A,FALSE,"CompCo"}</definedName>
    <definedName name="wrn.COMPCo1.">{"Page1",#N/A,FALSE,"CompCo";"Page2",#N/A,FALSE,"CompCo"}</definedName>
    <definedName name="wrn.COMPCO3.">{"Page1",#N/A,FALSE,"CompCo";"Page2",#N/A,FALSE,"CompCo"}</definedName>
    <definedName name="wrn.contributory._.asset._.charges.">{"contributory1",#N/A,FALSE,"Contributory Assets Detail";"contributory2",#N/A,FALSE,"Contributory Assets Detail"}</definedName>
    <definedName name="wrn.Customer_base.">{"customer base",#N/A,FALSE,"customer_base";"customer base perf estimates",#N/A,FALSE,"customer_base"}</definedName>
    <definedName name="wrn.DCF.">{#N/A,#N/A,FALSE,"DCF Cov";#N/A,#N/A,FALSE,"dcf"}</definedName>
    <definedName name="wrn.documentation.">{"documentation1",#N/A,FALSE,"Documentation";"documentation2",#N/A,FALSE,"Documentation"}</definedName>
    <definedName name="wrn.Fcst._.by._.Mon.">{"Fcst by Mon Full",#N/A,FALSE,"Tot PalmPalm";"Fcst by Mon Full",#N/A,FALSE,"Tot Device";"Fcst by Mon Full",#N/A,FALSE,"Platform";"Fcst by Mon Full",#N/A,FALSE,"Palm.Net";"Fcst by Mon Full",#N/A,FALSE,"Elim"}</definedName>
    <definedName name="wrn.Fcst._.by._.Qtr.">{"Fcst by Qtr Full",#N/A,FALSE,"Tot PalmPalm";"Fcst by Qtr Full",#N/A,FALSE,"Tot Device";"Fcst by Qtr Full",#N/A,FALSE,"Platform";"Fcst by Qtr Full",#N/A,FALSE,"Palm.Net";"Fcst by Qtr Full",#N/A,FALSE,"Elim"}</definedName>
    <definedName name="wrn.Full._.Model.">{#N/A,#N/A,FALSE,"Cov";#N/A,#N/A,FALSE,"sum";#N/A,#N/A,FALSE,"baladj";#N/A,#N/A,FALSE,"bs";#N/A,#N/A,FALSE,"is";#N/A,#N/A,FALSE,"pis";#N/A,#N/A,FALSE,"pis";#N/A,#N/A,FALSE,"cf";#N/A,#N/A,FALSE,"balhist";#N/A,#N/A,FALSE,"wc";#N/A,#N/A,FALSE,"ltd";#N/A,#N/A,FALSE,"cover";#N/A,#N/A,FALSE,"fa";#N/A,#N/A,FALSE,"tax";#N/A,#N/A,FALSE,"irr";#N/A,#N/A,FALSE,"in";#N/A,#N/A,FALSE,"DCF Cov";#N/A,#N/A,FALSE,"dcf"}</definedName>
    <definedName name="wrn.Full._.report.">{"multiple",#N/A,FALSE,"client (2)";"margins",#N/A,FALSE,"client (2)";"data",#N/A,FALSE,"client (2)";"multiple",#N/A,FALSE,"client";"margins",#N/A,FALSE,"client";"data",#N/A,FALSE,"client"}</definedName>
    <definedName name="wrn.LBO.">{#N/A,#N/A,FALSE,"Cov";#N/A,#N/A,FALSE,"sum";#N/A,#N/A,FALSE,"baladj";#N/A,#N/A,FALSE,"bs";#N/A,#N/A,FALSE,"is";#N/A,#N/A,FALSE,"pis";#N/A,#N/A,FALSE,"cf";#N/A,#N/A,FALSE,"balhist";#N/A,#N/A,FALSE,"wc";#N/A,#N/A,FALSE,"ltd";#N/A,#N/A,FALSE,"cover";#N/A,#N/A,FALSE,"fa";#N/A,#N/A,FALSE,"tax";#N/A,#N/A,FALSE,"irr";#N/A,#N/A,FALSE,"in"}</definedName>
    <definedName name="wrn.Olk._.by._.Qtr.">{"Olk by Qtr Full",#N/A,FALSE,"Tot PalmPalm";"Olk by Qtr Full",#N/A,FALSE,"Tot Device";"Olk by Qtr Full",#N/A,FALSE,"Platform";"Olk by Qtr Full",#N/A,FALSE,"Palm.Net";"Olk by Qtr Full",#N/A,FALSE,"Elim"}</definedName>
    <definedName name="wrn.Print.">{"vi1",#N/A,FALSE,"Financial Statements";"vi2",#N/A,FALSE,"Financial Statements";#N/A,#N/A,FALSE,"DCF"}</definedName>
    <definedName name="wrn.print._.all._.sheets.">{"summary1",#N/A,FALSE,"Summary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Disk.">{#N/A,#N/A,FALSE,"Intro";#N/A,#N/A,FALSE,"General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print._.graphs.">{"cap_structure",#N/A,FALSE,"Graph-Mkt Cap";"price",#N/A,FALSE,"Graph-Price";"ebit",#N/A,FALSE,"Graph-EBITDA";"ebitda",#N/A,FALSE,"Graph-EBITDA"}</definedName>
    <definedName name="wrn.print._.raw._.data._.entry.">{"inputs raw data",#N/A,TRUE,"INPUT"}</definedName>
    <definedName name="wrn.print._.summary._.sheets.">{"summary1",#N/A,TRUE,"Comps";"summary2",#N/A,TRUE,"Comps";"summary3",#N/A,TRUE,"Comps"}</definedName>
    <definedName name="wrn.Relevant.">{#N/A,#N/A,FALSE,"Title Page";#N/A,#N/A,FALSE,"Conclusions";#N/A,#N/A,FALSE,"Assum.";#N/A,#N/A,FALSE,"Sun  DCF-WC-Dep";#N/A,#N/A,FALSE,"MarketValue";#N/A,#N/A,FALSE,"BalSheet";#N/A,#N/A,FALSE,"WACC";#N/A,#N/A,FALSE,"PC+ Info.";#N/A,#N/A,FALSE,"PC+Info_2"}</definedName>
    <definedName name="wrn.Relevant1.">{#N/A,#N/A,FALSE,"Title Page";#N/A,#N/A,FALSE,"Conclusions";#N/A,#N/A,FALSE,"Assum.";#N/A,#N/A,FALSE,"Sun  DCF-WC-Dep";#N/A,#N/A,FALSE,"MarketValue";#N/A,#N/A,FALSE,"BalSheet";#N/A,#N/A,FALSE,"WACC";#N/A,#N/A,FALSE,"PC+ Info.";#N/A,#N/A,FALSE,"PC+Info_2"}</definedName>
    <definedName name="wrn.revenue._.detail.">{"revenue detail 1",#N/A,FALSE,"Revenue Detail";"revenue detail 2",#N/A,FALSE,"Revenue Detail";"revenue detail 3",#N/A,FALSE,"Revenue Detail";"revenue detail 4",#N/A,FALSE,"Revenue Detail"}</definedName>
    <definedName name="wrn.Revs.">{"Base_rev",#N/A,FALSE,"Proj_IS_Base";"Projrev",#N/A,FALSE,"Proj_IS_wOTLC";"Delta",#N/A,FALSE,"Delta Rev_PV"}</definedName>
    <definedName name="wrn.Riverwood_comp_model.">{#N/A,#N/A,FALSE,"Che-Ga";#N/A,#N/A,FALSE,"Iv-Sm";#N/A,#N/A,FALSE,"So-We";#N/A,#N/A,FALSE,"Me-Po";#N/A,#N/A,FALSE,"Be-Bo";#N/A,#N/A,FALSE,"Cha-Ki";#N/A,#N/A,FALSE,"In";#N/A,#N/A,FALSE,"Schedule 23";#N/A,#N/A,FALSE,"Schedule 22";#N/A,#N/A,FALSE,"WACC"}</definedName>
    <definedName name="wrn.sum.">{"Opsys",#N/A,FALSE,"NPV_OPsys";"NT",#N/A,FALSE,"NPV_NT";"DevP",#N/A,FALSE,"NPV_DevPdt";"Office",#N/A,FALSE,"NPV_Office"}</definedName>
    <definedName name="wrn.summary._.schedules.">{"summary1",#N/A,FALSE,"Summary of Values";"summary2",#N/A,FALSE,"Summary of Values"}</definedName>
    <definedName name="wrn.technology.">{"developed valuation",#N/A,FALSE,"Valuation Analysis";"developed income statement",#N/A,FALSE,"Abbreviated Income Statement";"inprocess valuation",#N/A,FALSE,"Valuation Analysis";"inprocess income statement",#N/A,FALSE,"Abbreviated Income Statement"}</definedName>
    <definedName name="wrn.trademark._.and._.trade._.name.">{"trademark1",#N/A,FALSE,"Trademark(s) and Trade Name(s)"}</definedName>
    <definedName name="wrn.wara.">{"weighted average returns",#N/A,FALSE,"WACC and WARA"}</definedName>
    <definedName name="wrn.work._.paper._.shcedules.">{"summary1",#N/A,FALSE,"Summary of Values";"summary2",#N/A,FALSE,"Summary of Values";"weighted average returns",#N/A,FALSE,"WACC and WARA";"fixed asset detail",#N/A,FALSE,"Fixed Asset Detail"}</definedName>
    <definedName name="wt09salary">[3]Salaries!$G$32</definedName>
    <definedName name="wt10salary">[3]Salaries!$K$32</definedName>
    <definedName name="wtid">'[3]2010 Labor Rates 091130'!$E$735</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Rele">{#N/A,#N/A,FALSE,"Title Page";#N/A,#N/A,FALSE,"Conclusions";#N/A,#N/A,FALSE,"Assum.";#N/A,#N/A,FALSE,"Sun  DCF-WC-Dep";#N/A,#N/A,FALSE,"MarketValue";#N/A,#N/A,FALSE,"BalSheet";#N/A,#N/A,FALSE,"WACC";#N/A,#N/A,FALSE,"PC+ Info.";#N/A,#N/A,FALSE,"PC+Info_2"}</definedName>
    <definedName name="x">{"contributory1",#N/A,FALSE,"Contributory Assets Detail";"contributory2",#N/A,FALSE,"Contributory Assets Detail"}</definedName>
    <definedName name="xxx">{"summary1",#N/A,FALSE,"Summary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yale">{"Opsys",#N/A,FALSE,"NPV_OPsys";"NT",#N/A,FALSE,"NPV_NT";"DevP",#N/A,FALSE,"NPV_DevPdt";"Office",#N/A,FALSE,"NPV_Office"}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6" roundtripDataChecksum="n4iIkyuy8m0gsGoQiv21sT70QH0TIwNmCbYn3KkhV+g="/>
    </ext>
  </extLst>
</workbook>
</file>

<file path=xl/calcChain.xml><?xml version="1.0" encoding="utf-8"?>
<calcChain xmlns="http://schemas.openxmlformats.org/spreadsheetml/2006/main">
  <c r="U209" i="7" l="1"/>
  <c r="U214" i="7" s="1"/>
  <c r="U207" i="7"/>
  <c r="U195" i="7"/>
  <c r="U197" i="7" s="1"/>
  <c r="U183" i="7"/>
  <c r="U185" i="7" s="1"/>
  <c r="U173" i="7"/>
  <c r="U178" i="7" s="1"/>
  <c r="U171" i="7"/>
  <c r="U140" i="7"/>
  <c r="U135" i="7"/>
  <c r="U133" i="7"/>
  <c r="U127" i="7"/>
  <c r="U128" i="7" s="1"/>
  <c r="U123" i="7"/>
  <c r="U121" i="7"/>
  <c r="U111" i="7"/>
  <c r="U109" i="7"/>
  <c r="U115" i="7" s="1"/>
  <c r="U116" i="7" s="1"/>
  <c r="U99" i="7"/>
  <c r="U87" i="7"/>
  <c r="U80" i="7"/>
  <c r="U79" i="7"/>
  <c r="U75" i="7"/>
  <c r="U70" i="7"/>
  <c r="U69" i="7"/>
  <c r="U64" i="7"/>
  <c r="U63" i="7"/>
  <c r="U57" i="7"/>
  <c r="U58" i="7" s="1"/>
  <c r="U52" i="7"/>
  <c r="U49" i="7"/>
  <c r="U47" i="7"/>
  <c r="U46" i="7"/>
  <c r="U45" i="7"/>
  <c r="U97" i="7" s="1"/>
  <c r="U103" i="7" s="1"/>
  <c r="U104" i="7" s="1"/>
  <c r="U43" i="7"/>
  <c r="U42" i="7"/>
  <c r="U41" i="7"/>
  <c r="U159" i="7" s="1"/>
  <c r="U161" i="7" s="1"/>
  <c r="U39" i="7"/>
  <c r="U37" i="7"/>
  <c r="U35" i="7"/>
  <c r="U34" i="7"/>
  <c r="U33" i="7"/>
  <c r="U51" i="7" s="1"/>
  <c r="U31" i="7"/>
  <c r="U30" i="7"/>
  <c r="U28" i="7"/>
  <c r="U145" i="7" s="1"/>
  <c r="U282" i="8"/>
  <c r="U283" i="8" s="1"/>
  <c r="U254" i="8"/>
  <c r="U267" i="8" s="1"/>
  <c r="U273" i="8" s="1"/>
  <c r="U127" i="8"/>
  <c r="U147" i="8"/>
  <c r="U129" i="8"/>
  <c r="U219" i="8" s="1"/>
  <c r="U232" i="8" s="1"/>
  <c r="U35" i="8"/>
  <c r="U34" i="8"/>
  <c r="U310" i="8"/>
  <c r="U308" i="8" s="1"/>
  <c r="U307" i="8"/>
  <c r="U304" i="8"/>
  <c r="U302" i="8"/>
  <c r="U303" i="8" s="1"/>
  <c r="U272" i="8"/>
  <c r="U266" i="8"/>
  <c r="U261" i="8"/>
  <c r="U259" i="8"/>
  <c r="U256" i="8"/>
  <c r="U252" i="8"/>
  <c r="U240" i="8"/>
  <c r="U224" i="8"/>
  <c r="U223" i="8"/>
  <c r="U218" i="8"/>
  <c r="U206" i="8"/>
  <c r="U196" i="8"/>
  <c r="U194" i="8"/>
  <c r="U208" i="8" s="1"/>
  <c r="U184" i="8" a="1"/>
  <c r="U184" i="8" s="1"/>
  <c r="U169" i="8"/>
  <c r="U188" i="8" s="1"/>
  <c r="U168" i="8"/>
  <c r="U170" i="8" s="1"/>
  <c r="U167" i="8"/>
  <c r="U164" i="8"/>
  <c r="U163" i="8"/>
  <c r="U183" i="8" s="1"/>
  <c r="U162" i="8"/>
  <c r="U176" i="8" s="1"/>
  <c r="U178" i="8" s="1"/>
  <c r="U151" i="8"/>
  <c r="U154" i="8" s="1"/>
  <c r="U145" i="8"/>
  <c r="U143" i="8"/>
  <c r="U137" i="8"/>
  <c r="U124" i="8"/>
  <c r="U111" i="8"/>
  <c r="U60" i="8"/>
  <c r="U25" i="8"/>
  <c r="U63" i="8" s="1"/>
  <c r="U24" i="8"/>
  <c r="U172" i="9"/>
  <c r="U171" i="9"/>
  <c r="U170" i="9"/>
  <c r="U169" i="9"/>
  <c r="U166" i="9"/>
  <c r="U165" i="9"/>
  <c r="U164" i="9"/>
  <c r="U155" i="9"/>
  <c r="U154" i="9"/>
  <c r="U153" i="9"/>
  <c r="U152" i="9"/>
  <c r="U151" i="9"/>
  <c r="U149" i="9"/>
  <c r="U148" i="9"/>
  <c r="U147" i="9"/>
  <c r="U146" i="9"/>
  <c r="U136" i="9"/>
  <c r="U135" i="9"/>
  <c r="U134" i="9"/>
  <c r="U82" i="9"/>
  <c r="U81" i="9"/>
  <c r="U80" i="9"/>
  <c r="U79" i="9"/>
  <c r="U78" i="9"/>
  <c r="U70" i="9"/>
  <c r="U168" i="9" s="1"/>
  <c r="U60" i="9"/>
  <c r="U59" i="9"/>
  <c r="U58" i="9"/>
  <c r="U55" i="9"/>
  <c r="U54" i="9"/>
  <c r="U53" i="9"/>
  <c r="U45" i="9"/>
  <c r="U50" i="9" s="1"/>
  <c r="U33" i="9"/>
  <c r="U42" i="9" s="1"/>
  <c r="U19" i="9"/>
  <c r="U29" i="9" s="1"/>
  <c r="U7" i="9"/>
  <c r="U15" i="9" s="1"/>
  <c r="E143" i="14"/>
  <c r="H12" i="15"/>
  <c r="H11" i="15"/>
  <c r="H10" i="15"/>
  <c r="H9" i="15"/>
  <c r="V73" i="7"/>
  <c r="G12" i="15"/>
  <c r="G11" i="15"/>
  <c r="G10" i="15"/>
  <c r="G9" i="15"/>
  <c r="E9" i="15"/>
  <c r="E10" i="15"/>
  <c r="E11" i="15"/>
  <c r="E12" i="15"/>
  <c r="F12" i="15"/>
  <c r="F11" i="15"/>
  <c r="F10" i="15"/>
  <c r="F9" i="15"/>
  <c r="T8" i="9"/>
  <c r="T7" i="9"/>
  <c r="S7" i="9"/>
  <c r="T30" i="7"/>
  <c r="T37" i="7"/>
  <c r="AG140" i="10"/>
  <c r="AF140" i="10"/>
  <c r="AE140" i="10"/>
  <c r="AG138" i="10"/>
  <c r="AF138" i="10"/>
  <c r="AE138" i="10"/>
  <c r="D181" i="16"/>
  <c r="O185" i="16"/>
  <c r="O184" i="16"/>
  <c r="U190" i="7" l="1"/>
  <c r="U186" i="7"/>
  <c r="U162" i="7"/>
  <c r="U166" i="7"/>
  <c r="U198" i="7"/>
  <c r="U202" i="7"/>
  <c r="U147" i="7"/>
  <c r="U149" i="7" s="1"/>
  <c r="U85" i="7"/>
  <c r="U91" i="7" s="1"/>
  <c r="U92" i="7" s="1"/>
  <c r="U174" i="7"/>
  <c r="U210" i="7"/>
  <c r="U260" i="8"/>
  <c r="U156" i="8"/>
  <c r="U225" i="8"/>
  <c r="U226" i="8" s="1"/>
  <c r="U309" i="8"/>
  <c r="U130" i="8"/>
  <c r="U132" i="8"/>
  <c r="U201" i="8"/>
  <c r="U38" i="9"/>
  <c r="U27" i="9"/>
  <c r="U28" i="8"/>
  <c r="U68" i="8" s="1"/>
  <c r="U216" i="8"/>
  <c r="U286" i="8"/>
  <c r="U73" i="8"/>
  <c r="U118" i="8"/>
  <c r="U5" i="9"/>
  <c r="U234" i="8"/>
  <c r="U160" i="8"/>
  <c r="U275" i="8"/>
  <c r="U204" i="8"/>
  <c r="U190" i="8"/>
  <c r="U110" i="8"/>
  <c r="U299" i="8"/>
  <c r="U220" i="8"/>
  <c r="U221" i="8" s="1"/>
  <c r="U228" i="8" s="1"/>
  <c r="U109" i="8"/>
  <c r="U264" i="8"/>
  <c r="U265" i="8" s="1"/>
  <c r="U210" i="8"/>
  <c r="U214" i="8" s="1"/>
  <c r="U187" i="8"/>
  <c r="U70" i="8"/>
  <c r="U165" i="8"/>
  <c r="U172" i="8" s="1"/>
  <c r="U174" i="8" s="1"/>
  <c r="U247" i="8"/>
  <c r="U67" i="8"/>
  <c r="U182" i="8"/>
  <c r="U185" i="8" s="1"/>
  <c r="U30" i="8"/>
  <c r="U32" i="8" s="1"/>
  <c r="U16" i="9"/>
  <c r="U30" i="9"/>
  <c r="U43" i="9"/>
  <c r="U57" i="9"/>
  <c r="U63" i="9" s="1"/>
  <c r="U17" i="9"/>
  <c r="U31" i="9"/>
  <c r="U145" i="9"/>
  <c r="U163" i="9"/>
  <c r="U14" i="9"/>
  <c r="U28" i="9"/>
  <c r="U41" i="9"/>
  <c r="E125" i="17"/>
  <c r="E124" i="17"/>
  <c r="Q124" i="17" s="1"/>
  <c r="P128" i="17"/>
  <c r="P127" i="17"/>
  <c r="P126" i="17"/>
  <c r="P125" i="17"/>
  <c r="O128" i="17"/>
  <c r="O127" i="17"/>
  <c r="O126" i="17"/>
  <c r="O125" i="17"/>
  <c r="O112" i="17"/>
  <c r="O111" i="17"/>
  <c r="O110" i="17"/>
  <c r="O109" i="17"/>
  <c r="O96" i="17"/>
  <c r="O95" i="17"/>
  <c r="O94" i="17"/>
  <c r="O93" i="17"/>
  <c r="O80" i="17"/>
  <c r="O79" i="17"/>
  <c r="O77" i="17"/>
  <c r="D96" i="17"/>
  <c r="P96" i="17" s="1"/>
  <c r="D95" i="17"/>
  <c r="P95" i="17" s="1"/>
  <c r="D94" i="17"/>
  <c r="P94" i="17" s="1"/>
  <c r="D44" i="17"/>
  <c r="P44" i="17" s="1"/>
  <c r="D45" i="17"/>
  <c r="P45" i="17" s="1"/>
  <c r="D46" i="17"/>
  <c r="P46" i="17" s="1"/>
  <c r="D47" i="17"/>
  <c r="P47" i="17" s="1"/>
  <c r="D48" i="17"/>
  <c r="P48" i="17" s="1"/>
  <c r="O30" i="17"/>
  <c r="O31" i="17"/>
  <c r="O32" i="17"/>
  <c r="O33" i="17"/>
  <c r="O29" i="17"/>
  <c r="U154" i="7" l="1"/>
  <c r="U150" i="7"/>
  <c r="U158" i="8"/>
  <c r="U64" i="9"/>
  <c r="U69" i="8"/>
  <c r="U202" i="8"/>
  <c r="U186" i="8"/>
  <c r="U249" i="8"/>
  <c r="U200" i="8"/>
  <c r="U39" i="8"/>
  <c r="U66" i="8"/>
  <c r="U65" i="9"/>
  <c r="N1" i="4"/>
  <c r="O2" i="4"/>
  <c r="O3" i="4"/>
  <c r="G116" i="16"/>
  <c r="F116" i="16"/>
  <c r="J58" i="7"/>
  <c r="J46" i="7"/>
  <c r="J42" i="7"/>
  <c r="J38" i="7"/>
  <c r="J34" i="7"/>
  <c r="J31" i="7"/>
  <c r="I47" i="7"/>
  <c r="H47" i="7"/>
  <c r="G47" i="7"/>
  <c r="F47" i="7"/>
  <c r="I35" i="7"/>
  <c r="H35" i="7"/>
  <c r="G35" i="7"/>
  <c r="F35" i="7"/>
  <c r="I39" i="7"/>
  <c r="H39" i="7"/>
  <c r="G39" i="7"/>
  <c r="F39" i="7"/>
  <c r="N39" i="7"/>
  <c r="M39" i="7"/>
  <c r="L39" i="7"/>
  <c r="K39" i="7"/>
  <c r="R39" i="7"/>
  <c r="Q39" i="7"/>
  <c r="P39" i="7"/>
  <c r="S34" i="7"/>
  <c r="R34" i="7"/>
  <c r="Q34" i="7"/>
  <c r="P34" i="7"/>
  <c r="N34" i="7"/>
  <c r="M34" i="7"/>
  <c r="L34" i="7"/>
  <c r="K34" i="7"/>
  <c r="N31" i="7"/>
  <c r="M31" i="7"/>
  <c r="L31" i="7"/>
  <c r="K31" i="7"/>
  <c r="R31" i="7"/>
  <c r="Q31" i="7"/>
  <c r="P31" i="7"/>
  <c r="N38" i="7"/>
  <c r="M38" i="7"/>
  <c r="L38" i="7"/>
  <c r="O31" i="7"/>
  <c r="O34" i="7"/>
  <c r="O38" i="7"/>
  <c r="O46" i="7"/>
  <c r="T46" i="7"/>
  <c r="J17" i="9"/>
  <c r="O17" i="9"/>
  <c r="T17" i="9"/>
  <c r="G117" i="16" s="1"/>
  <c r="O149" i="9"/>
  <c r="T149" i="9"/>
  <c r="V53" i="7"/>
  <c r="X53" i="7"/>
  <c r="W53" i="7"/>
  <c r="AC53" i="7"/>
  <c r="AB53" i="7"/>
  <c r="AA53" i="7"/>
  <c r="Z53" i="7"/>
  <c r="U41" i="10"/>
  <c r="AC41" i="10"/>
  <c r="AB41" i="10"/>
  <c r="AA41" i="10"/>
  <c r="Z41" i="10"/>
  <c r="X41" i="10"/>
  <c r="W41" i="10"/>
  <c r="V41" i="10"/>
  <c r="V46" i="10"/>
  <c r="U46" i="10"/>
  <c r="W46" i="10"/>
  <c r="X46" i="10"/>
  <c r="AG46" i="10"/>
  <c r="AF46" i="10"/>
  <c r="AE46" i="10"/>
  <c r="AG41" i="10"/>
  <c r="AF41" i="10"/>
  <c r="AE41" i="10"/>
  <c r="AC63" i="10"/>
  <c r="AB63" i="10"/>
  <c r="AA63" i="10"/>
  <c r="Z63" i="10"/>
  <c r="X63" i="10"/>
  <c r="W63" i="10"/>
  <c r="V63" i="10"/>
  <c r="U63" i="10"/>
  <c r="AG63" i="10"/>
  <c r="AF63" i="10"/>
  <c r="AE63" i="10"/>
  <c r="AG53" i="10"/>
  <c r="AF53" i="10"/>
  <c r="AE53" i="10"/>
  <c r="AC53" i="10"/>
  <c r="AB53" i="10"/>
  <c r="AA53" i="10"/>
  <c r="Z53" i="10"/>
  <c r="X53" i="10"/>
  <c r="W53" i="10"/>
  <c r="V53" i="10"/>
  <c r="U53" i="10"/>
  <c r="AC48" i="10"/>
  <c r="AB48" i="10"/>
  <c r="AA48" i="10"/>
  <c r="Z48" i="10"/>
  <c r="X48" i="10"/>
  <c r="W48" i="10"/>
  <c r="V48" i="10"/>
  <c r="U48" i="10"/>
  <c r="AG48" i="10"/>
  <c r="AF48" i="10"/>
  <c r="AE48" i="10"/>
  <c r="AG61" i="7"/>
  <c r="AF61" i="7"/>
  <c r="AE61" i="7"/>
  <c r="AG67" i="7"/>
  <c r="AF67" i="7"/>
  <c r="AE67" i="7"/>
  <c r="AG73" i="7"/>
  <c r="AF73" i="7"/>
  <c r="AE73" i="7"/>
  <c r="AG71" i="7"/>
  <c r="AF71" i="7"/>
  <c r="AE71" i="7"/>
  <c r="AG65" i="7"/>
  <c r="AF65" i="7"/>
  <c r="AE65" i="7"/>
  <c r="AG59" i="7"/>
  <c r="AF59" i="7"/>
  <c r="AE59" i="7"/>
  <c r="AG53" i="7"/>
  <c r="AF53" i="7"/>
  <c r="AE53" i="7"/>
  <c r="T37" i="11"/>
  <c r="S37" i="11"/>
  <c r="R37" i="11"/>
  <c r="Q37" i="11"/>
  <c r="P37" i="11"/>
  <c r="O37" i="11"/>
  <c r="N37" i="11"/>
  <c r="M37" i="11"/>
  <c r="L37" i="11"/>
  <c r="K37" i="11"/>
  <c r="J37" i="11"/>
  <c r="T36" i="11"/>
  <c r="S36" i="11"/>
  <c r="R36" i="11"/>
  <c r="Q36" i="11"/>
  <c r="P36" i="11"/>
  <c r="O36" i="11"/>
  <c r="N36" i="11"/>
  <c r="M36" i="11"/>
  <c r="L36" i="11"/>
  <c r="K36" i="11"/>
  <c r="J36" i="11"/>
  <c r="T35" i="11"/>
  <c r="S35" i="11"/>
  <c r="R35" i="11"/>
  <c r="Q35" i="11"/>
  <c r="P35" i="11"/>
  <c r="O35" i="11"/>
  <c r="N35" i="11"/>
  <c r="M35" i="11"/>
  <c r="L35" i="11"/>
  <c r="K35" i="11"/>
  <c r="J35" i="11"/>
  <c r="T34" i="11"/>
  <c r="S34" i="11"/>
  <c r="R34" i="11"/>
  <c r="Q34" i="11"/>
  <c r="P34" i="11"/>
  <c r="O34" i="11"/>
  <c r="N34" i="11"/>
  <c r="M34" i="11"/>
  <c r="L34" i="11"/>
  <c r="K34" i="11"/>
  <c r="J34" i="11"/>
  <c r="H37" i="11"/>
  <c r="G37" i="11"/>
  <c r="H36" i="11"/>
  <c r="G36" i="11"/>
  <c r="H35" i="11"/>
  <c r="G35" i="11"/>
  <c r="H34" i="11"/>
  <c r="G34" i="11"/>
  <c r="AB8" i="10"/>
  <c r="AG8" i="10"/>
  <c r="AF8" i="10"/>
  <c r="AE8" i="10"/>
  <c r="G194" i="8"/>
  <c r="AG79" i="10"/>
  <c r="AG80" i="10" s="1"/>
  <c r="AF79" i="10"/>
  <c r="AF78" i="10" s="1"/>
  <c r="AE79" i="10"/>
  <c r="AE78" i="10" s="1"/>
  <c r="AC79" i="10"/>
  <c r="AB79" i="10"/>
  <c r="AA79" i="10"/>
  <c r="Z79" i="10"/>
  <c r="V79" i="10"/>
  <c r="V78" i="10" s="1"/>
  <c r="W79" i="10"/>
  <c r="X79" i="10"/>
  <c r="U79" i="10"/>
  <c r="U80" i="10"/>
  <c r="U78" i="10"/>
  <c r="U59" i="8" l="1"/>
  <c r="U61" i="8" s="1"/>
  <c r="U42" i="8"/>
  <c r="AE80" i="10"/>
  <c r="AF80" i="10"/>
  <c r="AG78" i="10"/>
  <c r="V80" i="10"/>
  <c r="U71" i="8" l="1"/>
  <c r="U45" i="8"/>
  <c r="V85" i="3"/>
  <c r="U85" i="3"/>
  <c r="T85" i="3"/>
  <c r="H34" i="15"/>
  <c r="G34" i="15"/>
  <c r="F34" i="15"/>
  <c r="E34" i="15"/>
  <c r="H33" i="15"/>
  <c r="G33" i="15"/>
  <c r="F33" i="15"/>
  <c r="E33" i="15"/>
  <c r="H32" i="15"/>
  <c r="G32" i="15"/>
  <c r="F32" i="15"/>
  <c r="E32" i="15"/>
  <c r="H31" i="15"/>
  <c r="G31" i="15"/>
  <c r="F31" i="15"/>
  <c r="E31" i="15"/>
  <c r="U253" i="8" l="1"/>
  <c r="U255" i="8" s="1"/>
  <c r="U54" i="8"/>
  <c r="U53" i="8"/>
  <c r="U237" i="8" s="1"/>
  <c r="U238" i="8" s="1"/>
  <c r="U51" i="8"/>
  <c r="U108" i="8"/>
  <c r="U112" i="8" s="1"/>
  <c r="I37" i="11"/>
  <c r="I36" i="11"/>
  <c r="I35" i="11"/>
  <c r="I34" i="11"/>
  <c r="R33" i="9"/>
  <c r="X169" i="10"/>
  <c r="W169" i="10"/>
  <c r="V169" i="10"/>
  <c r="U169" i="10"/>
  <c r="T37" i="8"/>
  <c r="I37" i="8"/>
  <c r="H37" i="8"/>
  <c r="G37" i="8"/>
  <c r="F37" i="8"/>
  <c r="AG104" i="10"/>
  <c r="AF104" i="10"/>
  <c r="AH104" i="10"/>
  <c r="AE104" i="10"/>
  <c r="AC104" i="10"/>
  <c r="AB104" i="10"/>
  <c r="AA104" i="10"/>
  <c r="Z104" i="10"/>
  <c r="X104" i="10"/>
  <c r="W104" i="10"/>
  <c r="V104" i="10"/>
  <c r="AB52" i="14"/>
  <c r="R52" i="14"/>
  <c r="N39" i="14"/>
  <c r="N40" i="14" s="1"/>
  <c r="I29" i="14"/>
  <c r="J29" i="14" s="1"/>
  <c r="U57" i="8" l="1"/>
  <c r="U56" i="8"/>
  <c r="U115" i="8"/>
  <c r="U116" i="8" s="1"/>
  <c r="U114" i="8"/>
  <c r="O39" i="14"/>
  <c r="K29" i="14"/>
  <c r="J28" i="14"/>
  <c r="I28" i="14"/>
  <c r="H29" i="14"/>
  <c r="P39" i="14" l="1"/>
  <c r="O40" i="14"/>
  <c r="H28" i="14"/>
  <c r="G29" i="14"/>
  <c r="G28" i="14" s="1"/>
  <c r="L29" i="14"/>
  <c r="K28" i="14"/>
  <c r="Q39" i="14" l="1"/>
  <c r="P40" i="14"/>
  <c r="L28" i="14"/>
  <c r="M29" i="14"/>
  <c r="R39" i="14" l="1"/>
  <c r="R40" i="14" s="1"/>
  <c r="Q40" i="14"/>
  <c r="N29" i="14"/>
  <c r="M28" i="14"/>
  <c r="O29" i="14" l="1"/>
  <c r="N28" i="14"/>
  <c r="P29" i="14" l="1"/>
  <c r="O28" i="14"/>
  <c r="Q29" i="14" l="1"/>
  <c r="P28" i="14"/>
  <c r="R29" i="14" l="1"/>
  <c r="R28" i="14" s="1"/>
  <c r="Q28" i="14"/>
  <c r="E267" i="14" l="1"/>
  <c r="E268" i="14"/>
  <c r="C265" i="14"/>
  <c r="C266" i="14"/>
  <c r="C267" i="14"/>
  <c r="C268" i="14"/>
  <c r="C269" i="14"/>
  <c r="AC43" i="10"/>
  <c r="AB43" i="10"/>
  <c r="AA43" i="10"/>
  <c r="Z43" i="10"/>
  <c r="AC46" i="10"/>
  <c r="AB46" i="10"/>
  <c r="AA46" i="10"/>
  <c r="Z46" i="10"/>
  <c r="AC51" i="10"/>
  <c r="AB51" i="10"/>
  <c r="AA51" i="10"/>
  <c r="Z51" i="10"/>
  <c r="V10" i="10"/>
  <c r="AC61" i="10"/>
  <c r="AB61" i="10"/>
  <c r="AA61" i="10"/>
  <c r="Z61" i="10"/>
  <c r="Q304" i="8"/>
  <c r="R304" i="8"/>
  <c r="S304" i="8"/>
  <c r="P304" i="8"/>
  <c r="L304" i="8"/>
  <c r="M304" i="8"/>
  <c r="N304" i="8"/>
  <c r="K304" i="8"/>
  <c r="O304" i="8"/>
  <c r="O302" i="8"/>
  <c r="J304" i="8"/>
  <c r="P302" i="8"/>
  <c r="T304" i="8"/>
  <c r="P303" i="8"/>
  <c r="T302" i="8"/>
  <c r="X170" i="10"/>
  <c r="W170" i="10"/>
  <c r="V170" i="10"/>
  <c r="U170" i="10"/>
  <c r="X168" i="10"/>
  <c r="W168" i="10"/>
  <c r="V168" i="10"/>
  <c r="U168" i="10"/>
  <c r="AG160" i="10"/>
  <c r="AF160" i="10"/>
  <c r="AE160" i="10"/>
  <c r="W157" i="10"/>
  <c r="V157" i="10"/>
  <c r="U157" i="10"/>
  <c r="W155" i="10"/>
  <c r="V155" i="10"/>
  <c r="U155" i="10"/>
  <c r="X157" i="10"/>
  <c r="AG157" i="10"/>
  <c r="AF157" i="10"/>
  <c r="AE157" i="10"/>
  <c r="AC157" i="10"/>
  <c r="AA157" i="10"/>
  <c r="Z157" i="10"/>
  <c r="AG155" i="10"/>
  <c r="AF155" i="10"/>
  <c r="AE155" i="10"/>
  <c r="AA155" i="10"/>
  <c r="Z155" i="10"/>
  <c r="AG133" i="10"/>
  <c r="AF133" i="10"/>
  <c r="AE133" i="10"/>
  <c r="AG131" i="10"/>
  <c r="AF131" i="10"/>
  <c r="AE131" i="10"/>
  <c r="AC133" i="10"/>
  <c r="AB133" i="10"/>
  <c r="AA133" i="10"/>
  <c r="Z133" i="10"/>
  <c r="AC131" i="10"/>
  <c r="AB131" i="10"/>
  <c r="AA131" i="10"/>
  <c r="Z131" i="10"/>
  <c r="X133" i="10"/>
  <c r="W133" i="10"/>
  <c r="V133" i="10"/>
  <c r="U133" i="10"/>
  <c r="X131" i="10"/>
  <c r="W131" i="10"/>
  <c r="V131" i="10"/>
  <c r="U131" i="10"/>
  <c r="AH125" i="10"/>
  <c r="AG125" i="10"/>
  <c r="AF125" i="10"/>
  <c r="AE125" i="10"/>
  <c r="AC125" i="10"/>
  <c r="AB125" i="10"/>
  <c r="AA125" i="10"/>
  <c r="Z125" i="10"/>
  <c r="AG118" i="10"/>
  <c r="AF118" i="10"/>
  <c r="AE118" i="10"/>
  <c r="AC118" i="10"/>
  <c r="AB118" i="10"/>
  <c r="AA118" i="10"/>
  <c r="Z118" i="10"/>
  <c r="X118" i="10"/>
  <c r="W118" i="10"/>
  <c r="V118" i="10"/>
  <c r="U118" i="10"/>
  <c r="AG116" i="10"/>
  <c r="AF116" i="10"/>
  <c r="AE116" i="10"/>
  <c r="AC116" i="10"/>
  <c r="AB116" i="10"/>
  <c r="AA116" i="10"/>
  <c r="Z116" i="10"/>
  <c r="X116" i="10"/>
  <c r="W116" i="10"/>
  <c r="V116" i="10"/>
  <c r="U116" i="10"/>
  <c r="AC61" i="7"/>
  <c r="AB61" i="7"/>
  <c r="AA61" i="7"/>
  <c r="Z61" i="7"/>
  <c r="X61" i="7"/>
  <c r="W61" i="7"/>
  <c r="V61" i="7"/>
  <c r="AC59" i="7"/>
  <c r="AB59" i="7"/>
  <c r="AA59" i="7"/>
  <c r="Z59" i="7"/>
  <c r="X59" i="7"/>
  <c r="W59" i="7"/>
  <c r="V59" i="7"/>
  <c r="AG106" i="10"/>
  <c r="AF106" i="10"/>
  <c r="AE106" i="10"/>
  <c r="AC106" i="10"/>
  <c r="AB106" i="10"/>
  <c r="AA106" i="10"/>
  <c r="Z106" i="10"/>
  <c r="X106" i="10"/>
  <c r="W106" i="10"/>
  <c r="V106" i="10"/>
  <c r="U106" i="10"/>
  <c r="U104" i="10"/>
  <c r="AG97" i="10"/>
  <c r="AF97" i="10"/>
  <c r="AE97" i="10"/>
  <c r="AC97" i="10"/>
  <c r="AB97" i="10"/>
  <c r="AA97" i="10"/>
  <c r="Z97" i="10"/>
  <c r="X97" i="10"/>
  <c r="W97" i="10"/>
  <c r="V97" i="10"/>
  <c r="U97" i="10"/>
  <c r="AE95" i="10"/>
  <c r="AC95" i="10"/>
  <c r="AB95" i="10"/>
  <c r="AA95" i="10"/>
  <c r="Z95" i="10"/>
  <c r="X95" i="10"/>
  <c r="W95" i="10"/>
  <c r="V95" i="10"/>
  <c r="U95" i="10"/>
  <c r="AE72" i="10"/>
  <c r="AC72" i="10"/>
  <c r="AB72" i="10"/>
  <c r="AA72" i="10"/>
  <c r="Z72" i="10"/>
  <c r="X72" i="10"/>
  <c r="W72" i="10"/>
  <c r="V72" i="10"/>
  <c r="U72" i="10"/>
  <c r="AC70" i="10"/>
  <c r="AB70" i="10"/>
  <c r="AA70" i="10"/>
  <c r="Z70" i="10"/>
  <c r="X70" i="10"/>
  <c r="W70" i="10"/>
  <c r="V70" i="10"/>
  <c r="U70" i="10"/>
  <c r="T35" i="8"/>
  <c r="S35" i="8"/>
  <c r="N10" i="9"/>
  <c r="F10" i="9"/>
  <c r="I10" i="9" s="1"/>
  <c r="G10" i="9"/>
  <c r="H10" i="9"/>
  <c r="C59" i="8"/>
  <c r="S31" i="8"/>
  <c r="T31" i="8" s="1"/>
  <c r="N31" i="8"/>
  <c r="O31" i="8" s="1"/>
  <c r="I31" i="8"/>
  <c r="J31" i="8"/>
  <c r="AC10" i="10"/>
  <c r="AB10" i="10"/>
  <c r="AA10" i="10"/>
  <c r="Z10" i="10"/>
  <c r="AC8" i="10"/>
  <c r="AA8" i="10"/>
  <c r="Z8" i="10"/>
  <c r="U10" i="10"/>
  <c r="U8" i="10"/>
  <c r="S29" i="8"/>
  <c r="T29" i="8" s="1"/>
  <c r="N29" i="8"/>
  <c r="O29" i="8" s="1"/>
  <c r="I29" i="8"/>
  <c r="J29" i="8" s="1"/>
  <c r="AG58" i="7"/>
  <c r="AF58" i="7"/>
  <c r="AE58" i="7"/>
  <c r="T39" i="7"/>
  <c r="J39" i="7"/>
  <c r="O39" i="7"/>
  <c r="AC58" i="7"/>
  <c r="AB58" i="7"/>
  <c r="AA58" i="7"/>
  <c r="Z58" i="7"/>
  <c r="X58" i="7"/>
  <c r="W58" i="7"/>
  <c r="V58" i="7"/>
  <c r="S57" i="7"/>
  <c r="R57" i="7"/>
  <c r="Q57" i="7"/>
  <c r="P57" i="7"/>
  <c r="M57" i="7"/>
  <c r="L57" i="7"/>
  <c r="Q58" i="7" s="1"/>
  <c r="K57" i="7"/>
  <c r="R149" i="9"/>
  <c r="Q149" i="9"/>
  <c r="P149" i="9"/>
  <c r="M149" i="9"/>
  <c r="L149" i="9"/>
  <c r="K149" i="9"/>
  <c r="C149" i="9"/>
  <c r="G38" i="7"/>
  <c r="R37" i="7"/>
  <c r="R7" i="10" s="1"/>
  <c r="Q37" i="7"/>
  <c r="Q7" i="10" s="1"/>
  <c r="P37" i="7"/>
  <c r="P7" i="10" s="1"/>
  <c r="M37" i="7"/>
  <c r="M7" i="10" s="1"/>
  <c r="L37" i="7"/>
  <c r="L7" i="10" s="1"/>
  <c r="K37" i="7"/>
  <c r="K7" i="10" s="1"/>
  <c r="I38" i="7"/>
  <c r="H38" i="7"/>
  <c r="H37" i="7"/>
  <c r="H7" i="10" s="1"/>
  <c r="G37" i="7"/>
  <c r="G7" i="10" s="1"/>
  <c r="R7" i="9"/>
  <c r="R17" i="9" s="1"/>
  <c r="Q7" i="9"/>
  <c r="P7" i="9"/>
  <c r="P17" i="9" s="1"/>
  <c r="T11" i="9"/>
  <c r="Q17" i="9"/>
  <c r="C11" i="9"/>
  <c r="C37" i="7" s="1"/>
  <c r="F37" i="7"/>
  <c r="F7" i="10" s="1"/>
  <c r="C38" i="7"/>
  <c r="H57" i="7"/>
  <c r="G57" i="7"/>
  <c r="F57" i="7"/>
  <c r="S11" i="9"/>
  <c r="N11" i="9"/>
  <c r="O11" i="9" s="1"/>
  <c r="O37" i="7" s="1"/>
  <c r="I11" i="9"/>
  <c r="J11" i="9" s="1"/>
  <c r="J37" i="7" s="1"/>
  <c r="C58" i="7"/>
  <c r="R58" i="7" l="1"/>
  <c r="V57" i="7"/>
  <c r="X10" i="10"/>
  <c r="V8" i="10"/>
  <c r="M58" i="7"/>
  <c r="S149" i="9"/>
  <c r="P58" i="7"/>
  <c r="AI37" i="7"/>
  <c r="T57" i="7"/>
  <c r="N37" i="7"/>
  <c r="N7" i="10" s="1"/>
  <c r="O7" i="10" s="1"/>
  <c r="N57" i="7"/>
  <c r="S58" i="7" s="1"/>
  <c r="K58" i="7"/>
  <c r="L58" i="7"/>
  <c r="N149" i="9"/>
  <c r="J10" i="9"/>
  <c r="S37" i="7"/>
  <c r="S7" i="10" s="1"/>
  <c r="T7" i="10" s="1"/>
  <c r="I37" i="7"/>
  <c r="I7" i="10" s="1"/>
  <c r="J7" i="10" s="1"/>
  <c r="I57" i="7"/>
  <c r="W57" i="7" l="1"/>
  <c r="W10" i="10"/>
  <c r="W8" i="10"/>
  <c r="X8" i="10"/>
  <c r="O57" i="7"/>
  <c r="T58" i="7"/>
  <c r="N58" i="7"/>
  <c r="J57" i="7"/>
  <c r="O58" i="7" s="1"/>
  <c r="P38" i="7" l="1"/>
  <c r="W37" i="7"/>
  <c r="W11" i="9"/>
  <c r="X57" i="7"/>
  <c r="Y57" i="7" s="1"/>
  <c r="V11" i="9"/>
  <c r="V37" i="7"/>
  <c r="W149" i="9" l="1"/>
  <c r="R38" i="7" s="1"/>
  <c r="V38" i="7"/>
  <c r="W38" i="7"/>
  <c r="V149" i="9"/>
  <c r="Q38" i="7" s="1"/>
  <c r="X11" i="9"/>
  <c r="X37" i="7"/>
  <c r="X38" i="7" s="1"/>
  <c r="Z57" i="7"/>
  <c r="X149" i="9" l="1"/>
  <c r="S38" i="7" s="1"/>
  <c r="Z11" i="9"/>
  <c r="Z37" i="7"/>
  <c r="Z38" i="7" s="1"/>
  <c r="AA57" i="7"/>
  <c r="Y11" i="9"/>
  <c r="Y37" i="7"/>
  <c r="Y38" i="7" l="1"/>
  <c r="Z149" i="9"/>
  <c r="U38" i="7" s="1"/>
  <c r="Y149" i="9"/>
  <c r="T38" i="7" s="1"/>
  <c r="AA11" i="9"/>
  <c r="AB57" i="7"/>
  <c r="AA37" i="7"/>
  <c r="AA149" i="9" l="1"/>
  <c r="AA38" i="7"/>
  <c r="AB11" i="9"/>
  <c r="AC57" i="7"/>
  <c r="AD57" i="7" s="1"/>
  <c r="AE57" i="7" s="1"/>
  <c r="AB37" i="7"/>
  <c r="AB38" i="7" s="1"/>
  <c r="AF57" i="7" l="1"/>
  <c r="AC37" i="7"/>
  <c r="AC11" i="9"/>
  <c r="AB149" i="9"/>
  <c r="AC149" i="9" l="1"/>
  <c r="AD11" i="9"/>
  <c r="AC38" i="7"/>
  <c r="AD37" i="7"/>
  <c r="AD38" i="7" s="1"/>
  <c r="AG57" i="7"/>
  <c r="AD149" i="9" l="1"/>
  <c r="AG55" i="7"/>
  <c r="AF55" i="7"/>
  <c r="AE55" i="7"/>
  <c r="V55" i="7"/>
  <c r="AG70" i="10"/>
  <c r="AF70" i="10"/>
  <c r="AE70" i="10"/>
  <c r="AH72" i="10"/>
  <c r="AG72" i="10"/>
  <c r="AF72" i="10"/>
  <c r="AE61" i="10"/>
  <c r="AF61" i="10"/>
  <c r="AG61" i="10"/>
  <c r="X61" i="10"/>
  <c r="W61" i="10"/>
  <c r="V61" i="10"/>
  <c r="U61" i="10"/>
  <c r="AG43" i="10"/>
  <c r="AF43" i="10"/>
  <c r="AE43" i="10"/>
  <c r="X43" i="10"/>
  <c r="W43" i="10"/>
  <c r="V43" i="10"/>
  <c r="U43" i="10"/>
  <c r="Q302" i="8"/>
  <c r="V314" i="8"/>
  <c r="W314" i="8"/>
  <c r="X314" i="8"/>
  <c r="C45" i="10"/>
  <c r="S282" i="8"/>
  <c r="R282" i="8"/>
  <c r="Q282" i="8"/>
  <c r="P282" i="8"/>
  <c r="N282" i="8"/>
  <c r="M282" i="8"/>
  <c r="L282" i="8"/>
  <c r="K282" i="8"/>
  <c r="G282" i="8"/>
  <c r="H282" i="8"/>
  <c r="I282" i="8"/>
  <c r="F282" i="8"/>
  <c r="R35" i="8"/>
  <c r="Q35" i="8"/>
  <c r="P35" i="8"/>
  <c r="M35" i="8"/>
  <c r="L35" i="8"/>
  <c r="K35" i="8"/>
  <c r="H35" i="8"/>
  <c r="G35" i="8"/>
  <c r="F35" i="8"/>
  <c r="J36" i="8"/>
  <c r="O36" i="8"/>
  <c r="T36" i="8"/>
  <c r="C22" i="9"/>
  <c r="S24" i="9"/>
  <c r="T24" i="9" s="1"/>
  <c r="N24" i="9"/>
  <c r="O24" i="9" s="1"/>
  <c r="I24" i="9"/>
  <c r="J24" i="9" s="1"/>
  <c r="S23" i="9"/>
  <c r="T23" i="9" s="1"/>
  <c r="N23" i="9"/>
  <c r="O23" i="9" s="1"/>
  <c r="I23" i="9"/>
  <c r="J23" i="9" s="1"/>
  <c r="S22" i="9"/>
  <c r="T22" i="9" s="1"/>
  <c r="N22" i="9"/>
  <c r="O22" i="9" s="1"/>
  <c r="I22" i="9"/>
  <c r="J22" i="9" s="1"/>
  <c r="S21" i="9"/>
  <c r="T21" i="9" s="1"/>
  <c r="N21" i="9"/>
  <c r="O21" i="9" s="1"/>
  <c r="I21" i="9"/>
  <c r="J21" i="9" s="1"/>
  <c r="S20" i="9"/>
  <c r="T20" i="9" s="1"/>
  <c r="N20" i="9"/>
  <c r="O20" i="9" s="1"/>
  <c r="I20" i="9"/>
  <c r="J20" i="9" s="1"/>
  <c r="C24" i="9"/>
  <c r="C23" i="9"/>
  <c r="AD23" i="9"/>
  <c r="Y23" i="9"/>
  <c r="AD22" i="9"/>
  <c r="Y22" i="9"/>
  <c r="S10" i="9"/>
  <c r="T10" i="9" s="1"/>
  <c r="M10" i="9"/>
  <c r="M7" i="9" s="1"/>
  <c r="M17" i="9" s="1"/>
  <c r="L10" i="9"/>
  <c r="L7" i="9" s="1"/>
  <c r="L17" i="9" s="1"/>
  <c r="K10" i="9"/>
  <c r="K7" i="9" s="1"/>
  <c r="K17" i="9" s="1"/>
  <c r="H7" i="9"/>
  <c r="G7" i="9"/>
  <c r="F7" i="9"/>
  <c r="S9" i="9"/>
  <c r="T9" i="9" s="1"/>
  <c r="N9" i="9"/>
  <c r="O9" i="9" s="1"/>
  <c r="I9" i="9"/>
  <c r="J9" i="9" s="1"/>
  <c r="S8" i="9"/>
  <c r="N8" i="9"/>
  <c r="I8" i="9"/>
  <c r="I35" i="8" l="1"/>
  <c r="J35" i="8" s="1"/>
  <c r="O8" i="9"/>
  <c r="S17" i="9"/>
  <c r="S39" i="7" s="1"/>
  <c r="J8" i="9"/>
  <c r="N35" i="8"/>
  <c r="O35" i="8" s="1"/>
  <c r="O10" i="9"/>
  <c r="I7" i="9" l="1"/>
  <c r="N7" i="9"/>
  <c r="N17" i="9" s="1"/>
  <c r="S38" i="8" l="1"/>
  <c r="R34" i="8"/>
  <c r="Q34" i="8"/>
  <c r="P34" i="8"/>
  <c r="N38" i="8"/>
  <c r="M34" i="8"/>
  <c r="L34" i="8"/>
  <c r="K34" i="8"/>
  <c r="I38" i="8"/>
  <c r="H34" i="8"/>
  <c r="G34" i="8"/>
  <c r="F34" i="8"/>
  <c r="I34" i="8" s="1"/>
  <c r="AC73" i="7"/>
  <c r="AB73" i="7"/>
  <c r="AA73" i="7"/>
  <c r="Z73" i="7"/>
  <c r="X73" i="7"/>
  <c r="W73" i="7"/>
  <c r="AC67" i="7"/>
  <c r="AB67" i="7"/>
  <c r="AA67" i="7"/>
  <c r="Z67" i="7"/>
  <c r="X67" i="7"/>
  <c r="W67" i="7"/>
  <c r="V67" i="7"/>
  <c r="AC71" i="7"/>
  <c r="AB71" i="7"/>
  <c r="AA71" i="7"/>
  <c r="Z71" i="7"/>
  <c r="X71" i="7"/>
  <c r="W71" i="7"/>
  <c r="V71" i="7"/>
  <c r="AC65" i="7"/>
  <c r="AB65" i="7"/>
  <c r="AA65" i="7"/>
  <c r="Z65" i="7"/>
  <c r="X65" i="7"/>
  <c r="W65" i="7"/>
  <c r="V65" i="7"/>
  <c r="AC55" i="7"/>
  <c r="AB55" i="7"/>
  <c r="AA55" i="7"/>
  <c r="W55" i="7"/>
  <c r="X55" i="7"/>
  <c r="G75" i="7"/>
  <c r="H75" i="7"/>
  <c r="I75" i="7"/>
  <c r="K75" i="7"/>
  <c r="L75" i="7"/>
  <c r="M75" i="7"/>
  <c r="N75" i="7"/>
  <c r="P75" i="7"/>
  <c r="Q75" i="7"/>
  <c r="R75" i="7"/>
  <c r="S75" i="7"/>
  <c r="V75" i="7"/>
  <c r="W75" i="7"/>
  <c r="X75" i="7"/>
  <c r="Z75" i="7"/>
  <c r="AA75" i="7"/>
  <c r="AB75" i="7"/>
  <c r="AC75" i="7"/>
  <c r="AE75" i="7"/>
  <c r="AF75" i="7"/>
  <c r="AG75" i="7"/>
  <c r="V80" i="7"/>
  <c r="W80" i="7"/>
  <c r="X80" i="7"/>
  <c r="Z80" i="7"/>
  <c r="AA80" i="7"/>
  <c r="AB80" i="7"/>
  <c r="AC80" i="7"/>
  <c r="AE80" i="7"/>
  <c r="AF80" i="7"/>
  <c r="AG80" i="7"/>
  <c r="J86" i="7"/>
  <c r="O86" i="7"/>
  <c r="T86" i="7"/>
  <c r="G87" i="7"/>
  <c r="H87" i="7"/>
  <c r="I87" i="7"/>
  <c r="K87" i="7"/>
  <c r="L87" i="7"/>
  <c r="M87" i="7"/>
  <c r="N87" i="7"/>
  <c r="P87" i="7"/>
  <c r="Q87" i="7"/>
  <c r="R87" i="7"/>
  <c r="S87" i="7"/>
  <c r="V87" i="7"/>
  <c r="W87" i="7"/>
  <c r="X87" i="7"/>
  <c r="Z87" i="7"/>
  <c r="AA87" i="7"/>
  <c r="AB87" i="7"/>
  <c r="AC87" i="7"/>
  <c r="AE87" i="7"/>
  <c r="AF87" i="7"/>
  <c r="AG87" i="7"/>
  <c r="V92" i="7"/>
  <c r="W92" i="7"/>
  <c r="X92" i="7"/>
  <c r="Z92" i="7"/>
  <c r="AA92" i="7"/>
  <c r="AB92" i="7"/>
  <c r="AC92" i="7"/>
  <c r="AE92" i="7"/>
  <c r="AF92" i="7"/>
  <c r="AG92" i="7"/>
  <c r="J98" i="7"/>
  <c r="O98" i="7"/>
  <c r="T98" i="7"/>
  <c r="G99" i="7"/>
  <c r="H99" i="7"/>
  <c r="I99" i="7"/>
  <c r="K99" i="7"/>
  <c r="L99" i="7"/>
  <c r="M99" i="7"/>
  <c r="N99" i="7"/>
  <c r="P99" i="7"/>
  <c r="Q99" i="7"/>
  <c r="R99" i="7"/>
  <c r="S99" i="7"/>
  <c r="V99" i="7"/>
  <c r="W99" i="7"/>
  <c r="X99" i="7"/>
  <c r="Z99" i="7"/>
  <c r="AA99" i="7"/>
  <c r="AB99" i="7"/>
  <c r="AC99" i="7"/>
  <c r="AE99" i="7"/>
  <c r="AF99" i="7"/>
  <c r="AG99" i="7"/>
  <c r="V104" i="7"/>
  <c r="W104" i="7"/>
  <c r="X104" i="7"/>
  <c r="Z104" i="7"/>
  <c r="AA104" i="7"/>
  <c r="AB104" i="7"/>
  <c r="AC104" i="7"/>
  <c r="AE104" i="7"/>
  <c r="AF104" i="7"/>
  <c r="AG104" i="7"/>
  <c r="J110" i="7"/>
  <c r="O110" i="7"/>
  <c r="O111" i="7" s="1"/>
  <c r="T110" i="7"/>
  <c r="G111" i="7"/>
  <c r="H111" i="7"/>
  <c r="I111" i="7"/>
  <c r="K111" i="7"/>
  <c r="L111" i="7"/>
  <c r="M111" i="7"/>
  <c r="N111" i="7"/>
  <c r="P111" i="7"/>
  <c r="Q111" i="7"/>
  <c r="R111" i="7"/>
  <c r="S111" i="7"/>
  <c r="V111" i="7"/>
  <c r="W111" i="7"/>
  <c r="X111" i="7"/>
  <c r="Z111" i="7"/>
  <c r="AA111" i="7"/>
  <c r="AB111" i="7"/>
  <c r="AC111" i="7"/>
  <c r="AE111" i="7"/>
  <c r="AF111" i="7"/>
  <c r="AG111" i="7"/>
  <c r="V116" i="7"/>
  <c r="W116" i="7"/>
  <c r="X116" i="7"/>
  <c r="Z116" i="7"/>
  <c r="AA116" i="7"/>
  <c r="AB116" i="7"/>
  <c r="AC116" i="7"/>
  <c r="AE116" i="7"/>
  <c r="AF116" i="7"/>
  <c r="AG116" i="7"/>
  <c r="J122" i="7"/>
  <c r="O122" i="7"/>
  <c r="T122" i="7"/>
  <c r="G123" i="7"/>
  <c r="H123" i="7"/>
  <c r="I123" i="7"/>
  <c r="K123" i="7"/>
  <c r="L123" i="7"/>
  <c r="M123" i="7"/>
  <c r="N123" i="7"/>
  <c r="P123" i="7"/>
  <c r="Q123" i="7"/>
  <c r="R123" i="7"/>
  <c r="S123" i="7"/>
  <c r="V123" i="7"/>
  <c r="W123" i="7"/>
  <c r="X123" i="7"/>
  <c r="Z123" i="7"/>
  <c r="AA123" i="7"/>
  <c r="AB123" i="7"/>
  <c r="AC123" i="7"/>
  <c r="AE123" i="7"/>
  <c r="AF123" i="7"/>
  <c r="AG123" i="7"/>
  <c r="V128" i="7"/>
  <c r="W128" i="7"/>
  <c r="X128" i="7"/>
  <c r="Z128" i="7"/>
  <c r="AA128" i="7"/>
  <c r="AB128" i="7"/>
  <c r="AC128" i="7"/>
  <c r="AE128" i="7"/>
  <c r="AF128" i="7"/>
  <c r="AG128" i="7"/>
  <c r="G135" i="7"/>
  <c r="H135" i="7"/>
  <c r="I135" i="7"/>
  <c r="K135" i="7"/>
  <c r="L135" i="7"/>
  <c r="M135" i="7"/>
  <c r="N135" i="7"/>
  <c r="O135" i="7"/>
  <c r="P135" i="7"/>
  <c r="Q135" i="7"/>
  <c r="R135" i="7"/>
  <c r="S135" i="7"/>
  <c r="T135" i="7"/>
  <c r="V135" i="7"/>
  <c r="W135" i="7"/>
  <c r="X135" i="7"/>
  <c r="Z135" i="7"/>
  <c r="AA135" i="7"/>
  <c r="AB135" i="7"/>
  <c r="AC135" i="7"/>
  <c r="AE135" i="7"/>
  <c r="AF135" i="7"/>
  <c r="AG135" i="7"/>
  <c r="G140" i="7"/>
  <c r="H140" i="7"/>
  <c r="I140" i="7"/>
  <c r="K140" i="7"/>
  <c r="L140" i="7"/>
  <c r="M140" i="7"/>
  <c r="N140" i="7"/>
  <c r="O140" i="7"/>
  <c r="P140" i="7"/>
  <c r="Q140" i="7"/>
  <c r="R140" i="7"/>
  <c r="S140" i="7"/>
  <c r="T140" i="7"/>
  <c r="V140" i="7"/>
  <c r="W140" i="7"/>
  <c r="X140" i="7"/>
  <c r="Z140" i="7"/>
  <c r="AA140" i="7"/>
  <c r="AB140" i="7"/>
  <c r="AC140" i="7"/>
  <c r="AE140" i="7"/>
  <c r="AE139" i="7" s="1"/>
  <c r="AF140" i="7"/>
  <c r="AG140" i="7"/>
  <c r="F148" i="7"/>
  <c r="G148" i="7"/>
  <c r="H148" i="7"/>
  <c r="I148" i="7"/>
  <c r="J148" i="7" s="1"/>
  <c r="K148" i="7"/>
  <c r="L148" i="7"/>
  <c r="V150" i="7"/>
  <c r="W150" i="7"/>
  <c r="X150" i="7"/>
  <c r="Z150" i="7"/>
  <c r="AA150" i="7"/>
  <c r="AB150" i="7"/>
  <c r="AC150" i="7"/>
  <c r="AE150" i="7"/>
  <c r="AF150" i="7"/>
  <c r="AG150" i="7"/>
  <c r="V154" i="7"/>
  <c r="W154" i="7"/>
  <c r="X154" i="7"/>
  <c r="Z154" i="7"/>
  <c r="AA154" i="7"/>
  <c r="AB154" i="7"/>
  <c r="AC154" i="7"/>
  <c r="AE154" i="7"/>
  <c r="AF154" i="7"/>
  <c r="AG154" i="7"/>
  <c r="F160" i="7"/>
  <c r="G160" i="7"/>
  <c r="H160" i="7"/>
  <c r="I160" i="7"/>
  <c r="K160" i="7"/>
  <c r="L160" i="7"/>
  <c r="V162" i="7"/>
  <c r="W162" i="7"/>
  <c r="X162" i="7"/>
  <c r="Z162" i="7"/>
  <c r="AA162" i="7"/>
  <c r="AB162" i="7"/>
  <c r="AC162" i="7"/>
  <c r="AE162" i="7"/>
  <c r="AF162" i="7"/>
  <c r="AG162" i="7"/>
  <c r="V166" i="7"/>
  <c r="W166" i="7"/>
  <c r="X166" i="7"/>
  <c r="Z166" i="7"/>
  <c r="AA166" i="7"/>
  <c r="AB166" i="7"/>
  <c r="AC166" i="7"/>
  <c r="AE166" i="7"/>
  <c r="AF166" i="7"/>
  <c r="AG166" i="7"/>
  <c r="F171" i="7"/>
  <c r="F173" i="7" s="1"/>
  <c r="G171" i="7"/>
  <c r="G173" i="7" s="1"/>
  <c r="G178" i="7" s="1"/>
  <c r="H171" i="7"/>
  <c r="H173" i="7" s="1"/>
  <c r="H178" i="7" s="1"/>
  <c r="I171" i="7"/>
  <c r="I173" i="7" s="1"/>
  <c r="I178" i="7" s="1"/>
  <c r="J171" i="7"/>
  <c r="K171" i="7"/>
  <c r="K173" i="7" s="1"/>
  <c r="L171" i="7"/>
  <c r="L173" i="7" s="1"/>
  <c r="L178" i="7" s="1"/>
  <c r="M171" i="7"/>
  <c r="M173" i="7" s="1"/>
  <c r="N171" i="7"/>
  <c r="N173" i="7" s="1"/>
  <c r="N178" i="7" s="1"/>
  <c r="O171" i="7"/>
  <c r="P171" i="7"/>
  <c r="P173" i="7" s="1"/>
  <c r="P178" i="7" s="1"/>
  <c r="Q171" i="7"/>
  <c r="Q173" i="7" s="1"/>
  <c r="Q178" i="7" s="1"/>
  <c r="R171" i="7"/>
  <c r="R173" i="7" s="1"/>
  <c r="R178" i="7" s="1"/>
  <c r="S171" i="7"/>
  <c r="S173" i="7" s="1"/>
  <c r="S178" i="7" s="1"/>
  <c r="T171" i="7"/>
  <c r="V174" i="7"/>
  <c r="W174" i="7"/>
  <c r="X174" i="7"/>
  <c r="Z174" i="7"/>
  <c r="AA174" i="7"/>
  <c r="AB174" i="7"/>
  <c r="AC174" i="7"/>
  <c r="AE174" i="7"/>
  <c r="AF174" i="7"/>
  <c r="AG174" i="7"/>
  <c r="V178" i="7"/>
  <c r="W178" i="7"/>
  <c r="X178" i="7"/>
  <c r="Z178" i="7"/>
  <c r="AA178" i="7"/>
  <c r="AB178" i="7"/>
  <c r="AC178" i="7"/>
  <c r="AE178" i="7"/>
  <c r="AF178" i="7"/>
  <c r="AG178" i="7"/>
  <c r="F183" i="7"/>
  <c r="F185" i="7" s="1"/>
  <c r="G183" i="7"/>
  <c r="G185" i="7" s="1"/>
  <c r="H183" i="7"/>
  <c r="H185" i="7" s="1"/>
  <c r="I183" i="7"/>
  <c r="I185" i="7" s="1"/>
  <c r="I190" i="7" s="1"/>
  <c r="J183" i="7"/>
  <c r="K183" i="7"/>
  <c r="K185" i="7" s="1"/>
  <c r="K190" i="7" s="1"/>
  <c r="L183" i="7"/>
  <c r="L185" i="7" s="1"/>
  <c r="L190" i="7" s="1"/>
  <c r="M183" i="7"/>
  <c r="M185" i="7" s="1"/>
  <c r="N183" i="7"/>
  <c r="N185" i="7" s="1"/>
  <c r="O183" i="7"/>
  <c r="P183" i="7"/>
  <c r="P185" i="7" s="1"/>
  <c r="P190" i="7" s="1"/>
  <c r="Q183" i="7"/>
  <c r="Q185" i="7" s="1"/>
  <c r="R183" i="7"/>
  <c r="R185" i="7" s="1"/>
  <c r="R190" i="7" s="1"/>
  <c r="S183" i="7"/>
  <c r="S185" i="7" s="1"/>
  <c r="T183" i="7"/>
  <c r="V186" i="7"/>
  <c r="W186" i="7"/>
  <c r="X186" i="7"/>
  <c r="Z186" i="7"/>
  <c r="AA186" i="7"/>
  <c r="AB186" i="7"/>
  <c r="AC186" i="7"/>
  <c r="AE186" i="7"/>
  <c r="AF186" i="7"/>
  <c r="AG186" i="7"/>
  <c r="V190" i="7"/>
  <c r="W190" i="7"/>
  <c r="X190" i="7"/>
  <c r="Z190" i="7"/>
  <c r="AA190" i="7"/>
  <c r="AB190" i="7"/>
  <c r="AC190" i="7"/>
  <c r="AE190" i="7"/>
  <c r="AF190" i="7"/>
  <c r="AG190" i="7"/>
  <c r="V198" i="7"/>
  <c r="W198" i="7"/>
  <c r="X198" i="7"/>
  <c r="Z198" i="7"/>
  <c r="AA198" i="7"/>
  <c r="AB198" i="7"/>
  <c r="AC198" i="7"/>
  <c r="AE198" i="7"/>
  <c r="AF198" i="7"/>
  <c r="AG198" i="7"/>
  <c r="V202" i="7"/>
  <c r="W202" i="7"/>
  <c r="X202" i="7"/>
  <c r="Z202" i="7"/>
  <c r="AA202" i="7"/>
  <c r="AB202" i="7"/>
  <c r="AC202" i="7"/>
  <c r="AE202" i="7"/>
  <c r="AF202" i="7"/>
  <c r="AG202" i="7"/>
  <c r="V210" i="7"/>
  <c r="W210" i="7"/>
  <c r="X210" i="7"/>
  <c r="Z210" i="7"/>
  <c r="AA210" i="7"/>
  <c r="AB210" i="7"/>
  <c r="AC210" i="7"/>
  <c r="AE210" i="7"/>
  <c r="AF210" i="7"/>
  <c r="AG210" i="7"/>
  <c r="V214" i="7"/>
  <c r="W214" i="7"/>
  <c r="X214" i="7"/>
  <c r="Z214" i="7"/>
  <c r="AA214" i="7"/>
  <c r="AB214" i="7"/>
  <c r="AC214" i="7"/>
  <c r="AE214" i="7"/>
  <c r="AF214" i="7"/>
  <c r="AG214" i="7"/>
  <c r="L241" i="8"/>
  <c r="M241" i="8" s="1"/>
  <c r="N241" i="8" s="1"/>
  <c r="G241" i="8"/>
  <c r="Q241" i="8"/>
  <c r="R241" i="8" s="1"/>
  <c r="S241" i="8" s="1"/>
  <c r="R254" i="8"/>
  <c r="Q254" i="8"/>
  <c r="P254" i="8"/>
  <c r="V122" i="7" l="1"/>
  <c r="W122" i="7" s="1"/>
  <c r="V98" i="7"/>
  <c r="W98" i="7" s="1"/>
  <c r="X98" i="7" s="1"/>
  <c r="S34" i="8"/>
  <c r="H241" i="8"/>
  <c r="I241" i="8" s="1"/>
  <c r="N34" i="8"/>
  <c r="S254" i="8"/>
  <c r="N186" i="7"/>
  <c r="R186" i="7"/>
  <c r="T99" i="7"/>
  <c r="AF139" i="7"/>
  <c r="AG139" i="7" s="1"/>
  <c r="Y214" i="7"/>
  <c r="T123" i="7"/>
  <c r="T111" i="7"/>
  <c r="AD178" i="7"/>
  <c r="Y178" i="7"/>
  <c r="AD214" i="7"/>
  <c r="K186" i="7"/>
  <c r="H174" i="7"/>
  <c r="V139" i="7"/>
  <c r="W139" i="7" s="1"/>
  <c r="X139" i="7" s="1"/>
  <c r="Z139" i="7" s="1"/>
  <c r="AA139" i="7" s="1"/>
  <c r="AB139" i="7" s="1"/>
  <c r="AC139" i="7" s="1"/>
  <c r="O123" i="7"/>
  <c r="Y154" i="7"/>
  <c r="O99" i="7"/>
  <c r="R174" i="7"/>
  <c r="M186" i="7"/>
  <c r="T75" i="7"/>
  <c r="I186" i="7"/>
  <c r="H190" i="7"/>
  <c r="H186" i="7"/>
  <c r="O173" i="7"/>
  <c r="K178" i="7"/>
  <c r="K174" i="7"/>
  <c r="S174" i="7"/>
  <c r="S186" i="7"/>
  <c r="S190" i="7"/>
  <c r="T173" i="7"/>
  <c r="N190" i="7"/>
  <c r="Q186" i="7"/>
  <c r="T185" i="7"/>
  <c r="Q190" i="7"/>
  <c r="V110" i="7"/>
  <c r="M174" i="7"/>
  <c r="M178" i="7"/>
  <c r="P186" i="7"/>
  <c r="N174" i="7"/>
  <c r="L174" i="7"/>
  <c r="AD190" i="7"/>
  <c r="G186" i="7"/>
  <c r="G190" i="7"/>
  <c r="G174" i="7"/>
  <c r="J173" i="7"/>
  <c r="J178" i="7" s="1"/>
  <c r="F178" i="7"/>
  <c r="AD202" i="7"/>
  <c r="M190" i="7"/>
  <c r="O185" i="7"/>
  <c r="J185" i="7"/>
  <c r="J190" i="7" s="1"/>
  <c r="F190" i="7"/>
  <c r="P174" i="7"/>
  <c r="Y190" i="7"/>
  <c r="L186" i="7"/>
  <c r="AD166" i="7"/>
  <c r="V134" i="7"/>
  <c r="Y202" i="7"/>
  <c r="Q174" i="7"/>
  <c r="I174" i="7"/>
  <c r="Y166" i="7"/>
  <c r="T87" i="7"/>
  <c r="O87" i="7"/>
  <c r="AD154" i="7"/>
  <c r="O75" i="7"/>
  <c r="V86" i="7"/>
  <c r="S147" i="8"/>
  <c r="S129" i="8"/>
  <c r="S127" i="8"/>
  <c r="S120" i="8"/>
  <c r="R147" i="8"/>
  <c r="R129" i="8"/>
  <c r="R127" i="8"/>
  <c r="R120" i="8"/>
  <c r="Q147" i="8"/>
  <c r="Q127" i="8"/>
  <c r="Q129" i="8"/>
  <c r="Q120" i="8"/>
  <c r="P127" i="8"/>
  <c r="P147" i="8"/>
  <c r="P129" i="8"/>
  <c r="P120" i="8"/>
  <c r="S49" i="8"/>
  <c r="S48" i="8"/>
  <c r="S47" i="8"/>
  <c r="S44" i="8"/>
  <c r="S36" i="9"/>
  <c r="S35" i="9"/>
  <c r="S34" i="9"/>
  <c r="F19" i="9"/>
  <c r="M19" i="9"/>
  <c r="H19" i="9"/>
  <c r="T280" i="8"/>
  <c r="O280" i="8"/>
  <c r="J280" i="8"/>
  <c r="N246" i="8"/>
  <c r="K254" i="8"/>
  <c r="L254" i="8"/>
  <c r="M254" i="8"/>
  <c r="N129" i="8"/>
  <c r="N147" i="8"/>
  <c r="N127" i="8"/>
  <c r="N120" i="8"/>
  <c r="M147" i="8"/>
  <c r="M129" i="8"/>
  <c r="M120" i="8"/>
  <c r="L147" i="8"/>
  <c r="L129" i="8"/>
  <c r="L120" i="8"/>
  <c r="K147" i="8"/>
  <c r="K129" i="8"/>
  <c r="K120" i="8"/>
  <c r="N49" i="8"/>
  <c r="N48" i="8"/>
  <c r="N47" i="8"/>
  <c r="N44" i="8"/>
  <c r="N36" i="9"/>
  <c r="N35" i="9"/>
  <c r="N34" i="9"/>
  <c r="S246" i="8"/>
  <c r="I246" i="8"/>
  <c r="I193" i="8"/>
  <c r="I147" i="8"/>
  <c r="I129" i="8"/>
  <c r="I120" i="8"/>
  <c r="I124" i="8" s="1"/>
  <c r="I49" i="8"/>
  <c r="I48" i="8"/>
  <c r="I47" i="8"/>
  <c r="I44" i="8"/>
  <c r="I36" i="9"/>
  <c r="I35" i="9"/>
  <c r="I34" i="9"/>
  <c r="H254" i="8"/>
  <c r="H147" i="8"/>
  <c r="H129" i="8"/>
  <c r="H120" i="8"/>
  <c r="F254" i="8"/>
  <c r="G254" i="8"/>
  <c r="G147" i="8"/>
  <c r="G129" i="8"/>
  <c r="G120" i="8"/>
  <c r="J259" i="8"/>
  <c r="F129" i="8"/>
  <c r="S194" i="8"/>
  <c r="R194" i="8"/>
  <c r="Q194" i="8"/>
  <c r="P194" i="8"/>
  <c r="N194" i="8"/>
  <c r="M194" i="8"/>
  <c r="L194" i="8"/>
  <c r="K194" i="8"/>
  <c r="I194" i="8"/>
  <c r="H194" i="8"/>
  <c r="F194" i="8"/>
  <c r="F147" i="8"/>
  <c r="F120" i="8"/>
  <c r="X70" i="7"/>
  <c r="W70" i="7"/>
  <c r="V70" i="7"/>
  <c r="X64" i="7"/>
  <c r="W64" i="7"/>
  <c r="V64" i="7"/>
  <c r="X52" i="7"/>
  <c r="W52" i="7"/>
  <c r="V52" i="7"/>
  <c r="X167" i="10"/>
  <c r="X272" i="8" s="1"/>
  <c r="X241" i="8" s="1"/>
  <c r="X289" i="8" s="1"/>
  <c r="W167" i="10"/>
  <c r="V167" i="10"/>
  <c r="U167" i="10"/>
  <c r="X159" i="10"/>
  <c r="W159" i="10"/>
  <c r="W296" i="8" s="1"/>
  <c r="W309" i="8" s="1"/>
  <c r="V159" i="10"/>
  <c r="V296" i="8" s="1"/>
  <c r="V309" i="8" s="1"/>
  <c r="U159" i="10"/>
  <c r="X154" i="10"/>
  <c r="W154" i="10"/>
  <c r="W295" i="8" s="1"/>
  <c r="W308" i="8" s="1"/>
  <c r="V154" i="10"/>
  <c r="V295" i="8" s="1"/>
  <c r="V308" i="8" s="1"/>
  <c r="U154" i="10"/>
  <c r="X147" i="10"/>
  <c r="X188" i="8" s="1"/>
  <c r="W147" i="10"/>
  <c r="V147" i="10"/>
  <c r="U147" i="10"/>
  <c r="X130" i="10"/>
  <c r="X232" i="8" s="1"/>
  <c r="W130" i="10"/>
  <c r="V130" i="10"/>
  <c r="U130" i="10"/>
  <c r="U125" i="10"/>
  <c r="X120" i="10"/>
  <c r="X183" i="8" s="1"/>
  <c r="W120" i="10"/>
  <c r="V120" i="10"/>
  <c r="U120" i="10"/>
  <c r="X103" i="10"/>
  <c r="X273" i="8" s="1"/>
  <c r="W103" i="10"/>
  <c r="V103" i="10"/>
  <c r="U103" i="10"/>
  <c r="X94" i="10"/>
  <c r="X200" i="8" s="1"/>
  <c r="W94" i="10"/>
  <c r="V94" i="10"/>
  <c r="U94" i="10"/>
  <c r="V87" i="10"/>
  <c r="U87" i="10"/>
  <c r="W87" i="10" s="1"/>
  <c r="V77" i="10"/>
  <c r="U77" i="10"/>
  <c r="X69" i="10"/>
  <c r="X71" i="8" s="1"/>
  <c r="F33" i="2" s="1"/>
  <c r="W69" i="10"/>
  <c r="V69" i="10"/>
  <c r="U69" i="10"/>
  <c r="X60" i="10"/>
  <c r="X70" i="8" s="1"/>
  <c r="W60" i="10"/>
  <c r="V60" i="10"/>
  <c r="U60" i="10"/>
  <c r="X55" i="10"/>
  <c r="X69" i="8" s="1"/>
  <c r="W55" i="10"/>
  <c r="V55" i="10"/>
  <c r="U55" i="10"/>
  <c r="X40" i="10"/>
  <c r="X67" i="8" s="1"/>
  <c r="W40" i="10"/>
  <c r="V40" i="10"/>
  <c r="U40" i="10"/>
  <c r="X32" i="10"/>
  <c r="W32" i="10"/>
  <c r="V32" i="10"/>
  <c r="U32" i="10"/>
  <c r="X27" i="10"/>
  <c r="W27" i="10"/>
  <c r="V27" i="10"/>
  <c r="U27" i="10"/>
  <c r="X22" i="10"/>
  <c r="W22" i="10"/>
  <c r="V22" i="10"/>
  <c r="U22" i="10"/>
  <c r="X17" i="10"/>
  <c r="W17" i="10"/>
  <c r="V17" i="10"/>
  <c r="U17" i="10"/>
  <c r="X12" i="10"/>
  <c r="W12" i="10"/>
  <c r="V12" i="10"/>
  <c r="U12" i="10"/>
  <c r="X7" i="10"/>
  <c r="Y7" i="10" s="1"/>
  <c r="W7" i="10"/>
  <c r="W29" i="8" s="1"/>
  <c r="V7" i="10"/>
  <c r="V29" i="8" s="1"/>
  <c r="U7" i="10"/>
  <c r="X172" i="9"/>
  <c r="W172" i="9"/>
  <c r="V172" i="9"/>
  <c r="X171" i="9"/>
  <c r="W171" i="9"/>
  <c r="V171" i="9"/>
  <c r="X170" i="9"/>
  <c r="W170" i="9"/>
  <c r="V170" i="9"/>
  <c r="X169" i="9"/>
  <c r="W169" i="9"/>
  <c r="V169" i="9"/>
  <c r="X155" i="9"/>
  <c r="W155" i="9"/>
  <c r="V155" i="9"/>
  <c r="X154" i="9"/>
  <c r="W154" i="9"/>
  <c r="V154" i="9"/>
  <c r="X153" i="9"/>
  <c r="W153" i="9"/>
  <c r="V153" i="9"/>
  <c r="X152" i="9"/>
  <c r="W152" i="9"/>
  <c r="V152" i="9"/>
  <c r="X151" i="9"/>
  <c r="W151" i="9"/>
  <c r="V151" i="9"/>
  <c r="X70" i="9"/>
  <c r="W70" i="9"/>
  <c r="V70" i="9"/>
  <c r="V82" i="9" s="1"/>
  <c r="X55" i="9"/>
  <c r="X54" i="9"/>
  <c r="X53" i="9"/>
  <c r="V326" i="8"/>
  <c r="W326" i="8" s="1"/>
  <c r="X326" i="8" s="1"/>
  <c r="X278" i="8"/>
  <c r="W278" i="8"/>
  <c r="V278" i="8"/>
  <c r="X260" i="8"/>
  <c r="X195" i="8"/>
  <c r="X98" i="8"/>
  <c r="X95" i="8"/>
  <c r="X84" i="8"/>
  <c r="X41" i="8"/>
  <c r="R19" i="9"/>
  <c r="Q19" i="9"/>
  <c r="P19" i="9"/>
  <c r="K19" i="9"/>
  <c r="W80" i="10" l="1"/>
  <c r="W77" i="10"/>
  <c r="W78" i="10"/>
  <c r="X80" i="10"/>
  <c r="X295" i="8"/>
  <c r="X308" i="8" s="1"/>
  <c r="X90" i="8" s="1"/>
  <c r="X296" i="8"/>
  <c r="X309" i="8" s="1"/>
  <c r="X91" i="8" s="1"/>
  <c r="X66" i="8"/>
  <c r="X29" i="8"/>
  <c r="Y29" i="8" s="1"/>
  <c r="W85" i="3" s="1"/>
  <c r="I254" i="8"/>
  <c r="X87" i="10"/>
  <c r="X214" i="8" s="1"/>
  <c r="N254" i="8"/>
  <c r="V125" i="10"/>
  <c r="Q30" i="9"/>
  <c r="Q29" i="9"/>
  <c r="Q31" i="9"/>
  <c r="H31" i="9"/>
  <c r="H30" i="9"/>
  <c r="H29" i="9"/>
  <c r="M31" i="9"/>
  <c r="M30" i="9"/>
  <c r="M29" i="9"/>
  <c r="R29" i="9"/>
  <c r="R30" i="9"/>
  <c r="R31" i="9"/>
  <c r="F31" i="9"/>
  <c r="F30" i="9"/>
  <c r="K29" i="9"/>
  <c r="K30" i="9"/>
  <c r="K31" i="9"/>
  <c r="P30" i="9"/>
  <c r="P31" i="9"/>
  <c r="P29" i="9"/>
  <c r="N19" i="9"/>
  <c r="I19" i="9"/>
  <c r="V168" i="9"/>
  <c r="W110" i="7"/>
  <c r="V185" i="7"/>
  <c r="Z98" i="7"/>
  <c r="O178" i="7"/>
  <c r="O174" i="7"/>
  <c r="V173" i="7"/>
  <c r="O190" i="7"/>
  <c r="O186" i="7"/>
  <c r="T178" i="7"/>
  <c r="T174" i="7"/>
  <c r="Y98" i="7"/>
  <c r="X122" i="7"/>
  <c r="T186" i="7"/>
  <c r="T190" i="7"/>
  <c r="W86" i="7"/>
  <c r="W134" i="7"/>
  <c r="V133" i="7"/>
  <c r="L19" i="9"/>
  <c r="G19" i="9"/>
  <c r="S19" i="9"/>
  <c r="X125" i="10"/>
  <c r="X186" i="8" s="1"/>
  <c r="W125" i="10"/>
  <c r="W79" i="9"/>
  <c r="W168" i="9"/>
  <c r="W78" i="9"/>
  <c r="W81" i="9"/>
  <c r="W80" i="9"/>
  <c r="W82" i="9"/>
  <c r="X168" i="9"/>
  <c r="X78" i="9"/>
  <c r="X81" i="9"/>
  <c r="X80" i="9"/>
  <c r="X79" i="9"/>
  <c r="X82" i="9"/>
  <c r="V79" i="9"/>
  <c r="V81" i="9"/>
  <c r="V80" i="9"/>
  <c r="V78" i="9"/>
  <c r="X93" i="8"/>
  <c r="V239" i="8"/>
  <c r="X77" i="10" l="1"/>
  <c r="X201" i="8" s="1"/>
  <c r="X78" i="10"/>
  <c r="S29" i="9"/>
  <c r="S31" i="9"/>
  <c r="S30" i="9"/>
  <c r="I30" i="9"/>
  <c r="I29" i="9"/>
  <c r="I31" i="9"/>
  <c r="N31" i="9"/>
  <c r="N29" i="9"/>
  <c r="N30" i="9"/>
  <c r="G30" i="9"/>
  <c r="G31" i="9"/>
  <c r="G29" i="9"/>
  <c r="L30" i="9"/>
  <c r="L31" i="9"/>
  <c r="L29" i="9"/>
  <c r="X86" i="7"/>
  <c r="X134" i="7"/>
  <c r="W133" i="7"/>
  <c r="W185" i="7"/>
  <c r="V183" i="7"/>
  <c r="V184" i="7" s="1"/>
  <c r="Z122" i="7"/>
  <c r="Y122" i="7"/>
  <c r="V171" i="7"/>
  <c r="W173" i="7"/>
  <c r="AA98" i="7"/>
  <c r="X110" i="7"/>
  <c r="W239" i="8"/>
  <c r="V245" i="8"/>
  <c r="V291" i="8" s="1"/>
  <c r="Z134" i="7" l="1"/>
  <c r="X133" i="7"/>
  <c r="Y133" i="7" s="1"/>
  <c r="Z86" i="7"/>
  <c r="AB98" i="7"/>
  <c r="W183" i="7"/>
  <c r="W184" i="7" s="1"/>
  <c r="X185" i="7"/>
  <c r="Y134" i="7"/>
  <c r="V172" i="7"/>
  <c r="AA122" i="7"/>
  <c r="Z110" i="7"/>
  <c r="Y110" i="7"/>
  <c r="W171" i="7"/>
  <c r="X173" i="7"/>
  <c r="Y173" i="7" s="1"/>
  <c r="Y86" i="7"/>
  <c r="V92" i="8"/>
  <c r="W245" i="8"/>
  <c r="W291" i="8" s="1"/>
  <c r="X239" i="8"/>
  <c r="Z80" i="10" l="1"/>
  <c r="Z78" i="10"/>
  <c r="Z173" i="7"/>
  <c r="X171" i="7"/>
  <c r="Y171" i="7" s="1"/>
  <c r="Y172" i="7" s="1"/>
  <c r="AA110" i="7"/>
  <c r="AB122" i="7"/>
  <c r="X183" i="7"/>
  <c r="X184" i="7" s="1"/>
  <c r="Z185" i="7"/>
  <c r="Y185" i="7"/>
  <c r="AA86" i="7"/>
  <c r="W172" i="7"/>
  <c r="AC98" i="7"/>
  <c r="Z133" i="7"/>
  <c r="AA134" i="7"/>
  <c r="X245" i="8"/>
  <c r="X291" i="8" s="1"/>
  <c r="X240" i="8"/>
  <c r="X279" i="8" s="1"/>
  <c r="W92" i="8"/>
  <c r="AD98" i="7" l="1"/>
  <c r="AE98" i="7" s="1"/>
  <c r="AF98" i="7" s="1"/>
  <c r="Y183" i="7"/>
  <c r="Y184" i="7" s="1"/>
  <c r="AA133" i="7"/>
  <c r="AB134" i="7"/>
  <c r="AB86" i="7"/>
  <c r="Z171" i="7"/>
  <c r="AA173" i="7"/>
  <c r="AA185" i="7"/>
  <c r="Z183" i="7"/>
  <c r="Z184" i="7" s="1"/>
  <c r="AB110" i="7"/>
  <c r="X172" i="7"/>
  <c r="AC122" i="7"/>
  <c r="X92" i="8"/>
  <c r="AC110" i="7" l="1"/>
  <c r="AB133" i="7"/>
  <c r="AC134" i="7"/>
  <c r="Z172" i="7"/>
  <c r="AA183" i="7"/>
  <c r="AA184" i="7" s="1"/>
  <c r="AB185" i="7"/>
  <c r="AC86" i="7"/>
  <c r="AD122" i="7"/>
  <c r="AE122" i="7" s="1"/>
  <c r="AG98" i="7"/>
  <c r="AB173" i="7"/>
  <c r="AA171" i="7"/>
  <c r="C44" i="19"/>
  <c r="C43" i="19"/>
  <c r="C42" i="19"/>
  <c r="J40" i="19"/>
  <c r="I40" i="19"/>
  <c r="C37" i="19"/>
  <c r="C36" i="19"/>
  <c r="C35" i="19"/>
  <c r="C34" i="19"/>
  <c r="C33" i="19"/>
  <c r="C32" i="19"/>
  <c r="N24" i="19"/>
  <c r="J24" i="19"/>
  <c r="I24" i="19"/>
  <c r="C21" i="19"/>
  <c r="C19" i="19"/>
  <c r="C18" i="19"/>
  <c r="C17" i="19"/>
  <c r="C16" i="19"/>
  <c r="C15" i="19"/>
  <c r="C14" i="19"/>
  <c r="C13" i="19"/>
  <c r="C12" i="19"/>
  <c r="N10" i="19"/>
  <c r="N40" i="19" s="1"/>
  <c r="M10" i="19"/>
  <c r="M40" i="19" s="1"/>
  <c r="H7" i="19"/>
  <c r="K10" i="19" s="1"/>
  <c r="C2" i="19"/>
  <c r="C1" i="19"/>
  <c r="C44" i="18"/>
  <c r="C43" i="18"/>
  <c r="C42" i="18"/>
  <c r="I40" i="18"/>
  <c r="H40" i="18"/>
  <c r="C37" i="18"/>
  <c r="C36" i="18"/>
  <c r="C35" i="18"/>
  <c r="C34" i="18"/>
  <c r="C33" i="18"/>
  <c r="C32" i="18"/>
  <c r="L24" i="18"/>
  <c r="I24" i="18"/>
  <c r="H24" i="18"/>
  <c r="C21" i="18"/>
  <c r="C19" i="18"/>
  <c r="C18" i="18"/>
  <c r="C17" i="18"/>
  <c r="C16" i="18"/>
  <c r="C15" i="18"/>
  <c r="C14" i="18"/>
  <c r="C13" i="18"/>
  <c r="C12" i="18"/>
  <c r="L10" i="18"/>
  <c r="L40" i="18" s="1"/>
  <c r="H7" i="18"/>
  <c r="J10" i="18" s="1"/>
  <c r="C2" i="18"/>
  <c r="C1" i="18"/>
  <c r="B157" i="17"/>
  <c r="P156" i="17"/>
  <c r="B141" i="17"/>
  <c r="P141" i="17" s="1"/>
  <c r="O141" i="17" s="1"/>
  <c r="P140" i="17"/>
  <c r="O140" i="17" s="1"/>
  <c r="C138" i="17"/>
  <c r="C154" i="17" s="1"/>
  <c r="D128" i="17"/>
  <c r="D127" i="17"/>
  <c r="D126" i="17"/>
  <c r="B126" i="17"/>
  <c r="B127" i="17" s="1"/>
  <c r="D125" i="17"/>
  <c r="D124" i="17"/>
  <c r="P124" i="17" s="1"/>
  <c r="D112" i="17"/>
  <c r="P112" i="17" s="1"/>
  <c r="D111" i="17"/>
  <c r="P111" i="17" s="1"/>
  <c r="D110" i="17"/>
  <c r="P110" i="17" s="1"/>
  <c r="B110" i="17"/>
  <c r="D109" i="17"/>
  <c r="P109" i="17" s="1"/>
  <c r="D108" i="17"/>
  <c r="P108" i="17" s="1"/>
  <c r="B94" i="17"/>
  <c r="B95" i="17" s="1"/>
  <c r="B96" i="17" s="1"/>
  <c r="D93" i="17"/>
  <c r="P93" i="17" s="1"/>
  <c r="D92" i="17"/>
  <c r="P92" i="17" s="1"/>
  <c r="D80" i="17"/>
  <c r="D79" i="17"/>
  <c r="D78" i="17"/>
  <c r="B78" i="17"/>
  <c r="B79" i="17" s="1"/>
  <c r="D77" i="17"/>
  <c r="P77" i="17" s="1"/>
  <c r="D76" i="17"/>
  <c r="P76" i="17" s="1"/>
  <c r="O74" i="17"/>
  <c r="O90" i="17" s="1"/>
  <c r="O106" i="17" s="1"/>
  <c r="O122" i="17" s="1"/>
  <c r="O138" i="17" s="1"/>
  <c r="O154" i="17" s="1"/>
  <c r="D64" i="17"/>
  <c r="D63" i="17"/>
  <c r="D62" i="17"/>
  <c r="B62" i="17"/>
  <c r="B63" i="17" s="1"/>
  <c r="B64" i="17" s="1"/>
  <c r="B65" i="17" s="1"/>
  <c r="D61" i="17"/>
  <c r="D60" i="17"/>
  <c r="P60" i="17" s="1"/>
  <c r="O58" i="17"/>
  <c r="C58" i="17"/>
  <c r="C74" i="17" s="1"/>
  <c r="C90" i="17" s="1"/>
  <c r="C106" i="17" s="1"/>
  <c r="C122" i="17" s="1"/>
  <c r="B46" i="17"/>
  <c r="B47" i="17" s="1"/>
  <c r="O42" i="17"/>
  <c r="D33" i="17"/>
  <c r="P33" i="17" s="1"/>
  <c r="D32" i="17"/>
  <c r="P32" i="17" s="1"/>
  <c r="B32" i="17"/>
  <c r="D31" i="17"/>
  <c r="P31" i="17" s="1"/>
  <c r="B31" i="17"/>
  <c r="D30" i="17"/>
  <c r="P30" i="17" s="1"/>
  <c r="B30" i="17"/>
  <c r="D29" i="17"/>
  <c r="P29" i="17" s="1"/>
  <c r="D28" i="17"/>
  <c r="P28" i="17" s="1"/>
  <c r="O26" i="17"/>
  <c r="C26" i="17"/>
  <c r="C42" i="17" s="1"/>
  <c r="D16" i="17"/>
  <c r="D15" i="17"/>
  <c r="D14" i="17"/>
  <c r="B14" i="17"/>
  <c r="B15" i="17" s="1"/>
  <c r="B16" i="17" s="1"/>
  <c r="D13" i="17"/>
  <c r="D12" i="17"/>
  <c r="P12" i="17" s="1"/>
  <c r="K5" i="17"/>
  <c r="J5" i="17"/>
  <c r="I5" i="17"/>
  <c r="H5" i="17"/>
  <c r="G5" i="17"/>
  <c r="E5" i="17"/>
  <c r="E4" i="17" s="1"/>
  <c r="C88" i="17" s="1"/>
  <c r="C2" i="17"/>
  <c r="C1" i="17"/>
  <c r="P185" i="16"/>
  <c r="P184" i="16"/>
  <c r="C177" i="16"/>
  <c r="M159" i="16"/>
  <c r="N159" i="16" s="1"/>
  <c r="O159" i="16" s="1"/>
  <c r="P159" i="16" s="1"/>
  <c r="Q159" i="16" s="1"/>
  <c r="E159" i="16"/>
  <c r="F159" i="16" s="1"/>
  <c r="G159" i="16" s="1"/>
  <c r="H159" i="16" s="1"/>
  <c r="I159" i="16" s="1"/>
  <c r="E135" i="16"/>
  <c r="F135" i="16" s="1"/>
  <c r="G135" i="16" s="1"/>
  <c r="H135" i="16" s="1"/>
  <c r="I135" i="16" s="1"/>
  <c r="J135" i="16" s="1"/>
  <c r="K135" i="16" s="1"/>
  <c r="L135" i="16" s="1"/>
  <c r="M135" i="16" s="1"/>
  <c r="N135" i="16" s="1"/>
  <c r="O135" i="16" s="1"/>
  <c r="P135" i="16" s="1"/>
  <c r="Q135" i="16" s="1"/>
  <c r="C133" i="16"/>
  <c r="E116" i="16"/>
  <c r="D116" i="16"/>
  <c r="G92" i="16"/>
  <c r="F92" i="16"/>
  <c r="E92" i="16"/>
  <c r="R88" i="16"/>
  <c r="C88" i="16"/>
  <c r="C91" i="16" s="1"/>
  <c r="K71" i="16"/>
  <c r="C71" i="16"/>
  <c r="K68" i="16"/>
  <c r="C68" i="16"/>
  <c r="K28" i="16"/>
  <c r="K31" i="16" s="1"/>
  <c r="C25" i="16"/>
  <c r="C2" i="16"/>
  <c r="C1" i="16"/>
  <c r="H92" i="15"/>
  <c r="H84" i="15" s="1"/>
  <c r="G92" i="15"/>
  <c r="F92" i="15"/>
  <c r="F84" i="15" s="1"/>
  <c r="E92" i="15"/>
  <c r="H91" i="15"/>
  <c r="H83" i="15" s="1"/>
  <c r="G91" i="15"/>
  <c r="F91" i="15"/>
  <c r="F83" i="15" s="1"/>
  <c r="E91" i="15"/>
  <c r="H90" i="15"/>
  <c r="O214" i="14" s="1" a="1"/>
  <c r="O214" i="14" s="1"/>
  <c r="G90" i="15"/>
  <c r="F90" i="15"/>
  <c r="E90" i="15"/>
  <c r="H89" i="15"/>
  <c r="G89" i="15"/>
  <c r="F89" i="15"/>
  <c r="E89" i="15"/>
  <c r="H88" i="15"/>
  <c r="G88" i="15"/>
  <c r="F88" i="15"/>
  <c r="E88" i="15"/>
  <c r="E84" i="15" s="1"/>
  <c r="H87" i="15"/>
  <c r="G87" i="15"/>
  <c r="F87" i="15"/>
  <c r="E87" i="15"/>
  <c r="BD86" i="15"/>
  <c r="CD86" i="15" s="1"/>
  <c r="AX86" i="15"/>
  <c r="BX86" i="15" s="1"/>
  <c r="AR86" i="15"/>
  <c r="BR86" i="15" s="1"/>
  <c r="AL86" i="15"/>
  <c r="BL86" i="15" s="1"/>
  <c r="H86" i="15"/>
  <c r="H82" i="15" s="1"/>
  <c r="G86" i="15"/>
  <c r="F86" i="15"/>
  <c r="E86" i="15"/>
  <c r="E82" i="15" s="1"/>
  <c r="H85" i="15"/>
  <c r="G85" i="15"/>
  <c r="F85" i="15"/>
  <c r="E85" i="15"/>
  <c r="BD84" i="15"/>
  <c r="CD84" i="15" s="1"/>
  <c r="AX84" i="15"/>
  <c r="BX84" i="15" s="1"/>
  <c r="AR84" i="15"/>
  <c r="BR84" i="15" s="1"/>
  <c r="AL84" i="15"/>
  <c r="BL84" i="15" s="1"/>
  <c r="BD83" i="15"/>
  <c r="CD83" i="15" s="1"/>
  <c r="AX83" i="15"/>
  <c r="BX83" i="15" s="1"/>
  <c r="AR83" i="15"/>
  <c r="BR83" i="15" s="1"/>
  <c r="AL83" i="15"/>
  <c r="BL83" i="15" s="1"/>
  <c r="BD82" i="15"/>
  <c r="CD82" i="15" s="1"/>
  <c r="AX82" i="15"/>
  <c r="BX82" i="15" s="1"/>
  <c r="AR82" i="15"/>
  <c r="BR82" i="15" s="1"/>
  <c r="AL82" i="15"/>
  <c r="BL82" i="15" s="1"/>
  <c r="G82" i="15"/>
  <c r="F82" i="15"/>
  <c r="BD81" i="15"/>
  <c r="CD81" i="15" s="1"/>
  <c r="AX81" i="15"/>
  <c r="BX81" i="15" s="1"/>
  <c r="AR81" i="15"/>
  <c r="BR81" i="15" s="1"/>
  <c r="AL81" i="15"/>
  <c r="BL81" i="15" s="1"/>
  <c r="H81" i="15"/>
  <c r="G81" i="15"/>
  <c r="F81" i="15"/>
  <c r="E81" i="15"/>
  <c r="BD80" i="15"/>
  <c r="CD80" i="15" s="1"/>
  <c r="AX80" i="15"/>
  <c r="BX80" i="15" s="1"/>
  <c r="AR80" i="15"/>
  <c r="BR80" i="15" s="1"/>
  <c r="AL80" i="15"/>
  <c r="BL80" i="15" s="1"/>
  <c r="BD79" i="15"/>
  <c r="CD79" i="15" s="1"/>
  <c r="AX79" i="15"/>
  <c r="BX79" i="15" s="1"/>
  <c r="AR79" i="15"/>
  <c r="BR79" i="15" s="1"/>
  <c r="AL79" i="15"/>
  <c r="BL79" i="15" s="1"/>
  <c r="BD78" i="15"/>
  <c r="CD78" i="15" s="1"/>
  <c r="AX78" i="15"/>
  <c r="BX78" i="15" s="1"/>
  <c r="AR78" i="15"/>
  <c r="BR78" i="15" s="1"/>
  <c r="AL78" i="15"/>
  <c r="BL78" i="15" s="1"/>
  <c r="H78" i="15"/>
  <c r="G78" i="15"/>
  <c r="F78" i="15"/>
  <c r="E78" i="15"/>
  <c r="BD77" i="15"/>
  <c r="CD77" i="15" s="1"/>
  <c r="AX77" i="15"/>
  <c r="BX77" i="15" s="1"/>
  <c r="AR77" i="15"/>
  <c r="BR77" i="15" s="1"/>
  <c r="AL77" i="15"/>
  <c r="BL77" i="15" s="1"/>
  <c r="H77" i="15"/>
  <c r="G77" i="15"/>
  <c r="F77" i="15"/>
  <c r="E77" i="15"/>
  <c r="BD76" i="15"/>
  <c r="CD76" i="15" s="1"/>
  <c r="AX76" i="15"/>
  <c r="BX76" i="15" s="1"/>
  <c r="AR76" i="15"/>
  <c r="BR76" i="15" s="1"/>
  <c r="AL76" i="15"/>
  <c r="BL76" i="15" s="1"/>
  <c r="H76" i="15"/>
  <c r="G76" i="15"/>
  <c r="F76" i="15"/>
  <c r="E76" i="15"/>
  <c r="BR75" i="15"/>
  <c r="BD75" i="15"/>
  <c r="CD75" i="15" s="1"/>
  <c r="AX75" i="15"/>
  <c r="BX75" i="15" s="1"/>
  <c r="AR75" i="15"/>
  <c r="AL75" i="15"/>
  <c r="BL75" i="15" s="1"/>
  <c r="H75" i="15"/>
  <c r="G75" i="15"/>
  <c r="F75" i="15"/>
  <c r="E75" i="15"/>
  <c r="BD74" i="15"/>
  <c r="CD74" i="15" s="1"/>
  <c r="AX74" i="15"/>
  <c r="BX74" i="15" s="1"/>
  <c r="AR74" i="15"/>
  <c r="BR74" i="15" s="1"/>
  <c r="AL74" i="15"/>
  <c r="BL74" i="15" s="1"/>
  <c r="BD73" i="15"/>
  <c r="CD73" i="15" s="1"/>
  <c r="AX73" i="15"/>
  <c r="BX73" i="15" s="1"/>
  <c r="AR73" i="15"/>
  <c r="BR73" i="15" s="1"/>
  <c r="AL73" i="15"/>
  <c r="BL73" i="15" s="1"/>
  <c r="BD72" i="15"/>
  <c r="CD72" i="15" s="1"/>
  <c r="AX72" i="15"/>
  <c r="BX72" i="15" s="1"/>
  <c r="AR72" i="15"/>
  <c r="BR72" i="15" s="1"/>
  <c r="AL72" i="15"/>
  <c r="BL72" i="15" s="1"/>
  <c r="C72" i="15"/>
  <c r="BD71" i="15"/>
  <c r="CD71" i="15" s="1"/>
  <c r="AX71" i="15"/>
  <c r="BX71" i="15" s="1"/>
  <c r="AR71" i="15"/>
  <c r="BR71" i="15" s="1"/>
  <c r="AL71" i="15"/>
  <c r="BL71" i="15" s="1"/>
  <c r="BD70" i="15"/>
  <c r="CD70" i="15" s="1"/>
  <c r="AX70" i="15"/>
  <c r="BX70" i="15" s="1"/>
  <c r="AR70" i="15"/>
  <c r="BR70" i="15" s="1"/>
  <c r="AL70" i="15"/>
  <c r="BL70" i="15" s="1"/>
  <c r="H70" i="15"/>
  <c r="G70" i="15"/>
  <c r="F70" i="15"/>
  <c r="E70" i="15"/>
  <c r="E62" i="15" s="1"/>
  <c r="BX69" i="15"/>
  <c r="BD69" i="15"/>
  <c r="CD69" i="15" s="1"/>
  <c r="AX69" i="15"/>
  <c r="AR69" i="15"/>
  <c r="BR69" i="15" s="1"/>
  <c r="AL69" i="15"/>
  <c r="BL69" i="15" s="1"/>
  <c r="H69" i="15"/>
  <c r="H61" i="15" s="1"/>
  <c r="G69" i="15"/>
  <c r="G61" i="15" s="1"/>
  <c r="F69" i="15"/>
  <c r="E69" i="15"/>
  <c r="BX68" i="15"/>
  <c r="BD68" i="15"/>
  <c r="CD68" i="15" s="1"/>
  <c r="AX68" i="15"/>
  <c r="AR68" i="15"/>
  <c r="BR68" i="15" s="1"/>
  <c r="AL68" i="15"/>
  <c r="BL68" i="15" s="1"/>
  <c r="H68" i="15"/>
  <c r="M214" i="14" s="1" a="1"/>
  <c r="M214" i="14" s="1"/>
  <c r="G68" i="15"/>
  <c r="G60" i="15" s="1"/>
  <c r="F68" i="15"/>
  <c r="E68" i="15"/>
  <c r="E60" i="15" s="1"/>
  <c r="CD67" i="15"/>
  <c r="BD67" i="15"/>
  <c r="AX67" i="15"/>
  <c r="BX67" i="15" s="1"/>
  <c r="AR67" i="15"/>
  <c r="BR67" i="15" s="1"/>
  <c r="AL67" i="15"/>
  <c r="BL67" i="15" s="1"/>
  <c r="H67" i="15"/>
  <c r="G67" i="15"/>
  <c r="F67" i="15"/>
  <c r="E67" i="15"/>
  <c r="CD66" i="15"/>
  <c r="BD66" i="15"/>
  <c r="AX66" i="15"/>
  <c r="BX66" i="15" s="1"/>
  <c r="AR66" i="15"/>
  <c r="BR66" i="15" s="1"/>
  <c r="AL66" i="15"/>
  <c r="BL66" i="15" s="1"/>
  <c r="H66" i="15"/>
  <c r="G66" i="15"/>
  <c r="F66" i="15"/>
  <c r="F62" i="15" s="1"/>
  <c r="E66" i="15"/>
  <c r="BD65" i="15"/>
  <c r="CD65" i="15" s="1"/>
  <c r="AX65" i="15"/>
  <c r="BX65" i="15" s="1"/>
  <c r="AR65" i="15"/>
  <c r="BR65" i="15" s="1"/>
  <c r="AL65" i="15"/>
  <c r="BL65" i="15" s="1"/>
  <c r="H65" i="15"/>
  <c r="G65" i="15"/>
  <c r="F65" i="15"/>
  <c r="F61" i="15" s="1"/>
  <c r="E65" i="15"/>
  <c r="BX64" i="15"/>
  <c r="BD64" i="15"/>
  <c r="CD64" i="15" s="1"/>
  <c r="AX64" i="15"/>
  <c r="AR64" i="15"/>
  <c r="BR64" i="15" s="1"/>
  <c r="AL64" i="15"/>
  <c r="BL64" i="15" s="1"/>
  <c r="H64" i="15"/>
  <c r="H60" i="15" s="1"/>
  <c r="G64" i="15"/>
  <c r="F64" i="15"/>
  <c r="E64" i="15"/>
  <c r="BD63" i="15"/>
  <c r="CD63" i="15" s="1"/>
  <c r="AX63" i="15"/>
  <c r="BX63" i="15" s="1"/>
  <c r="AR63" i="15"/>
  <c r="BR63" i="15" s="1"/>
  <c r="AL63" i="15"/>
  <c r="BL63" i="15" s="1"/>
  <c r="H63" i="15"/>
  <c r="G63" i="15"/>
  <c r="F63" i="15"/>
  <c r="E63" i="15"/>
  <c r="BX62" i="15"/>
  <c r="BD62" i="15"/>
  <c r="CD62" i="15" s="1"/>
  <c r="AX62" i="15"/>
  <c r="AR62" i="15"/>
  <c r="BR62" i="15" s="1"/>
  <c r="AL62" i="15"/>
  <c r="BL62" i="15" s="1"/>
  <c r="H62" i="15"/>
  <c r="G62" i="15"/>
  <c r="BD61" i="15"/>
  <c r="CD61" i="15" s="1"/>
  <c r="AX61" i="15"/>
  <c r="BX61" i="15" s="1"/>
  <c r="AR61" i="15"/>
  <c r="BR61" i="15" s="1"/>
  <c r="AL61" i="15"/>
  <c r="BL61" i="15" s="1"/>
  <c r="E61" i="15"/>
  <c r="BD60" i="15"/>
  <c r="CD60" i="15" s="1"/>
  <c r="AX60" i="15"/>
  <c r="BX60" i="15" s="1"/>
  <c r="AR60" i="15"/>
  <c r="BR60" i="15" s="1"/>
  <c r="AL60" i="15"/>
  <c r="BL60" i="15" s="1"/>
  <c r="F60" i="15"/>
  <c r="BD59" i="15"/>
  <c r="CD59" i="15" s="1"/>
  <c r="AX59" i="15"/>
  <c r="BX59" i="15" s="1"/>
  <c r="AR59" i="15"/>
  <c r="BR59" i="15" s="1"/>
  <c r="AL59" i="15"/>
  <c r="BL59" i="15" s="1"/>
  <c r="H59" i="15"/>
  <c r="G59" i="15"/>
  <c r="F59" i="15"/>
  <c r="E59" i="15"/>
  <c r="BD58" i="15"/>
  <c r="CD58" i="15" s="1"/>
  <c r="AX58" i="15"/>
  <c r="BX58" i="15" s="1"/>
  <c r="AR58" i="15"/>
  <c r="BR58" i="15" s="1"/>
  <c r="AL58" i="15"/>
  <c r="BL58" i="15" s="1"/>
  <c r="BD57" i="15"/>
  <c r="CD57" i="15" s="1"/>
  <c r="AX57" i="15"/>
  <c r="BX57" i="15" s="1"/>
  <c r="AR57" i="15"/>
  <c r="BR57" i="15" s="1"/>
  <c r="AL57" i="15"/>
  <c r="BL57" i="15" s="1"/>
  <c r="BL56" i="15"/>
  <c r="BD56" i="15"/>
  <c r="CD56" i="15" s="1"/>
  <c r="AX56" i="15"/>
  <c r="BX56" i="15" s="1"/>
  <c r="AR56" i="15"/>
  <c r="BR56" i="15" s="1"/>
  <c r="AL56" i="15"/>
  <c r="H56" i="15"/>
  <c r="G56" i="15"/>
  <c r="F56" i="15"/>
  <c r="E56" i="15"/>
  <c r="BD55" i="15"/>
  <c r="CD55" i="15" s="1"/>
  <c r="AX55" i="15"/>
  <c r="BX55" i="15" s="1"/>
  <c r="AR55" i="15"/>
  <c r="BR55" i="15" s="1"/>
  <c r="AL55" i="15"/>
  <c r="BL55" i="15" s="1"/>
  <c r="H55" i="15"/>
  <c r="G55" i="15"/>
  <c r="F55" i="15"/>
  <c r="E55" i="15"/>
  <c r="BD54" i="15"/>
  <c r="CD54" i="15" s="1"/>
  <c r="AX54" i="15"/>
  <c r="BX54" i="15" s="1"/>
  <c r="AR54" i="15"/>
  <c r="BR54" i="15" s="1"/>
  <c r="AL54" i="15"/>
  <c r="BL54" i="15" s="1"/>
  <c r="H54" i="15"/>
  <c r="G54" i="15"/>
  <c r="F54" i="15"/>
  <c r="E54" i="15"/>
  <c r="BD53" i="15"/>
  <c r="CD53" i="15" s="1"/>
  <c r="AX53" i="15"/>
  <c r="BX53" i="15" s="1"/>
  <c r="AR53" i="15"/>
  <c r="BR53" i="15" s="1"/>
  <c r="AL53" i="15"/>
  <c r="BL53" i="15" s="1"/>
  <c r="H53" i="15"/>
  <c r="G53" i="15"/>
  <c r="F53" i="15"/>
  <c r="E53" i="15"/>
  <c r="BD52" i="15"/>
  <c r="CD52" i="15" s="1"/>
  <c r="AX52" i="15"/>
  <c r="BX52" i="15" s="1"/>
  <c r="AR52" i="15"/>
  <c r="BR52" i="15" s="1"/>
  <c r="AL52" i="15"/>
  <c r="BL52" i="15" s="1"/>
  <c r="BD51" i="15"/>
  <c r="CD51" i="15" s="1"/>
  <c r="AX51" i="15"/>
  <c r="BX51" i="15" s="1"/>
  <c r="AR51" i="15"/>
  <c r="BR51" i="15" s="1"/>
  <c r="AL51" i="15"/>
  <c r="BL51" i="15" s="1"/>
  <c r="BD50" i="15"/>
  <c r="CD50" i="15" s="1"/>
  <c r="AX50" i="15"/>
  <c r="BX50" i="15" s="1"/>
  <c r="AR50" i="15"/>
  <c r="BR50" i="15" s="1"/>
  <c r="AL50" i="15"/>
  <c r="BL50" i="15" s="1"/>
  <c r="C50" i="15"/>
  <c r="BR49" i="15"/>
  <c r="BD49" i="15"/>
  <c r="CD49" i="15" s="1"/>
  <c r="AX49" i="15"/>
  <c r="BX49" i="15" s="1"/>
  <c r="AR49" i="15"/>
  <c r="AL49" i="15"/>
  <c r="BL49" i="15" s="1"/>
  <c r="CD48" i="15"/>
  <c r="BD48" i="15"/>
  <c r="AX48" i="15"/>
  <c r="BX48" i="15" s="1"/>
  <c r="AR48" i="15"/>
  <c r="BR48" i="15" s="1"/>
  <c r="AL48" i="15"/>
  <c r="BL48" i="15" s="1"/>
  <c r="H48" i="15"/>
  <c r="G48" i="15"/>
  <c r="F48" i="15"/>
  <c r="E48" i="15"/>
  <c r="BD47" i="15"/>
  <c r="CD47" i="15" s="1"/>
  <c r="AX47" i="15"/>
  <c r="BX47" i="15" s="1"/>
  <c r="AR47" i="15"/>
  <c r="BR47" i="15" s="1"/>
  <c r="AL47" i="15"/>
  <c r="BL47" i="15" s="1"/>
  <c r="H47" i="15"/>
  <c r="G47" i="15"/>
  <c r="F47" i="15"/>
  <c r="E47" i="15"/>
  <c r="BR46" i="15"/>
  <c r="BD46" i="15"/>
  <c r="CD46" i="15" s="1"/>
  <c r="AX46" i="15"/>
  <c r="BX46" i="15" s="1"/>
  <c r="AR46" i="15"/>
  <c r="AL46" i="15"/>
  <c r="BL46" i="15" s="1"/>
  <c r="H46" i="15"/>
  <c r="G46" i="15"/>
  <c r="F46" i="15"/>
  <c r="E46" i="15"/>
  <c r="BR45" i="15"/>
  <c r="BL45" i="15"/>
  <c r="BD45" i="15"/>
  <c r="CD45" i="15" s="1"/>
  <c r="AX45" i="15"/>
  <c r="BX45" i="15" s="1"/>
  <c r="AR45" i="15"/>
  <c r="AL45" i="15"/>
  <c r="H45" i="15"/>
  <c r="G45" i="15"/>
  <c r="F45" i="15"/>
  <c r="E45" i="15"/>
  <c r="BD44" i="15"/>
  <c r="CD44" i="15" s="1"/>
  <c r="AX44" i="15"/>
  <c r="BX44" i="15" s="1"/>
  <c r="AR44" i="15"/>
  <c r="BR44" i="15" s="1"/>
  <c r="AL44" i="15"/>
  <c r="BL44" i="15" s="1"/>
  <c r="H44" i="15"/>
  <c r="G44" i="15"/>
  <c r="F44" i="15"/>
  <c r="E44" i="15"/>
  <c r="BD43" i="15"/>
  <c r="CD43" i="15" s="1"/>
  <c r="AX43" i="15"/>
  <c r="BX43" i="15" s="1"/>
  <c r="AR43" i="15"/>
  <c r="BR43" i="15" s="1"/>
  <c r="AL43" i="15"/>
  <c r="BL43" i="15" s="1"/>
  <c r="H43" i="15"/>
  <c r="G43" i="15"/>
  <c r="F43" i="15"/>
  <c r="E43" i="15"/>
  <c r="BR42" i="15"/>
  <c r="BD42" i="15"/>
  <c r="CD42" i="15" s="1"/>
  <c r="AX42" i="15"/>
  <c r="BX42" i="15" s="1"/>
  <c r="AR42" i="15"/>
  <c r="AL42" i="15"/>
  <c r="BL42" i="15" s="1"/>
  <c r="H42" i="15"/>
  <c r="G42" i="15"/>
  <c r="F42" i="15"/>
  <c r="E42" i="15"/>
  <c r="BD41" i="15"/>
  <c r="CD41" i="15" s="1"/>
  <c r="AX41" i="15"/>
  <c r="BX41" i="15" s="1"/>
  <c r="AR41" i="15"/>
  <c r="BR41" i="15" s="1"/>
  <c r="AL41" i="15"/>
  <c r="BL41" i="15" s="1"/>
  <c r="H41" i="15"/>
  <c r="G41" i="15"/>
  <c r="F41" i="15"/>
  <c r="E41" i="15"/>
  <c r="BD40" i="15"/>
  <c r="CD40" i="15" s="1"/>
  <c r="AX40" i="15"/>
  <c r="BX40" i="15" s="1"/>
  <c r="AR40" i="15"/>
  <c r="BR40" i="15" s="1"/>
  <c r="AL40" i="15"/>
  <c r="BL40" i="15" s="1"/>
  <c r="BD39" i="15"/>
  <c r="CD39" i="15" s="1"/>
  <c r="AX39" i="15"/>
  <c r="BX39" i="15" s="1"/>
  <c r="AR39" i="15"/>
  <c r="BR39" i="15" s="1"/>
  <c r="AL39" i="15"/>
  <c r="BL39" i="15" s="1"/>
  <c r="BR38" i="15"/>
  <c r="BD38" i="15"/>
  <c r="CD38" i="15" s="1"/>
  <c r="AX38" i="15"/>
  <c r="BX38" i="15" s="1"/>
  <c r="AR38" i="15"/>
  <c r="AL38" i="15"/>
  <c r="BL38" i="15" s="1"/>
  <c r="BR37" i="15"/>
  <c r="BD37" i="15"/>
  <c r="CD37" i="15" s="1"/>
  <c r="AX37" i="15"/>
  <c r="BX37" i="15" s="1"/>
  <c r="AR37" i="15"/>
  <c r="AL37" i="15"/>
  <c r="BL37" i="15" s="1"/>
  <c r="H37" i="15"/>
  <c r="G37" i="15"/>
  <c r="F37" i="15"/>
  <c r="E37" i="15"/>
  <c r="CD36" i="15"/>
  <c r="BD36" i="15"/>
  <c r="AX36" i="15"/>
  <c r="BX36" i="15" s="1"/>
  <c r="AR36" i="15"/>
  <c r="BR36" i="15" s="1"/>
  <c r="AL36" i="15"/>
  <c r="BL36" i="15" s="1"/>
  <c r="CD35" i="15"/>
  <c r="BX35" i="15"/>
  <c r="BD35" i="15"/>
  <c r="AX35" i="15"/>
  <c r="AR35" i="15"/>
  <c r="BR35" i="15" s="1"/>
  <c r="AL35" i="15"/>
  <c r="BL35" i="15" s="1"/>
  <c r="BD34" i="15"/>
  <c r="CD34" i="15" s="1"/>
  <c r="AX34" i="15"/>
  <c r="BX34" i="15" s="1"/>
  <c r="AR34" i="15"/>
  <c r="BR34" i="15" s="1"/>
  <c r="AL34" i="15"/>
  <c r="BL34" i="15" s="1"/>
  <c r="CD33" i="15"/>
  <c r="BL33" i="15"/>
  <c r="BD33" i="15"/>
  <c r="AX33" i="15"/>
  <c r="BX33" i="15" s="1"/>
  <c r="AR33" i="15"/>
  <c r="BR33" i="15" s="1"/>
  <c r="AL33" i="15"/>
  <c r="BR32" i="15"/>
  <c r="BD32" i="15"/>
  <c r="CD32" i="15" s="1"/>
  <c r="AX32" i="15"/>
  <c r="BX32" i="15" s="1"/>
  <c r="AR32" i="15"/>
  <c r="AL32" i="15"/>
  <c r="BL32" i="15" s="1"/>
  <c r="BD31" i="15"/>
  <c r="CD31" i="15" s="1"/>
  <c r="AX31" i="15"/>
  <c r="BX31" i="15" s="1"/>
  <c r="AR31" i="15"/>
  <c r="BR31" i="15" s="1"/>
  <c r="AL31" i="15"/>
  <c r="BL31" i="15" s="1"/>
  <c r="BD30" i="15"/>
  <c r="CD30" i="15" s="1"/>
  <c r="AX30" i="15"/>
  <c r="BX30" i="15" s="1"/>
  <c r="AR30" i="15"/>
  <c r="BR30" i="15" s="1"/>
  <c r="AL30" i="15"/>
  <c r="BL30" i="15" s="1"/>
  <c r="BD29" i="15"/>
  <c r="CD29" i="15" s="1"/>
  <c r="AX29" i="15"/>
  <c r="BX29" i="15" s="1"/>
  <c r="AR29" i="15"/>
  <c r="BR29" i="15" s="1"/>
  <c r="AL29" i="15"/>
  <c r="BL29" i="15" s="1"/>
  <c r="CD28" i="15"/>
  <c r="BD28" i="15"/>
  <c r="AX28" i="15"/>
  <c r="BX28" i="15" s="1"/>
  <c r="AR28" i="15"/>
  <c r="BR28" i="15" s="1"/>
  <c r="AL28" i="15"/>
  <c r="BL28" i="15" s="1"/>
  <c r="C28" i="15"/>
  <c r="CD27" i="15"/>
  <c r="BD27" i="15"/>
  <c r="AX27" i="15"/>
  <c r="BX27" i="15" s="1"/>
  <c r="AR27" i="15"/>
  <c r="BR27" i="15" s="1"/>
  <c r="AL27" i="15"/>
  <c r="BL27" i="15" s="1"/>
  <c r="BD26" i="15"/>
  <c r="CD26" i="15" s="1"/>
  <c r="AX26" i="15"/>
  <c r="BX26" i="15" s="1"/>
  <c r="AR26" i="15"/>
  <c r="BR26" i="15" s="1"/>
  <c r="AL26" i="15"/>
  <c r="BL26" i="15" s="1"/>
  <c r="H26" i="15"/>
  <c r="G26" i="15"/>
  <c r="F26" i="15"/>
  <c r="E26" i="15"/>
  <c r="BR25" i="15"/>
  <c r="BD25" i="15"/>
  <c r="CD25" i="15" s="1"/>
  <c r="AX25" i="15"/>
  <c r="BX25" i="15" s="1"/>
  <c r="AR25" i="15"/>
  <c r="AL25" i="15"/>
  <c r="BL25" i="15" s="1"/>
  <c r="H25" i="15"/>
  <c r="G25" i="15"/>
  <c r="G17" i="15" s="1"/>
  <c r="F25" i="15"/>
  <c r="E25" i="15"/>
  <c r="BD24" i="15"/>
  <c r="CD24" i="15" s="1"/>
  <c r="AX24" i="15"/>
  <c r="BX24" i="15" s="1"/>
  <c r="AR24" i="15"/>
  <c r="BR24" i="15" s="1"/>
  <c r="AL24" i="15"/>
  <c r="BL24" i="15" s="1"/>
  <c r="H24" i="15"/>
  <c r="R188" i="14" s="1" a="1"/>
  <c r="R188" i="14" s="1"/>
  <c r="G24" i="15"/>
  <c r="F24" i="15"/>
  <c r="F16" i="15" s="1"/>
  <c r="E24" i="15"/>
  <c r="BD23" i="15"/>
  <c r="CD23" i="15" s="1"/>
  <c r="AX23" i="15"/>
  <c r="BX23" i="15" s="1"/>
  <c r="AR23" i="15"/>
  <c r="BR23" i="15" s="1"/>
  <c r="AL23" i="15"/>
  <c r="BL23" i="15" s="1"/>
  <c r="H23" i="15"/>
  <c r="G23" i="15"/>
  <c r="F23" i="15"/>
  <c r="E23" i="15"/>
  <c r="BD22" i="15"/>
  <c r="CD22" i="15" s="1"/>
  <c r="AX22" i="15"/>
  <c r="BX22" i="15" s="1"/>
  <c r="AR22" i="15"/>
  <c r="BR22" i="15" s="1"/>
  <c r="AL22" i="15"/>
  <c r="BL22" i="15" s="1"/>
  <c r="H22" i="15"/>
  <c r="H18" i="15" s="1"/>
  <c r="G22" i="15"/>
  <c r="F22" i="15"/>
  <c r="F18" i="15" s="1"/>
  <c r="E22" i="15"/>
  <c r="BR21" i="15"/>
  <c r="AX21" i="15"/>
  <c r="BX21" i="15" s="1"/>
  <c r="AR21" i="15"/>
  <c r="AL21" i="15"/>
  <c r="BL21" i="15" s="1"/>
  <c r="H21" i="15"/>
  <c r="G21" i="15"/>
  <c r="F21" i="15"/>
  <c r="F17" i="15" s="1"/>
  <c r="E21" i="15"/>
  <c r="AX20" i="15"/>
  <c r="BX20" i="15" s="1"/>
  <c r="AR20" i="15"/>
  <c r="BR20" i="15" s="1"/>
  <c r="AL20" i="15"/>
  <c r="BL20" i="15" s="1"/>
  <c r="H20" i="15"/>
  <c r="H16" i="15" s="1"/>
  <c r="G20" i="15"/>
  <c r="F20" i="15"/>
  <c r="E20" i="15"/>
  <c r="AX19" i="15"/>
  <c r="BX19" i="15" s="1"/>
  <c r="AR19" i="15"/>
  <c r="BR19" i="15" s="1"/>
  <c r="AL19" i="15"/>
  <c r="BL19" i="15" s="1"/>
  <c r="H19" i="15"/>
  <c r="G19" i="15"/>
  <c r="F19" i="15"/>
  <c r="E19" i="15"/>
  <c r="AX18" i="15"/>
  <c r="BX18" i="15" s="1"/>
  <c r="AR18" i="15"/>
  <c r="BR18" i="15" s="1"/>
  <c r="AL18" i="15"/>
  <c r="BL18" i="15" s="1"/>
  <c r="BX17" i="15"/>
  <c r="AX17" i="15"/>
  <c r="AR17" i="15"/>
  <c r="BR17" i="15" s="1"/>
  <c r="AL17" i="15"/>
  <c r="BL17" i="15" s="1"/>
  <c r="E17" i="15"/>
  <c r="BX16" i="15"/>
  <c r="AX16" i="15"/>
  <c r="AR16" i="15"/>
  <c r="BR16" i="15" s="1"/>
  <c r="AL16" i="15"/>
  <c r="BL16" i="15" s="1"/>
  <c r="BR15" i="15"/>
  <c r="AX15" i="15"/>
  <c r="BX15" i="15" s="1"/>
  <c r="AR15" i="15"/>
  <c r="AL15" i="15"/>
  <c r="BL15" i="15" s="1"/>
  <c r="H15" i="15"/>
  <c r="G15" i="15"/>
  <c r="F15" i="15"/>
  <c r="E15" i="15"/>
  <c r="BX14" i="15"/>
  <c r="AX14" i="15"/>
  <c r="AR14" i="15"/>
  <c r="BR14" i="15" s="1"/>
  <c r="AL14" i="15"/>
  <c r="BL14" i="15" s="1"/>
  <c r="AX13" i="15"/>
  <c r="BX13" i="15" s="1"/>
  <c r="AR13" i="15"/>
  <c r="BR13" i="15" s="1"/>
  <c r="AL13" i="15"/>
  <c r="BL13" i="15" s="1"/>
  <c r="AX12" i="15"/>
  <c r="BX12" i="15" s="1"/>
  <c r="AR12" i="15"/>
  <c r="BR12" i="15" s="1"/>
  <c r="AL12" i="15"/>
  <c r="BL12" i="15" s="1"/>
  <c r="BR11" i="15"/>
  <c r="AX11" i="15"/>
  <c r="BX11" i="15" s="1"/>
  <c r="AR11" i="15"/>
  <c r="AL11" i="15"/>
  <c r="BL11" i="15" s="1"/>
  <c r="R110" i="14"/>
  <c r="F111" i="14"/>
  <c r="AX10" i="15"/>
  <c r="BX10" i="15" s="1"/>
  <c r="AR10" i="15"/>
  <c r="BR10" i="15" s="1"/>
  <c r="AL10" i="15"/>
  <c r="BL10" i="15" s="1"/>
  <c r="AX9" i="15"/>
  <c r="BX9" i="15" s="1"/>
  <c r="AR9" i="15"/>
  <c r="BR9" i="15" s="1"/>
  <c r="AL9" i="15"/>
  <c r="BL9" i="15" s="1"/>
  <c r="BR8" i="15"/>
  <c r="AX8" i="15"/>
  <c r="BX8" i="15" s="1"/>
  <c r="AR8" i="15"/>
  <c r="AL8" i="15"/>
  <c r="BL8" i="15" s="1"/>
  <c r="CD7" i="15"/>
  <c r="BX7" i="15"/>
  <c r="BQ7" i="15"/>
  <c r="BW7" i="15" s="1"/>
  <c r="CC7" i="15" s="1"/>
  <c r="CI7" i="15" s="1"/>
  <c r="BP7" i="15"/>
  <c r="BV7" i="15" s="1"/>
  <c r="CB7" i="15" s="1"/>
  <c r="CH7" i="15" s="1"/>
  <c r="BO7" i="15"/>
  <c r="BU7" i="15" s="1"/>
  <c r="CA7" i="15" s="1"/>
  <c r="CG7" i="15" s="1"/>
  <c r="BN7" i="15"/>
  <c r="BT7" i="15" s="1"/>
  <c r="BZ7" i="15" s="1"/>
  <c r="CF7" i="15" s="1"/>
  <c r="BM7" i="15"/>
  <c r="BS7" i="15" s="1"/>
  <c r="BY7" i="15" s="1"/>
  <c r="CE7" i="15" s="1"/>
  <c r="BL7" i="15"/>
  <c r="AQ7" i="15"/>
  <c r="AW7" i="15" s="1"/>
  <c r="BC7" i="15" s="1"/>
  <c r="BI7" i="15" s="1"/>
  <c r="AP7" i="15"/>
  <c r="AV7" i="15" s="1"/>
  <c r="BB7" i="15" s="1"/>
  <c r="BH7" i="15" s="1"/>
  <c r="AO7" i="15"/>
  <c r="AU7" i="15" s="1"/>
  <c r="BA7" i="15" s="1"/>
  <c r="BG7" i="15" s="1"/>
  <c r="AN7" i="15"/>
  <c r="AT7" i="15" s="1"/>
  <c r="AZ7" i="15" s="1"/>
  <c r="BF7" i="15" s="1"/>
  <c r="AM7" i="15"/>
  <c r="AS7" i="15" s="1"/>
  <c r="AY7" i="15" s="1"/>
  <c r="BE7" i="15" s="1"/>
  <c r="AL7" i="15"/>
  <c r="AR7" i="15" s="1"/>
  <c r="P7" i="15"/>
  <c r="O7" i="15"/>
  <c r="N7" i="15"/>
  <c r="M7" i="15"/>
  <c r="L7" i="15"/>
  <c r="X7" i="15" s="1"/>
  <c r="CD6" i="15"/>
  <c r="BX6" i="15"/>
  <c r="BQ6" i="15"/>
  <c r="BP6" i="15"/>
  <c r="BV6" i="15" s="1"/>
  <c r="CB6" i="15" s="1"/>
  <c r="CH6" i="15" s="1"/>
  <c r="BO6" i="15"/>
  <c r="BN6" i="15"/>
  <c r="BM6" i="15"/>
  <c r="BL6" i="15"/>
  <c r="AQ6" i="15"/>
  <c r="AP6" i="15"/>
  <c r="AO6" i="15"/>
  <c r="AN6" i="15"/>
  <c r="AM6" i="15"/>
  <c r="AS6" i="15" s="1"/>
  <c r="AY6" i="15" s="1"/>
  <c r="BE6" i="15" s="1"/>
  <c r="P6" i="15"/>
  <c r="I10" i="14" s="1"/>
  <c r="O6" i="15"/>
  <c r="N6" i="15"/>
  <c r="G10" i="14" s="1"/>
  <c r="M6" i="15"/>
  <c r="I6" i="15"/>
  <c r="I7" i="15" s="1"/>
  <c r="I8" i="15" s="1"/>
  <c r="C6" i="15"/>
  <c r="BL4" i="15"/>
  <c r="C19" i="14" s="1"/>
  <c r="AL4" i="15"/>
  <c r="C14" i="14" s="1"/>
  <c r="M212" i="14" s="1"/>
  <c r="L4" i="15"/>
  <c r="C9" i="14" s="1"/>
  <c r="C2" i="15"/>
  <c r="C1" i="15"/>
  <c r="R269" i="14"/>
  <c r="C286" i="14"/>
  <c r="C285" i="14"/>
  <c r="C284" i="14"/>
  <c r="C283" i="14"/>
  <c r="C282" i="14"/>
  <c r="C264" i="14"/>
  <c r="C281" i="14" s="1"/>
  <c r="R258" i="14"/>
  <c r="Q258" i="14"/>
  <c r="P258" i="14"/>
  <c r="O258" i="14"/>
  <c r="N258" i="14"/>
  <c r="R257" i="14"/>
  <c r="Q257" i="14"/>
  <c r="P257" i="14"/>
  <c r="O257" i="14"/>
  <c r="N257" i="14"/>
  <c r="R256" i="14"/>
  <c r="Q256" i="14"/>
  <c r="P256" i="14"/>
  <c r="O256" i="14"/>
  <c r="N256" i="14"/>
  <c r="R255" i="14"/>
  <c r="Q255" i="14"/>
  <c r="P255" i="14"/>
  <c r="O255" i="14"/>
  <c r="N255" i="14"/>
  <c r="R254" i="14"/>
  <c r="Q254" i="14"/>
  <c r="P254" i="14"/>
  <c r="O254" i="14"/>
  <c r="N254" i="14"/>
  <c r="M253" i="14"/>
  <c r="F252" i="14"/>
  <c r="N252" i="14" s="1"/>
  <c r="R250" i="14"/>
  <c r="Q250" i="14"/>
  <c r="P250" i="14"/>
  <c r="O250" i="14"/>
  <c r="N250" i="14"/>
  <c r="R249" i="14"/>
  <c r="Q249" i="14"/>
  <c r="P249" i="14"/>
  <c r="O249" i="14"/>
  <c r="N249" i="14"/>
  <c r="R248" i="14"/>
  <c r="Q248" i="14"/>
  <c r="P248" i="14"/>
  <c r="O248" i="14"/>
  <c r="N248" i="14"/>
  <c r="R247" i="14"/>
  <c r="Q247" i="14"/>
  <c r="P247" i="14"/>
  <c r="O247" i="14"/>
  <c r="N247" i="14"/>
  <c r="R246" i="14"/>
  <c r="Q246" i="14"/>
  <c r="P246" i="14"/>
  <c r="O246" i="14"/>
  <c r="N246" i="14"/>
  <c r="M245" i="14"/>
  <c r="F244" i="14"/>
  <c r="N244" i="14" s="1"/>
  <c r="R242" i="14"/>
  <c r="Q242" i="14"/>
  <c r="P242" i="14"/>
  <c r="O242" i="14"/>
  <c r="N242" i="14"/>
  <c r="R241" i="14"/>
  <c r="Q241" i="14"/>
  <c r="P241" i="14"/>
  <c r="O241" i="14"/>
  <c r="N241" i="14"/>
  <c r="R240" i="14"/>
  <c r="Q240" i="14"/>
  <c r="P240" i="14"/>
  <c r="O240" i="14"/>
  <c r="N240" i="14"/>
  <c r="R239" i="14"/>
  <c r="Q239" i="14"/>
  <c r="P239" i="14"/>
  <c r="O239" i="14"/>
  <c r="N239" i="14"/>
  <c r="R238" i="14"/>
  <c r="Q238" i="14"/>
  <c r="P238" i="14"/>
  <c r="O238" i="14"/>
  <c r="N238" i="14"/>
  <c r="M237" i="14"/>
  <c r="F236" i="14"/>
  <c r="N236" i="14" s="1"/>
  <c r="R234" i="14"/>
  <c r="Q234" i="14"/>
  <c r="P234" i="14"/>
  <c r="O234" i="14"/>
  <c r="N234" i="14"/>
  <c r="R233" i="14"/>
  <c r="Q233" i="14"/>
  <c r="P233" i="14"/>
  <c r="O233" i="14"/>
  <c r="N233" i="14"/>
  <c r="R232" i="14"/>
  <c r="Q232" i="14"/>
  <c r="P232" i="14"/>
  <c r="O232" i="14"/>
  <c r="N232" i="14"/>
  <c r="R231" i="14"/>
  <c r="Q231" i="14"/>
  <c r="P231" i="14"/>
  <c r="O231" i="14"/>
  <c r="N231" i="14"/>
  <c r="R230" i="14"/>
  <c r="Q230" i="14"/>
  <c r="P230" i="14"/>
  <c r="O230" i="14"/>
  <c r="N230" i="14"/>
  <c r="M229" i="14"/>
  <c r="F228" i="14"/>
  <c r="N228" i="14" s="1"/>
  <c r="K214" i="14" a="1"/>
  <c r="K214" i="14" s="1"/>
  <c r="H214" i="14"/>
  <c r="O213" i="14" a="1"/>
  <c r="O213" i="14" s="1"/>
  <c r="M213" i="14" a="1"/>
  <c r="M213" i="14" s="1"/>
  <c r="K213" i="14" a="1"/>
  <c r="K213" i="14" s="1"/>
  <c r="J188" i="14" a="1"/>
  <c r="J188" i="14" s="1"/>
  <c r="R182" i="14"/>
  <c r="Q182" i="14"/>
  <c r="P182" i="14"/>
  <c r="O182" i="14"/>
  <c r="N182" i="14"/>
  <c r="R181" i="14"/>
  <c r="Q181" i="14"/>
  <c r="P181" i="14"/>
  <c r="O181" i="14"/>
  <c r="N181" i="14"/>
  <c r="R180" i="14"/>
  <c r="Q180" i="14"/>
  <c r="P180" i="14"/>
  <c r="O180" i="14"/>
  <c r="N180" i="14"/>
  <c r="R179" i="14"/>
  <c r="Q179" i="14"/>
  <c r="P179" i="14"/>
  <c r="O179" i="14"/>
  <c r="N179" i="14"/>
  <c r="R178" i="14"/>
  <c r="Q178" i="14"/>
  <c r="P178" i="14"/>
  <c r="O178" i="14"/>
  <c r="N178" i="14"/>
  <c r="M177" i="14"/>
  <c r="F176" i="14"/>
  <c r="N176" i="14" s="1"/>
  <c r="R174" i="14"/>
  <c r="Q174" i="14"/>
  <c r="P174" i="14"/>
  <c r="O174" i="14"/>
  <c r="N174" i="14"/>
  <c r="R173" i="14"/>
  <c r="Q173" i="14"/>
  <c r="P173" i="14"/>
  <c r="O173" i="14"/>
  <c r="N173" i="14"/>
  <c r="R172" i="14"/>
  <c r="Q172" i="14"/>
  <c r="P172" i="14"/>
  <c r="O172" i="14"/>
  <c r="N172" i="14"/>
  <c r="R171" i="14"/>
  <c r="Q171" i="14"/>
  <c r="P171" i="14"/>
  <c r="O171" i="14"/>
  <c r="N171" i="14"/>
  <c r="R170" i="14"/>
  <c r="Q170" i="14"/>
  <c r="P170" i="14"/>
  <c r="O170" i="14"/>
  <c r="N170" i="14"/>
  <c r="M169" i="14"/>
  <c r="F168" i="14"/>
  <c r="N168" i="14" s="1"/>
  <c r="M161" i="14"/>
  <c r="F160" i="14"/>
  <c r="N160" i="14" s="1"/>
  <c r="M153" i="14"/>
  <c r="F152" i="14"/>
  <c r="N152" i="14" s="1"/>
  <c r="H136" i="14"/>
  <c r="N122" i="14"/>
  <c r="N200" i="14" s="1"/>
  <c r="R200" i="14" s="1"/>
  <c r="R103" i="14"/>
  <c r="Q103" i="14"/>
  <c r="P103" i="14"/>
  <c r="O103" i="14"/>
  <c r="N103" i="14"/>
  <c r="R102" i="14"/>
  <c r="Q102" i="14"/>
  <c r="P102" i="14"/>
  <c r="O102" i="14"/>
  <c r="N102" i="14"/>
  <c r="R101" i="14"/>
  <c r="Q101" i="14"/>
  <c r="P101" i="14"/>
  <c r="O101" i="14"/>
  <c r="N101" i="14"/>
  <c r="R100" i="14"/>
  <c r="Q100" i="14"/>
  <c r="P100" i="14"/>
  <c r="O100" i="14"/>
  <c r="N100" i="14"/>
  <c r="R99" i="14"/>
  <c r="Q99" i="14"/>
  <c r="P99" i="14"/>
  <c r="O99" i="14"/>
  <c r="N99" i="14"/>
  <c r="P98" i="14"/>
  <c r="M98" i="14"/>
  <c r="I98" i="14"/>
  <c r="Q98" i="14" s="1"/>
  <c r="G98" i="14"/>
  <c r="F98" i="14" s="1"/>
  <c r="N98" i="14" s="1"/>
  <c r="R95" i="14"/>
  <c r="Q95" i="14"/>
  <c r="P95" i="14"/>
  <c r="O95" i="14"/>
  <c r="N95" i="14"/>
  <c r="R94" i="14"/>
  <c r="Q94" i="14"/>
  <c r="P94" i="14"/>
  <c r="O94" i="14"/>
  <c r="N94" i="14"/>
  <c r="R93" i="14"/>
  <c r="Q93" i="14"/>
  <c r="P93" i="14"/>
  <c r="O93" i="14"/>
  <c r="N93" i="14"/>
  <c r="R92" i="14"/>
  <c r="Q92" i="14"/>
  <c r="P92" i="14"/>
  <c r="O92" i="14"/>
  <c r="N92" i="14"/>
  <c r="R91" i="14"/>
  <c r="Q91" i="14"/>
  <c r="P91" i="14"/>
  <c r="O91" i="14"/>
  <c r="N91" i="14"/>
  <c r="M90" i="14"/>
  <c r="J84" i="14"/>
  <c r="K84" i="14" s="1"/>
  <c r="E84" i="14"/>
  <c r="G79" i="14"/>
  <c r="K52" i="14"/>
  <c r="S27" i="4" s="1"/>
  <c r="K27" i="14"/>
  <c r="J27" i="14"/>
  <c r="O26" i="14"/>
  <c r="P26" i="14" s="1"/>
  <c r="Q26" i="14" s="1"/>
  <c r="R26" i="14" s="1"/>
  <c r="M22" i="14"/>
  <c r="J22" i="14"/>
  <c r="I22" i="14"/>
  <c r="H22" i="14"/>
  <c r="G22" i="14"/>
  <c r="F22" i="14"/>
  <c r="J21" i="14"/>
  <c r="I21" i="14"/>
  <c r="H21" i="14"/>
  <c r="G21" i="14"/>
  <c r="F21" i="14"/>
  <c r="M20" i="14"/>
  <c r="D20" i="14"/>
  <c r="M19" i="14"/>
  <c r="M18" i="14"/>
  <c r="M17" i="14"/>
  <c r="J17" i="14"/>
  <c r="I17" i="14"/>
  <c r="H17" i="14"/>
  <c r="G17" i="14"/>
  <c r="F17" i="14"/>
  <c r="J16" i="14"/>
  <c r="I16" i="14"/>
  <c r="H16" i="14"/>
  <c r="G16" i="14"/>
  <c r="F16" i="14"/>
  <c r="M15" i="14"/>
  <c r="D15" i="14"/>
  <c r="M14" i="14"/>
  <c r="M13" i="14"/>
  <c r="M12" i="14"/>
  <c r="I12" i="14"/>
  <c r="H12" i="14"/>
  <c r="G12" i="14"/>
  <c r="F12" i="14"/>
  <c r="D12" i="14"/>
  <c r="S24" i="4" s="1"/>
  <c r="B12" i="14"/>
  <c r="I11" i="14"/>
  <c r="H11" i="14"/>
  <c r="G11" i="14"/>
  <c r="F11" i="14"/>
  <c r="D11" i="14"/>
  <c r="T24" i="4" s="1"/>
  <c r="U24" i="4" s="1"/>
  <c r="D10" i="14"/>
  <c r="D7" i="14"/>
  <c r="W4" i="14"/>
  <c r="C2" i="14"/>
  <c r="C1" i="14"/>
  <c r="G49" i="13"/>
  <c r="G24" i="13" s="1"/>
  <c r="C49" i="13"/>
  <c r="E47" i="13"/>
  <c r="C43" i="13"/>
  <c r="F37" i="13"/>
  <c r="E37" i="13"/>
  <c r="D37" i="13"/>
  <c r="F36" i="13"/>
  <c r="E36" i="13"/>
  <c r="D36" i="13"/>
  <c r="F35" i="13"/>
  <c r="E35" i="13"/>
  <c r="D35" i="13"/>
  <c r="F34" i="13"/>
  <c r="E34" i="13"/>
  <c r="D34" i="13"/>
  <c r="M33" i="13"/>
  <c r="F33" i="13"/>
  <c r="E33" i="13"/>
  <c r="D33" i="13"/>
  <c r="C28" i="13"/>
  <c r="G23" i="13"/>
  <c r="C23" i="13"/>
  <c r="G22" i="13"/>
  <c r="C22" i="13"/>
  <c r="G15" i="13"/>
  <c r="O8" i="13"/>
  <c r="C2" i="13"/>
  <c r="C1" i="13"/>
  <c r="P30" i="12"/>
  <c r="J30" i="12"/>
  <c r="C30" i="12" s="1"/>
  <c r="G30" i="12"/>
  <c r="P29" i="12"/>
  <c r="J29" i="12"/>
  <c r="C29" i="12" s="1"/>
  <c r="E29" i="12"/>
  <c r="P28" i="12"/>
  <c r="J28" i="12"/>
  <c r="C28" i="12" s="1"/>
  <c r="P27" i="12"/>
  <c r="J27" i="12"/>
  <c r="C27" i="12" s="1"/>
  <c r="G27" i="12"/>
  <c r="F27" i="12"/>
  <c r="E27" i="12"/>
  <c r="P26" i="12"/>
  <c r="J26" i="12"/>
  <c r="C26" i="12" s="1"/>
  <c r="E26" i="12"/>
  <c r="P25" i="12"/>
  <c r="J25" i="12"/>
  <c r="C25" i="12" s="1"/>
  <c r="E25" i="12"/>
  <c r="P24" i="12"/>
  <c r="J24" i="12"/>
  <c r="C24" i="12" s="1"/>
  <c r="G24" i="12"/>
  <c r="F24" i="12"/>
  <c r="E24" i="12"/>
  <c r="P23" i="12"/>
  <c r="J23" i="12"/>
  <c r="C23" i="12" s="1"/>
  <c r="E23" i="12"/>
  <c r="P22" i="12"/>
  <c r="J22" i="12"/>
  <c r="C22" i="12" s="1"/>
  <c r="P21" i="12"/>
  <c r="J21" i="12"/>
  <c r="C21" i="12" s="1"/>
  <c r="E21" i="12"/>
  <c r="P20" i="12"/>
  <c r="J20" i="12"/>
  <c r="C20" i="12" s="1"/>
  <c r="E20" i="12"/>
  <c r="P19" i="12"/>
  <c r="J19" i="12"/>
  <c r="C19" i="12" s="1"/>
  <c r="E19" i="12"/>
  <c r="P18" i="12"/>
  <c r="J18" i="12"/>
  <c r="C18" i="12" s="1"/>
  <c r="E18" i="12"/>
  <c r="P17" i="12"/>
  <c r="J17" i="12"/>
  <c r="C17" i="12" s="1"/>
  <c r="G17" i="12"/>
  <c r="F17" i="12"/>
  <c r="E17" i="12"/>
  <c r="P16" i="12"/>
  <c r="J16" i="12"/>
  <c r="C16" i="12" s="1"/>
  <c r="E16" i="12"/>
  <c r="P15" i="12"/>
  <c r="J15" i="12"/>
  <c r="C15" i="12" s="1"/>
  <c r="E15" i="12"/>
  <c r="P14" i="12"/>
  <c r="J14" i="12"/>
  <c r="C14" i="12" s="1"/>
  <c r="G14" i="12"/>
  <c r="F14" i="12"/>
  <c r="E14" i="12"/>
  <c r="P13" i="12"/>
  <c r="J13" i="12"/>
  <c r="C13" i="12" s="1"/>
  <c r="G13" i="12"/>
  <c r="F13" i="12"/>
  <c r="E13" i="12"/>
  <c r="Q12" i="12"/>
  <c r="F30" i="12" s="1"/>
  <c r="L12" i="12"/>
  <c r="M12" i="12" s="1"/>
  <c r="N12" i="12" s="1"/>
  <c r="O12" i="12" s="1"/>
  <c r="K12" i="12"/>
  <c r="E30" i="12" s="1"/>
  <c r="L3" i="12"/>
  <c r="L4" i="12" s="1"/>
  <c r="L5" i="12" s="1"/>
  <c r="L6" i="12" s="1"/>
  <c r="AC2" i="12"/>
  <c r="N86" i="11"/>
  <c r="AT67" i="11" s="1"/>
  <c r="I86" i="11"/>
  <c r="X67" i="11" s="1"/>
  <c r="N85" i="11"/>
  <c r="I85" i="11"/>
  <c r="E85" i="11"/>
  <c r="N84" i="11"/>
  <c r="I84" i="11"/>
  <c r="E84" i="11"/>
  <c r="L6" i="15" s="1"/>
  <c r="L82" i="11"/>
  <c r="AV4" i="11" s="1"/>
  <c r="AV44" i="11" s="1"/>
  <c r="G82" i="11"/>
  <c r="D82" i="11"/>
  <c r="BN72" i="11"/>
  <c r="BM72" i="11"/>
  <c r="BL72" i="11"/>
  <c r="BK72" i="11"/>
  <c r="BJ72" i="11"/>
  <c r="BI72" i="11"/>
  <c r="BH72" i="11"/>
  <c r="BG72" i="11"/>
  <c r="BF72" i="11"/>
  <c r="BE72" i="11"/>
  <c r="BD72" i="11"/>
  <c r="BC72" i="11"/>
  <c r="BA72" i="11"/>
  <c r="AZ72" i="11"/>
  <c r="AY72" i="11"/>
  <c r="BB72" i="11" s="1"/>
  <c r="AU72" i="11"/>
  <c r="AT72" i="11"/>
  <c r="AT54" i="11" s="1"/>
  <c r="AR72" i="11"/>
  <c r="AQ72" i="11"/>
  <c r="AP72" i="11"/>
  <c r="AO72" i="11"/>
  <c r="AN72" i="11"/>
  <c r="AM72" i="11"/>
  <c r="AL72" i="11"/>
  <c r="AK72" i="11"/>
  <c r="AJ72" i="11"/>
  <c r="AI72" i="11"/>
  <c r="AH72" i="11"/>
  <c r="AG72" i="11"/>
  <c r="AE72" i="11"/>
  <c r="AD72" i="11"/>
  <c r="AC72" i="11"/>
  <c r="AF72" i="11" s="1"/>
  <c r="AB72" i="11"/>
  <c r="AB54" i="11" s="1"/>
  <c r="X72" i="11"/>
  <c r="X54" i="11" s="1"/>
  <c r="V72" i="11"/>
  <c r="U72" i="11"/>
  <c r="T72" i="11"/>
  <c r="S72" i="11"/>
  <c r="R72" i="11"/>
  <c r="Q72" i="11"/>
  <c r="P72" i="11"/>
  <c r="O72" i="11"/>
  <c r="N72" i="11"/>
  <c r="M72" i="11"/>
  <c r="L72" i="11"/>
  <c r="K72" i="11"/>
  <c r="I72" i="11"/>
  <c r="H72" i="11"/>
  <c r="G72" i="11"/>
  <c r="J72" i="11" s="1"/>
  <c r="F72" i="11"/>
  <c r="F54" i="11" s="1"/>
  <c r="B72" i="11"/>
  <c r="B54" i="11" s="1"/>
  <c r="BN71" i="11"/>
  <c r="BM71" i="11"/>
  <c r="BL71" i="11"/>
  <c r="BK71" i="11"/>
  <c r="BJ71" i="11"/>
  <c r="BI71" i="11"/>
  <c r="BH71" i="11"/>
  <c r="BG71" i="11"/>
  <c r="BF71" i="11"/>
  <c r="BE71" i="11"/>
  <c r="BD71" i="11"/>
  <c r="BC71" i="11"/>
  <c r="BA71" i="11"/>
  <c r="AZ71" i="11"/>
  <c r="AY71" i="11"/>
  <c r="BB71" i="11" s="1"/>
  <c r="AU71" i="11"/>
  <c r="AT71" i="11"/>
  <c r="AT53" i="11" s="1"/>
  <c r="AR71" i="11"/>
  <c r="AQ71" i="11"/>
  <c r="AP71" i="11"/>
  <c r="AO71" i="11"/>
  <c r="AN71" i="11"/>
  <c r="AM71" i="11"/>
  <c r="AL71" i="11"/>
  <c r="AK71" i="11"/>
  <c r="AJ71" i="11"/>
  <c r="AI71" i="11"/>
  <c r="AH71" i="11"/>
  <c r="AG71" i="11"/>
  <c r="AE71" i="11"/>
  <c r="AD71" i="11"/>
  <c r="AC71" i="11"/>
  <c r="AF71" i="11" s="1"/>
  <c r="AB71" i="11"/>
  <c r="AB53" i="11" s="1"/>
  <c r="X71" i="11"/>
  <c r="X53" i="11" s="1"/>
  <c r="V71" i="11"/>
  <c r="U71" i="11"/>
  <c r="T71" i="11"/>
  <c r="S71" i="11"/>
  <c r="R71" i="11"/>
  <c r="Q71" i="11"/>
  <c r="P71" i="11"/>
  <c r="O71" i="11"/>
  <c r="N71" i="11"/>
  <c r="M71" i="11"/>
  <c r="L71" i="11"/>
  <c r="K71" i="11"/>
  <c r="I71" i="11"/>
  <c r="H71" i="11"/>
  <c r="G71" i="11"/>
  <c r="J71" i="11" s="1"/>
  <c r="F71" i="11"/>
  <c r="F53" i="11" s="1"/>
  <c r="B71" i="11"/>
  <c r="B53" i="11" s="1"/>
  <c r="BN70" i="11"/>
  <c r="BM70" i="11"/>
  <c r="BL70" i="11"/>
  <c r="BK70" i="11"/>
  <c r="BJ70" i="11"/>
  <c r="BI70" i="11"/>
  <c r="BH70" i="11"/>
  <c r="BG70" i="11"/>
  <c r="BF70" i="11"/>
  <c r="BE70" i="11"/>
  <c r="BD70" i="11"/>
  <c r="BC70" i="11"/>
  <c r="BA70" i="11"/>
  <c r="AZ70" i="11"/>
  <c r="AY70" i="11"/>
  <c r="BB70" i="11" s="1"/>
  <c r="AU70" i="11"/>
  <c r="AT70" i="11"/>
  <c r="AT52" i="11" s="1"/>
  <c r="AR70" i="11"/>
  <c r="AQ70" i="11"/>
  <c r="AP70" i="11"/>
  <c r="AO70" i="11"/>
  <c r="AN70" i="11"/>
  <c r="AM70" i="11"/>
  <c r="AL70" i="11"/>
  <c r="AK70" i="11"/>
  <c r="AJ70" i="11"/>
  <c r="AI70" i="11"/>
  <c r="AH70" i="11"/>
  <c r="AG70" i="11"/>
  <c r="AE70" i="11"/>
  <c r="AD70" i="11"/>
  <c r="AC70" i="11"/>
  <c r="AF70" i="11" s="1"/>
  <c r="AB70" i="11"/>
  <c r="AB52" i="11" s="1"/>
  <c r="X70" i="11"/>
  <c r="X52" i="11" s="1"/>
  <c r="V70" i="11"/>
  <c r="U70" i="11"/>
  <c r="T70" i="11"/>
  <c r="S70" i="11"/>
  <c r="R70" i="11"/>
  <c r="Q70" i="11"/>
  <c r="P70" i="11"/>
  <c r="O70" i="11"/>
  <c r="N70" i="11"/>
  <c r="M70" i="11"/>
  <c r="L70" i="11"/>
  <c r="K70" i="11"/>
  <c r="I70" i="11"/>
  <c r="H70" i="11"/>
  <c r="G70" i="11"/>
  <c r="J70" i="11" s="1"/>
  <c r="F70" i="11"/>
  <c r="F52" i="11" s="1"/>
  <c r="B70" i="11"/>
  <c r="B52" i="11" s="1"/>
  <c r="BN69" i="11"/>
  <c r="BM69" i="11"/>
  <c r="BL69" i="11"/>
  <c r="BK69" i="11"/>
  <c r="BK75" i="11" s="1"/>
  <c r="BJ69" i="11"/>
  <c r="BJ75" i="11" s="1"/>
  <c r="BI69" i="11"/>
  <c r="BI75" i="11" s="1"/>
  <c r="BH69" i="11"/>
  <c r="BH76" i="11" s="1"/>
  <c r="BG69" i="11"/>
  <c r="BG75" i="11" s="1"/>
  <c r="BF69" i="11"/>
  <c r="BF75" i="11" s="1"/>
  <c r="BE69" i="11"/>
  <c r="BE75" i="11" s="1"/>
  <c r="BD69" i="11"/>
  <c r="BD77" i="11" s="1"/>
  <c r="BC69" i="11"/>
  <c r="BC76" i="11" s="1"/>
  <c r="BA69" i="11"/>
  <c r="BA76" i="11" s="1"/>
  <c r="AZ69" i="11"/>
  <c r="AY69" i="11"/>
  <c r="AU69" i="11"/>
  <c r="AT69" i="11"/>
  <c r="AT51" i="11" s="1"/>
  <c r="AR69" i="11"/>
  <c r="AQ69" i="11"/>
  <c r="AP69" i="11"/>
  <c r="AP74" i="11" s="1"/>
  <c r="AO69" i="11"/>
  <c r="AO74" i="11" s="1"/>
  <c r="AN69" i="11"/>
  <c r="AM69" i="11"/>
  <c r="AM74" i="11" s="1"/>
  <c r="AL69" i="11"/>
  <c r="AL74" i="11" s="1"/>
  <c r="AK69" i="11"/>
  <c r="AK76" i="11" s="1"/>
  <c r="AJ69" i="11"/>
  <c r="AJ74" i="11" s="1"/>
  <c r="AI69" i="11"/>
  <c r="AI74" i="11" s="1"/>
  <c r="AH69" i="11"/>
  <c r="AG69" i="11"/>
  <c r="AE69" i="11"/>
  <c r="AD69" i="11"/>
  <c r="AC69" i="11"/>
  <c r="AB69" i="11"/>
  <c r="AB51" i="11" s="1"/>
  <c r="X69" i="11"/>
  <c r="V69" i="11"/>
  <c r="U69" i="11"/>
  <c r="T69" i="11"/>
  <c r="S69" i="11"/>
  <c r="R69" i="11"/>
  <c r="Q69" i="11"/>
  <c r="P69" i="11"/>
  <c r="O69" i="11"/>
  <c r="N69" i="11"/>
  <c r="M69" i="11"/>
  <c r="L69" i="11"/>
  <c r="K69" i="11"/>
  <c r="I69" i="11"/>
  <c r="H69" i="11"/>
  <c r="G69" i="11"/>
  <c r="F69" i="11"/>
  <c r="B69" i="11"/>
  <c r="AU67" i="11"/>
  <c r="V67" i="11"/>
  <c r="U67" i="11"/>
  <c r="T67" i="11"/>
  <c r="S67" i="11"/>
  <c r="R67" i="11"/>
  <c r="Q67" i="11"/>
  <c r="P67" i="11"/>
  <c r="O67" i="11"/>
  <c r="N67" i="11"/>
  <c r="M67" i="11"/>
  <c r="L67" i="11"/>
  <c r="K67" i="11"/>
  <c r="I67" i="11"/>
  <c r="H67" i="11"/>
  <c r="G67" i="11"/>
  <c r="J67" i="11" s="1"/>
  <c r="B67" i="11"/>
  <c r="BN65" i="11"/>
  <c r="BM65" i="11"/>
  <c r="BL65" i="11"/>
  <c r="BK65" i="11"/>
  <c r="BJ65" i="11"/>
  <c r="BI65" i="11"/>
  <c r="BH65" i="11"/>
  <c r="BG65" i="11"/>
  <c r="BF65" i="11"/>
  <c r="BE65" i="11"/>
  <c r="BD65" i="11"/>
  <c r="BC65" i="11"/>
  <c r="BB65" i="11"/>
  <c r="BA65" i="11"/>
  <c r="AZ65" i="11"/>
  <c r="AY65" i="11"/>
  <c r="AX65" i="11"/>
  <c r="AR65" i="11"/>
  <c r="AQ65" i="11"/>
  <c r="AP65" i="11"/>
  <c r="AO65" i="11"/>
  <c r="AN65" i="11"/>
  <c r="AM65" i="11"/>
  <c r="AL65" i="11"/>
  <c r="AK65" i="11"/>
  <c r="AJ65" i="11"/>
  <c r="AI65" i="11"/>
  <c r="AH65" i="11"/>
  <c r="AG65" i="11"/>
  <c r="AF65" i="11"/>
  <c r="AE65" i="11"/>
  <c r="AD65" i="11"/>
  <c r="AC65" i="11"/>
  <c r="AB65" i="11"/>
  <c r="T65" i="11"/>
  <c r="S65" i="11"/>
  <c r="R65" i="11"/>
  <c r="Q65" i="11"/>
  <c r="P65" i="11"/>
  <c r="O65" i="11"/>
  <c r="N65" i="11"/>
  <c r="M65" i="11"/>
  <c r="L65" i="11"/>
  <c r="K65" i="11"/>
  <c r="J65" i="11"/>
  <c r="I65" i="11"/>
  <c r="H65" i="11"/>
  <c r="G65" i="11"/>
  <c r="F65" i="11"/>
  <c r="BL64" i="11"/>
  <c r="BK64" i="11"/>
  <c r="BJ64" i="11"/>
  <c r="BI64" i="11"/>
  <c r="BH64" i="11"/>
  <c r="BA64" i="11"/>
  <c r="AP64" i="11"/>
  <c r="AO64" i="11"/>
  <c r="AN64" i="11"/>
  <c r="AM64" i="11"/>
  <c r="AL64" i="11"/>
  <c r="AE64" i="11"/>
  <c r="T64" i="11"/>
  <c r="S64" i="11"/>
  <c r="R64" i="11"/>
  <c r="Q64" i="11"/>
  <c r="P64" i="11"/>
  <c r="I64" i="11"/>
  <c r="BE63" i="11"/>
  <c r="AI63" i="11"/>
  <c r="M63" i="11"/>
  <c r="BM62" i="11"/>
  <c r="BK62" i="11"/>
  <c r="BB62" i="11"/>
  <c r="AY62" i="11"/>
  <c r="AV62" i="11"/>
  <c r="AQ62" i="11"/>
  <c r="AO62" i="11"/>
  <c r="AF62" i="11"/>
  <c r="AC62" i="11"/>
  <c r="Z62" i="11"/>
  <c r="U62" i="11"/>
  <c r="S62" i="11"/>
  <c r="J62" i="11"/>
  <c r="G62" i="11"/>
  <c r="D62" i="11"/>
  <c r="AV59" i="11"/>
  <c r="Z59" i="11"/>
  <c r="D59" i="11"/>
  <c r="AV58" i="11"/>
  <c r="Z58" i="11"/>
  <c r="D58" i="11"/>
  <c r="AV57" i="11"/>
  <c r="Z57" i="11"/>
  <c r="D57" i="11"/>
  <c r="AV56" i="11"/>
  <c r="Z56" i="11"/>
  <c r="D56" i="11"/>
  <c r="AX54" i="11"/>
  <c r="AX72" i="11" s="1"/>
  <c r="AX53" i="11"/>
  <c r="AX71" i="11" s="1"/>
  <c r="V53" i="11"/>
  <c r="U53" i="11"/>
  <c r="T53" i="11"/>
  <c r="S53" i="11"/>
  <c r="R53" i="11"/>
  <c r="Q53" i="11"/>
  <c r="P53" i="11"/>
  <c r="O53" i="11"/>
  <c r="N53" i="11"/>
  <c r="M53" i="11"/>
  <c r="L53" i="11"/>
  <c r="K53" i="11"/>
  <c r="J53" i="11"/>
  <c r="I53" i="11"/>
  <c r="H53" i="11"/>
  <c r="G53" i="11"/>
  <c r="D53" i="11"/>
  <c r="AX52" i="11"/>
  <c r="AX70" i="11" s="1"/>
  <c r="BN51" i="11"/>
  <c r="BM51" i="11"/>
  <c r="BL51" i="11"/>
  <c r="BK51" i="11"/>
  <c r="BJ51" i="11"/>
  <c r="BI51" i="11"/>
  <c r="BH51" i="11"/>
  <c r="BG51" i="11"/>
  <c r="BF51" i="11"/>
  <c r="BE51" i="11"/>
  <c r="BD51" i="11"/>
  <c r="BC51" i="11"/>
  <c r="BB51" i="11"/>
  <c r="BA51" i="11"/>
  <c r="AZ51" i="11"/>
  <c r="AY51" i="11"/>
  <c r="AX51" i="11"/>
  <c r="AX69" i="11" s="1"/>
  <c r="AV51" i="11"/>
  <c r="AV29" i="11" s="1"/>
  <c r="AR51" i="11"/>
  <c r="AQ51" i="11"/>
  <c r="AP51" i="11"/>
  <c r="AO51" i="11"/>
  <c r="AN51" i="11"/>
  <c r="AM51" i="11"/>
  <c r="AL51" i="11"/>
  <c r="AK51" i="11"/>
  <c r="AJ51" i="11"/>
  <c r="AI51" i="11"/>
  <c r="AH51" i="11"/>
  <c r="AG51" i="11"/>
  <c r="AF51" i="11"/>
  <c r="AE51" i="11"/>
  <c r="AD51" i="11"/>
  <c r="AC51" i="11"/>
  <c r="Z51" i="11"/>
  <c r="Z69" i="11" s="1"/>
  <c r="Z12" i="11" s="1"/>
  <c r="X51" i="11"/>
  <c r="V51" i="11"/>
  <c r="U51" i="11"/>
  <c r="T51" i="11"/>
  <c r="S51" i="11"/>
  <c r="R51" i="11"/>
  <c r="Q51" i="11"/>
  <c r="P51" i="11"/>
  <c r="O51" i="11"/>
  <c r="N51" i="11"/>
  <c r="M51" i="11"/>
  <c r="L51" i="11"/>
  <c r="K51" i="11"/>
  <c r="J51" i="11"/>
  <c r="I51" i="11"/>
  <c r="H51" i="11"/>
  <c r="G51" i="11"/>
  <c r="F51" i="11"/>
  <c r="D51" i="11"/>
  <c r="C33" i="13" s="1"/>
  <c r="B51" i="11"/>
  <c r="AX49" i="11"/>
  <c r="AX67" i="11" s="1"/>
  <c r="AV49" i="11"/>
  <c r="AV67" i="11" s="1"/>
  <c r="AB49" i="11"/>
  <c r="AB67" i="11" s="1"/>
  <c r="Z49" i="11"/>
  <c r="V49" i="11"/>
  <c r="U49" i="11"/>
  <c r="T49" i="11"/>
  <c r="S49" i="11"/>
  <c r="R49" i="11"/>
  <c r="Q49" i="11"/>
  <c r="P49" i="11"/>
  <c r="O49" i="11"/>
  <c r="N49" i="11"/>
  <c r="M49" i="11"/>
  <c r="L49" i="11"/>
  <c r="K49" i="11"/>
  <c r="J49" i="11"/>
  <c r="I49" i="11"/>
  <c r="H49" i="11"/>
  <c r="G49" i="11"/>
  <c r="F49" i="11"/>
  <c r="F67" i="11" s="1"/>
  <c r="D49" i="11"/>
  <c r="D67" i="11" s="1"/>
  <c r="B49" i="11"/>
  <c r="BA47" i="11"/>
  <c r="AZ47" i="11"/>
  <c r="AY47" i="11"/>
  <c r="AX47" i="11"/>
  <c r="AE47" i="11"/>
  <c r="AD47" i="11"/>
  <c r="AC47" i="11"/>
  <c r="AB47" i="11"/>
  <c r="U47" i="11"/>
  <c r="S47" i="11"/>
  <c r="Q47" i="11"/>
  <c r="O47" i="11"/>
  <c r="M47" i="11"/>
  <c r="K47" i="11"/>
  <c r="I47" i="11"/>
  <c r="H47" i="11"/>
  <c r="G47" i="11"/>
  <c r="F47" i="11"/>
  <c r="BM46" i="11"/>
  <c r="BK46" i="11"/>
  <c r="BI46" i="11"/>
  <c r="BG46" i="11"/>
  <c r="BE46" i="11"/>
  <c r="BC46" i="11"/>
  <c r="BA46" i="11"/>
  <c r="AZ46" i="11"/>
  <c r="AY46" i="11"/>
  <c r="AQ46" i="11"/>
  <c r="AO46" i="11"/>
  <c r="AM46" i="11"/>
  <c r="AK46" i="11"/>
  <c r="AI46" i="11"/>
  <c r="AG46" i="11"/>
  <c r="AE46" i="11"/>
  <c r="AD46" i="11"/>
  <c r="AC46" i="11"/>
  <c r="U46" i="11"/>
  <c r="S46" i="11"/>
  <c r="Q46" i="11"/>
  <c r="O46" i="11"/>
  <c r="M46" i="11"/>
  <c r="K46" i="11"/>
  <c r="I46" i="11"/>
  <c r="H46" i="11"/>
  <c r="G46" i="11"/>
  <c r="BL45" i="11"/>
  <c r="BI45" i="11"/>
  <c r="AP45" i="11"/>
  <c r="AM45" i="11"/>
  <c r="T45" i="11"/>
  <c r="Q45" i="11"/>
  <c r="BL37" i="11"/>
  <c r="BK37" i="11"/>
  <c r="BJ37" i="11"/>
  <c r="BI37" i="11"/>
  <c r="BH37" i="11"/>
  <c r="BG37" i="11"/>
  <c r="BF37" i="11"/>
  <c r="BE37" i="11"/>
  <c r="BD37" i="11"/>
  <c r="BC37" i="11"/>
  <c r="BB37" i="11"/>
  <c r="BA37" i="11"/>
  <c r="AZ37" i="11"/>
  <c r="AY37" i="11"/>
  <c r="AV37" i="11"/>
  <c r="AV77" i="11" s="1"/>
  <c r="AP37" i="11"/>
  <c r="AO37" i="11"/>
  <c r="AN37" i="11"/>
  <c r="AM37" i="11"/>
  <c r="AL37" i="11"/>
  <c r="AK37" i="11"/>
  <c r="AJ37" i="11"/>
  <c r="AI37" i="11"/>
  <c r="AH37" i="11"/>
  <c r="AG37" i="11"/>
  <c r="AF37" i="11"/>
  <c r="AE37" i="11"/>
  <c r="AD37" i="11"/>
  <c r="AC37" i="11"/>
  <c r="Z37" i="11"/>
  <c r="Z77" i="11" s="1"/>
  <c r="D77" i="11"/>
  <c r="BL36" i="11"/>
  <c r="BK36" i="11"/>
  <c r="BJ36" i="11"/>
  <c r="BI36" i="11"/>
  <c r="BH36" i="11"/>
  <c r="BG36" i="11"/>
  <c r="BF36" i="11"/>
  <c r="BE36" i="11"/>
  <c r="BD36" i="11"/>
  <c r="BC36" i="11"/>
  <c r="BB36" i="11"/>
  <c r="BA36" i="11"/>
  <c r="AZ36" i="11"/>
  <c r="AY36" i="11"/>
  <c r="AV36" i="11"/>
  <c r="AV76" i="11" s="1"/>
  <c r="AP36" i="11"/>
  <c r="AO36" i="11"/>
  <c r="AN36" i="11"/>
  <c r="AM36" i="11"/>
  <c r="AL36" i="11"/>
  <c r="AK36" i="11"/>
  <c r="AJ36" i="11"/>
  <c r="AI36" i="11"/>
  <c r="AH36" i="11"/>
  <c r="AG36" i="11"/>
  <c r="AF36" i="11"/>
  <c r="AE36" i="11"/>
  <c r="AD36" i="11"/>
  <c r="AC36" i="11"/>
  <c r="Z36" i="11"/>
  <c r="Z76" i="11" s="1"/>
  <c r="D76" i="11"/>
  <c r="BL35" i="11"/>
  <c r="BK35" i="11"/>
  <c r="BJ35" i="11"/>
  <c r="BI35" i="11"/>
  <c r="BH35" i="11"/>
  <c r="BG35" i="11"/>
  <c r="BF35" i="11"/>
  <c r="BE35" i="11"/>
  <c r="BD35" i="11"/>
  <c r="BC35" i="11"/>
  <c r="BB35" i="11"/>
  <c r="BA35" i="11"/>
  <c r="AZ35" i="11"/>
  <c r="AY35" i="11"/>
  <c r="AV35" i="11"/>
  <c r="AV75" i="11" s="1"/>
  <c r="AP35" i="11"/>
  <c r="AO35" i="11"/>
  <c r="AN35" i="11"/>
  <c r="AM35" i="11"/>
  <c r="AL35" i="11"/>
  <c r="AK35" i="11"/>
  <c r="AJ35" i="11"/>
  <c r="AI35" i="11"/>
  <c r="AH35" i="11"/>
  <c r="AG35" i="11"/>
  <c r="AF35" i="11"/>
  <c r="AE35" i="11"/>
  <c r="AD35" i="11"/>
  <c r="AC35" i="11"/>
  <c r="Z35" i="11"/>
  <c r="Z75" i="11" s="1"/>
  <c r="D75" i="11"/>
  <c r="BL34" i="11"/>
  <c r="BK34" i="11"/>
  <c r="BJ34" i="11"/>
  <c r="BI34" i="11"/>
  <c r="BH34" i="11"/>
  <c r="BG34" i="11"/>
  <c r="BF34" i="11"/>
  <c r="BE34" i="11"/>
  <c r="BD34" i="11"/>
  <c r="BC34" i="11"/>
  <c r="BB34" i="11"/>
  <c r="BA34" i="11"/>
  <c r="AZ34" i="11"/>
  <c r="AY34" i="11"/>
  <c r="AV34" i="11"/>
  <c r="AV74" i="11" s="1"/>
  <c r="AP34" i="11"/>
  <c r="AO34" i="11"/>
  <c r="AN34" i="11"/>
  <c r="AM34" i="11"/>
  <c r="AL34" i="11"/>
  <c r="AK34" i="11"/>
  <c r="AJ34" i="11"/>
  <c r="AI34" i="11"/>
  <c r="AH34" i="11"/>
  <c r="AG34" i="11"/>
  <c r="AF34" i="11"/>
  <c r="AE34" i="11"/>
  <c r="AD34" i="11"/>
  <c r="AC34" i="11"/>
  <c r="Z34" i="11"/>
  <c r="Z74" i="11" s="1"/>
  <c r="D74" i="11"/>
  <c r="AV27" i="11"/>
  <c r="Z27" i="11"/>
  <c r="BH22" i="11"/>
  <c r="BH62" i="11" s="1"/>
  <c r="BE22" i="11"/>
  <c r="BE62" i="11" s="1"/>
  <c r="AL22" i="11"/>
  <c r="AL62" i="11" s="1"/>
  <c r="AI22" i="11"/>
  <c r="AI62" i="11" s="1"/>
  <c r="P22" i="11"/>
  <c r="P62" i="11" s="1"/>
  <c r="M22" i="11"/>
  <c r="M62" i="11" s="1"/>
  <c r="BN20" i="11"/>
  <c r="BM20" i="11"/>
  <c r="BL20" i="11"/>
  <c r="BK20" i="11"/>
  <c r="BJ20" i="11"/>
  <c r="BI20" i="11"/>
  <c r="BH20" i="11"/>
  <c r="BG20" i="11"/>
  <c r="BF20" i="11"/>
  <c r="BE20" i="11"/>
  <c r="BD20" i="11"/>
  <c r="BC20" i="11"/>
  <c r="BB20" i="11"/>
  <c r="BA20" i="11"/>
  <c r="AZ20" i="11"/>
  <c r="AY20" i="11"/>
  <c r="AR20" i="11"/>
  <c r="AQ20" i="11"/>
  <c r="AP20" i="11"/>
  <c r="AO20" i="11"/>
  <c r="AN20" i="11"/>
  <c r="AM20" i="11"/>
  <c r="AL20" i="11"/>
  <c r="AK20" i="11"/>
  <c r="AJ20" i="11"/>
  <c r="AI20" i="11"/>
  <c r="AH20" i="11"/>
  <c r="AG20" i="11"/>
  <c r="AF20" i="11"/>
  <c r="AE20" i="11"/>
  <c r="AD20" i="11"/>
  <c r="AC20" i="11"/>
  <c r="BN19" i="11"/>
  <c r="BM19" i="11"/>
  <c r="BL19" i="11"/>
  <c r="BK19" i="11"/>
  <c r="BJ19" i="11"/>
  <c r="BI19" i="11"/>
  <c r="BH19" i="11"/>
  <c r="BG19" i="11"/>
  <c r="BF19" i="11"/>
  <c r="BE19" i="11"/>
  <c r="BD19" i="11"/>
  <c r="BC19" i="11"/>
  <c r="BB19" i="11"/>
  <c r="BA19" i="11"/>
  <c r="AZ19" i="11"/>
  <c r="AY19" i="11"/>
  <c r="AR19" i="11"/>
  <c r="AQ19" i="11"/>
  <c r="AP19" i="11"/>
  <c r="AO19" i="11"/>
  <c r="AN19" i="11"/>
  <c r="AM19" i="11"/>
  <c r="AL19" i="11"/>
  <c r="AK19" i="11"/>
  <c r="AJ19" i="11"/>
  <c r="AI19" i="11"/>
  <c r="AH19" i="11"/>
  <c r="AG19" i="11"/>
  <c r="AF19" i="11"/>
  <c r="AE19" i="11"/>
  <c r="AD19" i="11"/>
  <c r="AC19" i="11"/>
  <c r="BN18" i="11"/>
  <c r="BM18" i="11"/>
  <c r="BL18" i="11"/>
  <c r="BK18" i="11"/>
  <c r="BJ18" i="11"/>
  <c r="BI18" i="11"/>
  <c r="BH18" i="11"/>
  <c r="BG18" i="11"/>
  <c r="BF18" i="11"/>
  <c r="BE18" i="11"/>
  <c r="BD18" i="11"/>
  <c r="BC18" i="11"/>
  <c r="BB18" i="11"/>
  <c r="BA18" i="11"/>
  <c r="AZ18" i="11"/>
  <c r="AY18" i="11"/>
  <c r="AR18" i="11"/>
  <c r="AQ18" i="11"/>
  <c r="AP18" i="11"/>
  <c r="AO18" i="11"/>
  <c r="AN18" i="11"/>
  <c r="AM18" i="11"/>
  <c r="AL18" i="11"/>
  <c r="AK18" i="11"/>
  <c r="AJ18" i="11"/>
  <c r="AI18" i="11"/>
  <c r="AH18" i="11"/>
  <c r="AG18" i="11"/>
  <c r="AF18" i="11"/>
  <c r="AE18" i="11"/>
  <c r="AD18" i="11"/>
  <c r="AC18" i="11"/>
  <c r="BN17" i="11"/>
  <c r="BM17" i="11"/>
  <c r="BL17" i="11"/>
  <c r="BK17" i="11"/>
  <c r="BJ17" i="11"/>
  <c r="BI17" i="11"/>
  <c r="BH17" i="11"/>
  <c r="BG17" i="11"/>
  <c r="BF17" i="11"/>
  <c r="BE17" i="11"/>
  <c r="BD17" i="11"/>
  <c r="BC17" i="11"/>
  <c r="BB17" i="11"/>
  <c r="BA17" i="11"/>
  <c r="AZ17" i="11"/>
  <c r="AY17" i="11"/>
  <c r="AR17" i="11"/>
  <c r="AQ17" i="11"/>
  <c r="AP17" i="11"/>
  <c r="AO17" i="11"/>
  <c r="AN17" i="11"/>
  <c r="AM17" i="11"/>
  <c r="AL17" i="11"/>
  <c r="AK17" i="11"/>
  <c r="AJ17" i="11"/>
  <c r="AI17" i="11"/>
  <c r="AH17" i="11"/>
  <c r="AG17" i="11"/>
  <c r="AF17" i="11"/>
  <c r="AE17" i="11"/>
  <c r="AD17" i="11"/>
  <c r="AC17" i="11"/>
  <c r="AV10" i="11"/>
  <c r="BM8" i="11"/>
  <c r="BM47" i="11" s="1"/>
  <c r="BK8" i="11"/>
  <c r="BK47" i="11" s="1"/>
  <c r="BI8" i="11"/>
  <c r="BI47" i="11" s="1"/>
  <c r="BG8" i="11"/>
  <c r="BG47" i="11" s="1"/>
  <c r="BE8" i="11"/>
  <c r="BE47" i="11" s="1"/>
  <c r="BC8" i="11"/>
  <c r="BC47" i="11" s="1"/>
  <c r="AQ8" i="11"/>
  <c r="AQ47" i="11" s="1"/>
  <c r="AO8" i="11"/>
  <c r="AO47" i="11" s="1"/>
  <c r="AM8" i="11"/>
  <c r="AM47" i="11" s="1"/>
  <c r="AK8" i="11"/>
  <c r="AK47" i="11" s="1"/>
  <c r="AI8" i="11"/>
  <c r="AI47" i="11" s="1"/>
  <c r="AG8" i="11"/>
  <c r="AG47" i="11" s="1"/>
  <c r="Z4" i="11"/>
  <c r="Z44" i="11" s="1"/>
  <c r="D4" i="11"/>
  <c r="D44" i="11" s="1"/>
  <c r="D2" i="11"/>
  <c r="D1" i="11"/>
  <c r="C167" i="10"/>
  <c r="AG159" i="10"/>
  <c r="AG296" i="8" s="1"/>
  <c r="AG309" i="8" s="1"/>
  <c r="AG91" i="8" s="1"/>
  <c r="AF159" i="10"/>
  <c r="AF296" i="8" s="1"/>
  <c r="AF309" i="8" s="1"/>
  <c r="AF91" i="8" s="1"/>
  <c r="AE159" i="10"/>
  <c r="AE296" i="8" s="1"/>
  <c r="AE309" i="8" s="1"/>
  <c r="AE91" i="8" s="1"/>
  <c r="AC159" i="10"/>
  <c r="AC296" i="8" s="1"/>
  <c r="AC309" i="8" s="1"/>
  <c r="AC91" i="8" s="1"/>
  <c r="AB159" i="10"/>
  <c r="AB296" i="8" s="1"/>
  <c r="AB309" i="8" s="1"/>
  <c r="AB91" i="8" s="1"/>
  <c r="AA159" i="10"/>
  <c r="AA296" i="8" s="1"/>
  <c r="AA309" i="8" s="1"/>
  <c r="AA91" i="8" s="1"/>
  <c r="Z159" i="10"/>
  <c r="Z296" i="8" s="1"/>
  <c r="Z309" i="8" s="1"/>
  <c r="Z91" i="8" s="1"/>
  <c r="C159" i="10"/>
  <c r="AG154" i="10"/>
  <c r="AG295" i="8" s="1"/>
  <c r="AG308" i="8" s="1"/>
  <c r="AG90" i="8" s="1"/>
  <c r="AF154" i="10"/>
  <c r="AF295" i="8" s="1"/>
  <c r="AF308" i="8" s="1"/>
  <c r="AF90" i="8" s="1"/>
  <c r="AE154" i="10"/>
  <c r="AE295" i="8" s="1"/>
  <c r="AE308" i="8" s="1"/>
  <c r="AE90" i="8" s="1"/>
  <c r="AC154" i="10"/>
  <c r="AC295" i="8" s="1"/>
  <c r="AC308" i="8" s="1"/>
  <c r="AC90" i="8" s="1"/>
  <c r="AB154" i="10"/>
  <c r="AB295" i="8" s="1"/>
  <c r="AB308" i="8" s="1"/>
  <c r="AB90" i="8" s="1"/>
  <c r="AA154" i="10"/>
  <c r="AA295" i="8" s="1"/>
  <c r="AA308" i="8" s="1"/>
  <c r="AA90" i="8" s="1"/>
  <c r="Z154" i="10"/>
  <c r="Z295" i="8" s="1"/>
  <c r="Z308" i="8" s="1"/>
  <c r="Z90" i="8" s="1"/>
  <c r="C154" i="10"/>
  <c r="AG147" i="10"/>
  <c r="AG188" i="8" s="1"/>
  <c r="AF147" i="10"/>
  <c r="AF188" i="8" s="1"/>
  <c r="AE147" i="10"/>
  <c r="AE188" i="8" s="1"/>
  <c r="AC147" i="10"/>
  <c r="AC188" i="8" s="1"/>
  <c r="AB147" i="10"/>
  <c r="AB188" i="8" s="1"/>
  <c r="AA147" i="10"/>
  <c r="AA188" i="8" s="1"/>
  <c r="Z147" i="10"/>
  <c r="Z188" i="8" s="1"/>
  <c r="C147" i="10"/>
  <c r="AG142" i="10"/>
  <c r="AG187" i="8" s="1"/>
  <c r="AF142" i="10"/>
  <c r="AF187" i="8" s="1"/>
  <c r="AE142" i="10"/>
  <c r="AE187" i="8" s="1"/>
  <c r="C142" i="10"/>
  <c r="AG137" i="10"/>
  <c r="AG184" i="8" s="1"/>
  <c r="AF137" i="10"/>
  <c r="AF184" i="8" s="1"/>
  <c r="AE137" i="10"/>
  <c r="AE184" i="8" s="1"/>
  <c r="Y100" i="3" s="1"/>
  <c r="I70" i="4" s="1"/>
  <c r="C137" i="10"/>
  <c r="AG130" i="10"/>
  <c r="AG232" i="8" s="1"/>
  <c r="AF130" i="10"/>
  <c r="AF232" i="8" s="1"/>
  <c r="AE130" i="10"/>
  <c r="AE232" i="8" s="1"/>
  <c r="AC130" i="10"/>
  <c r="AC232" i="8" s="1"/>
  <c r="AB130" i="10"/>
  <c r="AB232" i="8" s="1"/>
  <c r="AA130" i="10"/>
  <c r="AA232" i="8" s="1"/>
  <c r="Z130" i="10"/>
  <c r="Z232" i="8" s="1"/>
  <c r="J130" i="10"/>
  <c r="F130" i="10"/>
  <c r="C130" i="10"/>
  <c r="Z186" i="8"/>
  <c r="C125" i="10"/>
  <c r="AG120" i="10"/>
  <c r="AG183" i="8" s="1"/>
  <c r="AA99" i="3" s="1"/>
  <c r="AF120" i="10"/>
  <c r="AF183" i="8" s="1"/>
  <c r="Z99" i="3" s="1"/>
  <c r="J69" i="4" s="1"/>
  <c r="AE120" i="10"/>
  <c r="AE183" i="8" s="1"/>
  <c r="Y99" i="3" s="1"/>
  <c r="I69" i="4" s="1"/>
  <c r="AC120" i="10"/>
  <c r="AC183" i="8" s="1"/>
  <c r="R99" i="3" s="1"/>
  <c r="AB120" i="10"/>
  <c r="AB183" i="8" s="1"/>
  <c r="Q99" i="3" s="1"/>
  <c r="AA120" i="10"/>
  <c r="AA183" i="8" s="1"/>
  <c r="P99" i="3" s="1"/>
  <c r="Z120" i="10"/>
  <c r="Z183" i="8" s="1"/>
  <c r="O99" i="3" s="1"/>
  <c r="C120" i="10"/>
  <c r="C115" i="10"/>
  <c r="T110" i="10"/>
  <c r="S110" i="10"/>
  <c r="R110" i="10"/>
  <c r="Q110" i="10"/>
  <c r="P110" i="10"/>
  <c r="O110" i="10"/>
  <c r="N110" i="10"/>
  <c r="M110" i="10"/>
  <c r="L110" i="10"/>
  <c r="K110" i="10"/>
  <c r="J110" i="10"/>
  <c r="I110" i="10"/>
  <c r="H110" i="10"/>
  <c r="G110" i="10"/>
  <c r="F110" i="10"/>
  <c r="C110" i="10"/>
  <c r="T108" i="10"/>
  <c r="S108" i="10"/>
  <c r="R108" i="10"/>
  <c r="Q108" i="10"/>
  <c r="P108" i="10"/>
  <c r="O108" i="10"/>
  <c r="N108" i="10"/>
  <c r="M108" i="10"/>
  <c r="L108" i="10"/>
  <c r="K108" i="10"/>
  <c r="J108" i="10"/>
  <c r="I108" i="10"/>
  <c r="H108" i="10"/>
  <c r="G108" i="10"/>
  <c r="F108" i="10"/>
  <c r="C108" i="10"/>
  <c r="AG103" i="10"/>
  <c r="AG273" i="8" s="1"/>
  <c r="AF103" i="10"/>
  <c r="AF273" i="8" s="1"/>
  <c r="AE103" i="10"/>
  <c r="AE273" i="8" s="1"/>
  <c r="AC103" i="10"/>
  <c r="AC273" i="8" s="1"/>
  <c r="AB103" i="10"/>
  <c r="AB273" i="8" s="1"/>
  <c r="AA103" i="10"/>
  <c r="AA273" i="8" s="1"/>
  <c r="Z103" i="10"/>
  <c r="Z273" i="8" s="1"/>
  <c r="C103" i="10"/>
  <c r="T99" i="10"/>
  <c r="S99" i="10"/>
  <c r="R99" i="10"/>
  <c r="Q99" i="10"/>
  <c r="P99" i="10"/>
  <c r="O99" i="10"/>
  <c r="N99" i="10"/>
  <c r="M99" i="10"/>
  <c r="L99" i="10"/>
  <c r="K99" i="10"/>
  <c r="J99" i="10"/>
  <c r="I99" i="10"/>
  <c r="H99" i="10"/>
  <c r="G99" i="10"/>
  <c r="F99" i="10"/>
  <c r="C99" i="10"/>
  <c r="AE94" i="10"/>
  <c r="AE200" i="8" s="1"/>
  <c r="AC94" i="10"/>
  <c r="AC200" i="8" s="1"/>
  <c r="AB94" i="10"/>
  <c r="AB200" i="8" s="1"/>
  <c r="AA94" i="10"/>
  <c r="AA200" i="8" s="1"/>
  <c r="Z94" i="10"/>
  <c r="Z200" i="8" s="1"/>
  <c r="C94" i="10"/>
  <c r="AG87" i="10"/>
  <c r="AG214" i="8" s="1"/>
  <c r="AF87" i="10"/>
  <c r="AF214" i="8" s="1"/>
  <c r="AE87" i="10"/>
  <c r="AE214" i="8" s="1"/>
  <c r="AC87" i="10"/>
  <c r="AC214" i="8" s="1"/>
  <c r="AB87" i="10"/>
  <c r="AB214" i="8" s="1"/>
  <c r="AA87" i="10"/>
  <c r="AA214" i="8" s="1"/>
  <c r="Z87" i="10"/>
  <c r="Z214" i="8" s="1"/>
  <c r="C87" i="10"/>
  <c r="C82" i="10"/>
  <c r="AG77" i="10"/>
  <c r="AG201" i="8" s="1"/>
  <c r="AF77" i="10"/>
  <c r="AF201" i="8" s="1"/>
  <c r="AE77" i="10"/>
  <c r="AE201" i="8" s="1"/>
  <c r="Z77" i="10"/>
  <c r="C77" i="10"/>
  <c r="AG69" i="10"/>
  <c r="AG71" i="8" s="1"/>
  <c r="AF69" i="10"/>
  <c r="AF71" i="8" s="1"/>
  <c r="AE69" i="10"/>
  <c r="AE71" i="8" s="1"/>
  <c r="AC69" i="10"/>
  <c r="AC71" i="8" s="1"/>
  <c r="AB69" i="10"/>
  <c r="AB71" i="8" s="1"/>
  <c r="AA69" i="10"/>
  <c r="AA71" i="8" s="1"/>
  <c r="Z69" i="10"/>
  <c r="Z71" i="8" s="1"/>
  <c r="C69" i="10"/>
  <c r="S67" i="10"/>
  <c r="R67" i="10"/>
  <c r="Q67" i="10"/>
  <c r="P67" i="10"/>
  <c r="N67" i="10"/>
  <c r="M67" i="10"/>
  <c r="L67" i="10"/>
  <c r="K67" i="10"/>
  <c r="I67" i="10"/>
  <c r="H67" i="10"/>
  <c r="G67" i="10"/>
  <c r="F67" i="10"/>
  <c r="C67" i="10"/>
  <c r="AG60" i="10"/>
  <c r="AG70" i="8" s="1"/>
  <c r="AF60" i="10"/>
  <c r="AF70" i="8" s="1"/>
  <c r="AE60" i="10"/>
  <c r="AE70" i="8" s="1"/>
  <c r="AC60" i="10"/>
  <c r="AC70" i="8" s="1"/>
  <c r="AB60" i="10"/>
  <c r="AB70" i="8" s="1"/>
  <c r="AA60" i="10"/>
  <c r="AA70" i="8" s="1"/>
  <c r="Z60" i="10"/>
  <c r="Z70" i="8" s="1"/>
  <c r="C60" i="10"/>
  <c r="AG55" i="10"/>
  <c r="AG69" i="8" s="1"/>
  <c r="AF55" i="10"/>
  <c r="AF69" i="8" s="1"/>
  <c r="AE55" i="10"/>
  <c r="AE69" i="8" s="1"/>
  <c r="AC55" i="10"/>
  <c r="AC69" i="8" s="1"/>
  <c r="AB55" i="10"/>
  <c r="AB69" i="8" s="1"/>
  <c r="AA55" i="10"/>
  <c r="AA69" i="8" s="1"/>
  <c r="Z55" i="10"/>
  <c r="Z69" i="8" s="1"/>
  <c r="C55" i="10"/>
  <c r="AG40" i="10"/>
  <c r="AG67" i="8" s="1"/>
  <c r="AF40" i="10"/>
  <c r="AF67" i="8" s="1"/>
  <c r="AE40" i="10"/>
  <c r="AE67" i="8" s="1"/>
  <c r="AC40" i="10"/>
  <c r="AC67" i="8" s="1"/>
  <c r="AB40" i="10"/>
  <c r="AB67" i="8" s="1"/>
  <c r="AA40" i="10"/>
  <c r="AA67" i="8" s="1"/>
  <c r="Z40" i="10"/>
  <c r="Z67" i="8" s="1"/>
  <c r="C40" i="10"/>
  <c r="AG32" i="10"/>
  <c r="AF32" i="10"/>
  <c r="AE32" i="10"/>
  <c r="AC32" i="10"/>
  <c r="AB32" i="10"/>
  <c r="AA32" i="10"/>
  <c r="Z32" i="10"/>
  <c r="AG27" i="10"/>
  <c r="AF27" i="10"/>
  <c r="AE27" i="10"/>
  <c r="AC27" i="10"/>
  <c r="AB27" i="10"/>
  <c r="AA27" i="10"/>
  <c r="Z27" i="10"/>
  <c r="AG22" i="10"/>
  <c r="AF22" i="10"/>
  <c r="AE22" i="10"/>
  <c r="AC22" i="10"/>
  <c r="AB22" i="10"/>
  <c r="AA22" i="10"/>
  <c r="Z22" i="10"/>
  <c r="C22" i="10"/>
  <c r="AG17" i="10"/>
  <c r="AF17" i="10"/>
  <c r="AE17" i="10"/>
  <c r="AC17" i="10"/>
  <c r="AB17" i="10"/>
  <c r="AA17" i="10"/>
  <c r="Z17" i="10"/>
  <c r="AG12" i="10"/>
  <c r="AF12" i="10"/>
  <c r="AE12" i="10"/>
  <c r="AC12" i="10"/>
  <c r="AB12" i="10"/>
  <c r="AA12" i="10"/>
  <c r="Z12" i="10"/>
  <c r="AC7" i="10"/>
  <c r="AB7" i="10"/>
  <c r="AB29" i="8" s="1"/>
  <c r="AA7" i="10"/>
  <c r="AA29" i="8" s="1"/>
  <c r="Z7" i="10"/>
  <c r="Z29" i="8" s="1"/>
  <c r="C27" i="10"/>
  <c r="C2" i="10"/>
  <c r="C1" i="10"/>
  <c r="AG172" i="9"/>
  <c r="AF172" i="9"/>
  <c r="AC172" i="9"/>
  <c r="AB172" i="9"/>
  <c r="AA172" i="9"/>
  <c r="Z172" i="9"/>
  <c r="S172" i="9"/>
  <c r="R172" i="9"/>
  <c r="Q172" i="9"/>
  <c r="P172" i="9"/>
  <c r="N172" i="9"/>
  <c r="M172" i="9"/>
  <c r="L172" i="9"/>
  <c r="K172" i="9"/>
  <c r="I172" i="9"/>
  <c r="H172" i="9"/>
  <c r="G172" i="9"/>
  <c r="C172" i="9"/>
  <c r="AG171" i="9"/>
  <c r="AF171" i="9"/>
  <c r="AC171" i="9"/>
  <c r="AB171" i="9"/>
  <c r="AA171" i="9"/>
  <c r="Z171" i="9"/>
  <c r="S171" i="9"/>
  <c r="R171" i="9"/>
  <c r="Q171" i="9"/>
  <c r="P171" i="9"/>
  <c r="N171" i="9"/>
  <c r="M171" i="9"/>
  <c r="L171" i="9"/>
  <c r="K171" i="9"/>
  <c r="I171" i="9"/>
  <c r="H171" i="9"/>
  <c r="G171" i="9"/>
  <c r="C171" i="9"/>
  <c r="AG170" i="9"/>
  <c r="AF170" i="9"/>
  <c r="AC170" i="9"/>
  <c r="AB170" i="9"/>
  <c r="AA170" i="9"/>
  <c r="Z170" i="9"/>
  <c r="S170" i="9"/>
  <c r="R170" i="9"/>
  <c r="Q170" i="9"/>
  <c r="P170" i="9"/>
  <c r="N170" i="9"/>
  <c r="M170" i="9"/>
  <c r="L170" i="9"/>
  <c r="K170" i="9"/>
  <c r="I170" i="9"/>
  <c r="H170" i="9"/>
  <c r="G170" i="9"/>
  <c r="C170" i="9"/>
  <c r="AG169" i="9"/>
  <c r="AF169" i="9"/>
  <c r="AC169" i="9"/>
  <c r="AB169" i="9"/>
  <c r="AA169" i="9"/>
  <c r="Z169" i="9"/>
  <c r="S169" i="9"/>
  <c r="R169" i="9"/>
  <c r="Q169" i="9"/>
  <c r="P169" i="9"/>
  <c r="N169" i="9"/>
  <c r="M169" i="9"/>
  <c r="L169" i="9"/>
  <c r="K169" i="9"/>
  <c r="I169" i="9"/>
  <c r="H169" i="9"/>
  <c r="G169" i="9"/>
  <c r="C169" i="9"/>
  <c r="C168" i="9"/>
  <c r="S166" i="9"/>
  <c r="S46" i="7" s="1"/>
  <c r="S70" i="7" s="1"/>
  <c r="R166" i="9"/>
  <c r="R46" i="7" s="1"/>
  <c r="R70" i="7" s="1"/>
  <c r="Q166" i="9"/>
  <c r="Q46" i="7" s="1"/>
  <c r="Q70" i="7" s="1"/>
  <c r="P166" i="9"/>
  <c r="P46" i="7" s="1"/>
  <c r="P70" i="7" s="1"/>
  <c r="N166" i="9"/>
  <c r="N46" i="7" s="1"/>
  <c r="N70" i="7" s="1"/>
  <c r="M166" i="9"/>
  <c r="M46" i="7" s="1"/>
  <c r="M70" i="7" s="1"/>
  <c r="L166" i="9"/>
  <c r="L46" i="7" s="1"/>
  <c r="L70" i="7" s="1"/>
  <c r="K166" i="9"/>
  <c r="K46" i="7" s="1"/>
  <c r="K70" i="7" s="1"/>
  <c r="I166" i="9"/>
  <c r="I46" i="7" s="1"/>
  <c r="I70" i="7" s="1"/>
  <c r="H166" i="9"/>
  <c r="H46" i="7" s="1"/>
  <c r="H70" i="7" s="1"/>
  <c r="G166" i="9"/>
  <c r="G46" i="7" s="1"/>
  <c r="G70" i="7" s="1"/>
  <c r="C166" i="9"/>
  <c r="S165" i="9"/>
  <c r="S42" i="7" s="1"/>
  <c r="S64" i="7" s="1"/>
  <c r="R165" i="9"/>
  <c r="R42" i="7" s="1"/>
  <c r="R64" i="7" s="1"/>
  <c r="Q165" i="9"/>
  <c r="Q42" i="7" s="1"/>
  <c r="Q64" i="7" s="1"/>
  <c r="P165" i="9"/>
  <c r="P42" i="7" s="1"/>
  <c r="P64" i="7" s="1"/>
  <c r="N165" i="9"/>
  <c r="N42" i="7" s="1"/>
  <c r="N64" i="7" s="1"/>
  <c r="M165" i="9"/>
  <c r="M42" i="7" s="1"/>
  <c r="M64" i="7" s="1"/>
  <c r="L165" i="9"/>
  <c r="L42" i="7" s="1"/>
  <c r="L64" i="7" s="1"/>
  <c r="K165" i="9"/>
  <c r="K42" i="7" s="1"/>
  <c r="K64" i="7" s="1"/>
  <c r="I165" i="9"/>
  <c r="I42" i="7" s="1"/>
  <c r="I64" i="7" s="1"/>
  <c r="H165" i="9"/>
  <c r="H42" i="7" s="1"/>
  <c r="H64" i="7" s="1"/>
  <c r="G165" i="9"/>
  <c r="G42" i="7" s="1"/>
  <c r="G64" i="7" s="1"/>
  <c r="C165" i="9"/>
  <c r="S164" i="9"/>
  <c r="S52" i="7" s="1"/>
  <c r="R164" i="9"/>
  <c r="R52" i="7" s="1"/>
  <c r="Q164" i="9"/>
  <c r="Q52" i="7" s="1"/>
  <c r="P164" i="9"/>
  <c r="P52" i="7" s="1"/>
  <c r="N164" i="9"/>
  <c r="N52" i="7" s="1"/>
  <c r="M164" i="9"/>
  <c r="M52" i="7" s="1"/>
  <c r="L164" i="9"/>
  <c r="L52" i="7" s="1"/>
  <c r="H164" i="9"/>
  <c r="H34" i="7" s="1"/>
  <c r="H52" i="7" s="1"/>
  <c r="G164" i="9"/>
  <c r="G34" i="7" s="1"/>
  <c r="G52" i="7" s="1"/>
  <c r="C164" i="9"/>
  <c r="AG155" i="9"/>
  <c r="AF155" i="9"/>
  <c r="AE155" i="9"/>
  <c r="AC155" i="9"/>
  <c r="AB155" i="9"/>
  <c r="AA155" i="9"/>
  <c r="Z155" i="9"/>
  <c r="S155" i="9"/>
  <c r="R155" i="9"/>
  <c r="Q155" i="9"/>
  <c r="P155" i="9"/>
  <c r="N155" i="9"/>
  <c r="M155" i="9"/>
  <c r="L155" i="9"/>
  <c r="K155" i="9"/>
  <c r="C155" i="9"/>
  <c r="AG154" i="9"/>
  <c r="AF154" i="9"/>
  <c r="AE154" i="9"/>
  <c r="AC154" i="9"/>
  <c r="AB154" i="9"/>
  <c r="AA154" i="9"/>
  <c r="Z154" i="9"/>
  <c r="S154" i="9"/>
  <c r="R154" i="9"/>
  <c r="Q154" i="9"/>
  <c r="P154" i="9"/>
  <c r="N154" i="9"/>
  <c r="M154" i="9"/>
  <c r="L154" i="9"/>
  <c r="K154" i="9"/>
  <c r="C154" i="9"/>
  <c r="AG153" i="9"/>
  <c r="AF153" i="9"/>
  <c r="AE153" i="9"/>
  <c r="AC153" i="9"/>
  <c r="AB153" i="9"/>
  <c r="AA153" i="9"/>
  <c r="Z153" i="9"/>
  <c r="S153" i="9"/>
  <c r="R153" i="9"/>
  <c r="Q153" i="9"/>
  <c r="P153" i="9"/>
  <c r="N153" i="9"/>
  <c r="M153" i="9"/>
  <c r="L153" i="9"/>
  <c r="K153" i="9"/>
  <c r="C153" i="9"/>
  <c r="AG152" i="9"/>
  <c r="AF152" i="9"/>
  <c r="AE152" i="9"/>
  <c r="AC152" i="9"/>
  <c r="AB152" i="9"/>
  <c r="AA152" i="9"/>
  <c r="Z152" i="9"/>
  <c r="S152" i="9"/>
  <c r="R152" i="9"/>
  <c r="Q152" i="9"/>
  <c r="P152" i="9"/>
  <c r="N152" i="9"/>
  <c r="M152" i="9"/>
  <c r="L152" i="9"/>
  <c r="K152" i="9"/>
  <c r="C152" i="9"/>
  <c r="AG151" i="9"/>
  <c r="AF151" i="9"/>
  <c r="AE151" i="9"/>
  <c r="AC151" i="9"/>
  <c r="AB151" i="9"/>
  <c r="AA151" i="9"/>
  <c r="Z151" i="9"/>
  <c r="S151" i="9"/>
  <c r="R151" i="9"/>
  <c r="Q151" i="9"/>
  <c r="P151" i="9"/>
  <c r="N151" i="9"/>
  <c r="M151" i="9"/>
  <c r="L151" i="9"/>
  <c r="K151" i="9"/>
  <c r="C151" i="9"/>
  <c r="S148" i="9"/>
  <c r="R148" i="9"/>
  <c r="Q148" i="9"/>
  <c r="P148" i="9"/>
  <c r="N148" i="9"/>
  <c r="M148" i="9"/>
  <c r="L148" i="9"/>
  <c r="K148" i="9"/>
  <c r="C148" i="9"/>
  <c r="S147" i="9"/>
  <c r="R147" i="9"/>
  <c r="Q147" i="9"/>
  <c r="P147" i="9"/>
  <c r="N147" i="9"/>
  <c r="M147" i="9"/>
  <c r="L147" i="9"/>
  <c r="K147" i="9"/>
  <c r="C147" i="9"/>
  <c r="S146" i="9"/>
  <c r="R146" i="9"/>
  <c r="Q146" i="9"/>
  <c r="P146" i="9"/>
  <c r="M146" i="9"/>
  <c r="L146" i="9"/>
  <c r="K146" i="9"/>
  <c r="C146" i="9"/>
  <c r="C141" i="9"/>
  <c r="C140" i="9"/>
  <c r="C139" i="9"/>
  <c r="S32" i="10"/>
  <c r="R32" i="10"/>
  <c r="Q32" i="10"/>
  <c r="P32" i="10"/>
  <c r="N32" i="10"/>
  <c r="M32" i="10"/>
  <c r="L32" i="10"/>
  <c r="K32" i="10"/>
  <c r="I32" i="10"/>
  <c r="H32" i="10"/>
  <c r="G32" i="10"/>
  <c r="F32" i="10"/>
  <c r="S27" i="10"/>
  <c r="R27" i="10"/>
  <c r="Q27" i="10"/>
  <c r="P27" i="10"/>
  <c r="N27" i="10"/>
  <c r="M27" i="10"/>
  <c r="L27" i="10"/>
  <c r="K27" i="10"/>
  <c r="I27" i="10"/>
  <c r="H27" i="10"/>
  <c r="G27" i="10"/>
  <c r="F27" i="10"/>
  <c r="S22" i="10"/>
  <c r="R22" i="10"/>
  <c r="Q22" i="10"/>
  <c r="P22" i="10"/>
  <c r="N22" i="10"/>
  <c r="M22" i="10"/>
  <c r="L22" i="10"/>
  <c r="K22" i="10"/>
  <c r="I22" i="10"/>
  <c r="H22" i="10"/>
  <c r="G22" i="10"/>
  <c r="F22" i="10"/>
  <c r="S136" i="9"/>
  <c r="S17" i="10" s="1"/>
  <c r="R136" i="9"/>
  <c r="R17" i="10" s="1"/>
  <c r="Q136" i="9"/>
  <c r="Q17" i="10" s="1"/>
  <c r="P136" i="9"/>
  <c r="P17" i="10" s="1"/>
  <c r="N136" i="9"/>
  <c r="N17" i="10" s="1"/>
  <c r="M136" i="9"/>
  <c r="M17" i="10" s="1"/>
  <c r="L136" i="9"/>
  <c r="L17" i="10" s="1"/>
  <c r="K136" i="9"/>
  <c r="K17" i="10" s="1"/>
  <c r="I136" i="9"/>
  <c r="I17" i="10" s="1"/>
  <c r="H136" i="9"/>
  <c r="H17" i="10" s="1"/>
  <c r="G136" i="9"/>
  <c r="G17" i="10" s="1"/>
  <c r="F136" i="9"/>
  <c r="F17" i="10" s="1"/>
  <c r="C136" i="9"/>
  <c r="S135" i="9"/>
  <c r="S12" i="10" s="1"/>
  <c r="R135" i="9"/>
  <c r="R12" i="10" s="1"/>
  <c r="Q135" i="9"/>
  <c r="Q12" i="10" s="1"/>
  <c r="P135" i="9"/>
  <c r="P12" i="10" s="1"/>
  <c r="N135" i="9"/>
  <c r="N12" i="10" s="1"/>
  <c r="M135" i="9"/>
  <c r="M12" i="10" s="1"/>
  <c r="L135" i="9"/>
  <c r="L12" i="10" s="1"/>
  <c r="K135" i="9"/>
  <c r="K12" i="10" s="1"/>
  <c r="I135" i="9"/>
  <c r="I12" i="10" s="1"/>
  <c r="H135" i="9"/>
  <c r="H12" i="10" s="1"/>
  <c r="G135" i="9"/>
  <c r="G12" i="10" s="1"/>
  <c r="F135" i="9"/>
  <c r="F12" i="10" s="1"/>
  <c r="C135" i="9"/>
  <c r="S134" i="9"/>
  <c r="R134" i="9"/>
  <c r="Q134" i="9"/>
  <c r="P134" i="9"/>
  <c r="N134" i="9"/>
  <c r="M134" i="9"/>
  <c r="L134" i="9"/>
  <c r="K134" i="9"/>
  <c r="H134" i="9"/>
  <c r="G134" i="9"/>
  <c r="F134" i="9"/>
  <c r="C134" i="9"/>
  <c r="C131" i="9"/>
  <c r="C130" i="9"/>
  <c r="C129" i="9"/>
  <c r="AD124" i="9"/>
  <c r="Y124" i="9"/>
  <c r="T124" i="9"/>
  <c r="O124" i="9"/>
  <c r="J124" i="9"/>
  <c r="C124" i="9"/>
  <c r="AD123" i="9"/>
  <c r="Y123" i="9"/>
  <c r="T123" i="9"/>
  <c r="O123" i="9"/>
  <c r="J123" i="9"/>
  <c r="C123" i="9"/>
  <c r="AD122" i="9"/>
  <c r="Y122" i="9"/>
  <c r="T122" i="9"/>
  <c r="O122" i="9"/>
  <c r="J122" i="9"/>
  <c r="C122" i="9"/>
  <c r="AD121" i="9"/>
  <c r="Y121" i="9"/>
  <c r="T121" i="9"/>
  <c r="O121" i="9"/>
  <c r="J121" i="9"/>
  <c r="C121" i="9"/>
  <c r="AD120" i="9"/>
  <c r="Y120" i="9"/>
  <c r="T120" i="9"/>
  <c r="O120" i="9"/>
  <c r="J120" i="9"/>
  <c r="C120" i="9"/>
  <c r="AD117" i="9"/>
  <c r="Y117" i="9"/>
  <c r="T117" i="9"/>
  <c r="O117" i="9"/>
  <c r="J117" i="9"/>
  <c r="C117" i="9"/>
  <c r="AD116" i="9"/>
  <c r="Y116" i="9"/>
  <c r="T116" i="9"/>
  <c r="O116" i="9"/>
  <c r="J116" i="9"/>
  <c r="C116" i="9"/>
  <c r="AD115" i="9"/>
  <c r="Y115" i="9"/>
  <c r="T115" i="9"/>
  <c r="O115" i="9"/>
  <c r="J115" i="9"/>
  <c r="C115" i="9"/>
  <c r="AD114" i="9"/>
  <c r="Y114" i="9"/>
  <c r="T114" i="9"/>
  <c r="O114" i="9"/>
  <c r="J114" i="9"/>
  <c r="C114" i="9"/>
  <c r="AD113" i="9"/>
  <c r="Y113" i="9"/>
  <c r="T113" i="9"/>
  <c r="O113" i="9"/>
  <c r="J113" i="9"/>
  <c r="C113" i="9"/>
  <c r="AD110" i="9"/>
  <c r="Y110" i="9"/>
  <c r="T110" i="9"/>
  <c r="O110" i="9"/>
  <c r="J110" i="9"/>
  <c r="C110" i="9"/>
  <c r="AD109" i="9"/>
  <c r="Y109" i="9"/>
  <c r="T109" i="9"/>
  <c r="O109" i="9"/>
  <c r="J109" i="9"/>
  <c r="C109" i="9"/>
  <c r="AD108" i="9"/>
  <c r="Y108" i="9"/>
  <c r="T108" i="9"/>
  <c r="O108" i="9"/>
  <c r="J108" i="9"/>
  <c r="C108" i="9"/>
  <c r="AD107" i="9"/>
  <c r="Y107" i="9"/>
  <c r="T107" i="9"/>
  <c r="O107" i="9"/>
  <c r="J107" i="9"/>
  <c r="C107" i="9"/>
  <c r="AD106" i="9"/>
  <c r="Y106" i="9"/>
  <c r="T106" i="9"/>
  <c r="O106" i="9"/>
  <c r="J106" i="9"/>
  <c r="C106" i="9"/>
  <c r="AD103" i="9"/>
  <c r="Y103" i="9"/>
  <c r="T103" i="9"/>
  <c r="O103" i="9"/>
  <c r="J103" i="9"/>
  <c r="C103" i="9"/>
  <c r="AD102" i="9"/>
  <c r="Y102" i="9"/>
  <c r="T102" i="9"/>
  <c r="O102" i="9"/>
  <c r="J102" i="9"/>
  <c r="C102" i="9"/>
  <c r="AD101" i="9"/>
  <c r="Y101" i="9"/>
  <c r="T101" i="9"/>
  <c r="O101" i="9"/>
  <c r="J101" i="9"/>
  <c r="C101" i="9"/>
  <c r="AD100" i="9"/>
  <c r="Y100" i="9"/>
  <c r="T100" i="9"/>
  <c r="O100" i="9"/>
  <c r="J100" i="9"/>
  <c r="C100" i="9"/>
  <c r="AD99" i="9"/>
  <c r="Y99" i="9"/>
  <c r="T99" i="9"/>
  <c r="O99" i="9"/>
  <c r="J99" i="9"/>
  <c r="C99" i="9"/>
  <c r="AD96" i="9"/>
  <c r="Y96" i="9"/>
  <c r="T96" i="9"/>
  <c r="O96" i="9"/>
  <c r="J96" i="9"/>
  <c r="C96" i="9"/>
  <c r="AD95" i="9"/>
  <c r="Y95" i="9"/>
  <c r="T95" i="9"/>
  <c r="O95" i="9"/>
  <c r="J95" i="9"/>
  <c r="C95" i="9"/>
  <c r="AD94" i="9"/>
  <c r="Y94" i="9"/>
  <c r="T94" i="9"/>
  <c r="O94" i="9"/>
  <c r="J94" i="9"/>
  <c r="C94" i="9"/>
  <c r="AD93" i="9"/>
  <c r="Y93" i="9"/>
  <c r="T93" i="9"/>
  <c r="O93" i="9"/>
  <c r="J93" i="9"/>
  <c r="C93" i="9"/>
  <c r="AD92" i="9"/>
  <c r="Y92" i="9"/>
  <c r="T92" i="9"/>
  <c r="O92" i="9"/>
  <c r="J92" i="9"/>
  <c r="C92" i="9"/>
  <c r="AD89" i="9"/>
  <c r="Y89" i="9"/>
  <c r="T89" i="9"/>
  <c r="O89" i="9"/>
  <c r="J89" i="9"/>
  <c r="C89" i="9"/>
  <c r="AD88" i="9"/>
  <c r="Y88" i="9"/>
  <c r="T88" i="9"/>
  <c r="O88" i="9"/>
  <c r="J88" i="9"/>
  <c r="C88" i="9"/>
  <c r="AD87" i="9"/>
  <c r="Y87" i="9"/>
  <c r="T87" i="9"/>
  <c r="O87" i="9"/>
  <c r="J87" i="9"/>
  <c r="C87" i="9"/>
  <c r="AD86" i="9"/>
  <c r="Y86" i="9"/>
  <c r="T86" i="9"/>
  <c r="O86" i="9"/>
  <c r="J86" i="9"/>
  <c r="C86" i="9"/>
  <c r="AD85" i="9"/>
  <c r="Y85" i="9"/>
  <c r="T85" i="9"/>
  <c r="O85" i="9"/>
  <c r="J85" i="9"/>
  <c r="C85" i="9"/>
  <c r="C82" i="9"/>
  <c r="C81" i="9"/>
  <c r="C80" i="9"/>
  <c r="C79" i="9"/>
  <c r="C78" i="9"/>
  <c r="AD75" i="9"/>
  <c r="Y75" i="9"/>
  <c r="T75" i="9"/>
  <c r="O75" i="9"/>
  <c r="J75" i="9"/>
  <c r="AD74" i="9"/>
  <c r="Y74" i="9"/>
  <c r="T74" i="9"/>
  <c r="O74" i="9"/>
  <c r="J74" i="9"/>
  <c r="AD73" i="9"/>
  <c r="Y73" i="9"/>
  <c r="T73" i="9"/>
  <c r="O73" i="9"/>
  <c r="J73" i="9"/>
  <c r="AD72" i="9"/>
  <c r="AE170" i="9" s="1"/>
  <c r="Y72" i="9"/>
  <c r="T72" i="9"/>
  <c r="O72" i="9"/>
  <c r="J72" i="9"/>
  <c r="AD71" i="9"/>
  <c r="AE169" i="9" s="1"/>
  <c r="Y71" i="9"/>
  <c r="T71" i="9"/>
  <c r="O71" i="9"/>
  <c r="J71" i="9"/>
  <c r="AG70" i="9"/>
  <c r="AF70" i="9"/>
  <c r="AF79" i="9" s="1"/>
  <c r="AE70" i="9"/>
  <c r="AE78" i="9" s="1"/>
  <c r="AC70" i="9"/>
  <c r="AC81" i="9" s="1"/>
  <c r="AB70" i="9"/>
  <c r="AB81" i="9" s="1"/>
  <c r="AA70" i="9"/>
  <c r="AA79" i="9" s="1"/>
  <c r="Z70" i="9"/>
  <c r="Z82" i="9" s="1"/>
  <c r="S70" i="9"/>
  <c r="R70" i="9"/>
  <c r="R82" i="9" s="1"/>
  <c r="Q70" i="9"/>
  <c r="Q80" i="9" s="1"/>
  <c r="P70" i="9"/>
  <c r="P82" i="9" s="1"/>
  <c r="N70" i="9"/>
  <c r="N81" i="9" s="1"/>
  <c r="M70" i="9"/>
  <c r="M80" i="9" s="1"/>
  <c r="L70" i="9"/>
  <c r="L79" i="9" s="1"/>
  <c r="K70" i="9"/>
  <c r="I70" i="9"/>
  <c r="I82" i="9" s="1"/>
  <c r="H70" i="9"/>
  <c r="H82" i="9" s="1"/>
  <c r="G70" i="9"/>
  <c r="G80" i="9" s="1"/>
  <c r="F70" i="9"/>
  <c r="F81" i="9" s="1"/>
  <c r="C65" i="9"/>
  <c r="C64" i="9"/>
  <c r="C63" i="9"/>
  <c r="S60" i="9"/>
  <c r="R60" i="9"/>
  <c r="Q60" i="9"/>
  <c r="P60" i="9"/>
  <c r="N60" i="9"/>
  <c r="M60" i="9"/>
  <c r="L60" i="9"/>
  <c r="K60" i="9"/>
  <c r="I60" i="9"/>
  <c r="H60" i="9"/>
  <c r="G60" i="9"/>
  <c r="F60" i="9"/>
  <c r="C60" i="9"/>
  <c r="S59" i="9"/>
  <c r="R59" i="9"/>
  <c r="Q59" i="9"/>
  <c r="P59" i="9"/>
  <c r="N59" i="9"/>
  <c r="M59" i="9"/>
  <c r="L59" i="9"/>
  <c r="K59" i="9"/>
  <c r="I59" i="9"/>
  <c r="H59" i="9"/>
  <c r="G59" i="9"/>
  <c r="F59" i="9"/>
  <c r="C59" i="9"/>
  <c r="S58" i="9"/>
  <c r="R58" i="9"/>
  <c r="Q58" i="9"/>
  <c r="P58" i="9"/>
  <c r="N58" i="9"/>
  <c r="M58" i="9"/>
  <c r="L58" i="9"/>
  <c r="K58" i="9"/>
  <c r="H58" i="9"/>
  <c r="G58" i="9"/>
  <c r="F58" i="9"/>
  <c r="C58" i="9"/>
  <c r="AG55" i="9"/>
  <c r="AF55" i="9"/>
  <c r="AE55" i="9"/>
  <c r="AC55" i="9"/>
  <c r="AB55" i="9"/>
  <c r="AA55" i="9"/>
  <c r="Z55" i="9"/>
  <c r="C55" i="9"/>
  <c r="C85" i="10" s="1"/>
  <c r="AG54" i="9"/>
  <c r="AF54" i="9"/>
  <c r="AE54" i="9"/>
  <c r="AC54" i="9"/>
  <c r="AB54" i="9"/>
  <c r="AA54" i="9"/>
  <c r="Z54" i="9"/>
  <c r="C54" i="9"/>
  <c r="C84" i="10" s="1"/>
  <c r="AG53" i="9"/>
  <c r="AF53" i="9"/>
  <c r="AE53" i="9"/>
  <c r="AC53" i="9"/>
  <c r="AB53" i="9"/>
  <c r="AA53" i="9"/>
  <c r="Z53" i="9"/>
  <c r="C53" i="9"/>
  <c r="C83" i="10" s="1"/>
  <c r="T48" i="9"/>
  <c r="O48" i="9"/>
  <c r="J48" i="9"/>
  <c r="C48" i="9"/>
  <c r="T47" i="9"/>
  <c r="O47" i="9"/>
  <c r="J47" i="9"/>
  <c r="C47" i="9"/>
  <c r="T46" i="9"/>
  <c r="O46" i="9"/>
  <c r="J46" i="9"/>
  <c r="C46" i="9"/>
  <c r="S45" i="9"/>
  <c r="R45" i="9"/>
  <c r="Q45" i="9"/>
  <c r="P45" i="9"/>
  <c r="N45" i="9"/>
  <c r="N53" i="9" s="1"/>
  <c r="N83" i="10" s="1"/>
  <c r="M45" i="9"/>
  <c r="L45" i="9"/>
  <c r="K45" i="9"/>
  <c r="K55" i="9" s="1"/>
  <c r="K85" i="10" s="1"/>
  <c r="I45" i="9"/>
  <c r="H45" i="9"/>
  <c r="G45" i="9"/>
  <c r="G55" i="9" s="1"/>
  <c r="G85" i="10" s="1"/>
  <c r="F45" i="9"/>
  <c r="F53" i="9" s="1"/>
  <c r="F83" i="10" s="1"/>
  <c r="C43" i="9"/>
  <c r="C42" i="9"/>
  <c r="C41" i="9"/>
  <c r="T36" i="9"/>
  <c r="O36" i="9"/>
  <c r="J36" i="9"/>
  <c r="C36" i="9"/>
  <c r="T35" i="9"/>
  <c r="O35" i="9"/>
  <c r="J35" i="9"/>
  <c r="C35" i="9"/>
  <c r="T34" i="9"/>
  <c r="O34" i="9"/>
  <c r="C34" i="9"/>
  <c r="S33" i="9"/>
  <c r="S43" i="9" s="1"/>
  <c r="R43" i="9"/>
  <c r="Q33" i="9"/>
  <c r="P33" i="9"/>
  <c r="P38" i="9" s="1"/>
  <c r="N33" i="9"/>
  <c r="N41" i="9" s="1"/>
  <c r="M33" i="9"/>
  <c r="L33" i="9"/>
  <c r="L42" i="9" s="1"/>
  <c r="K33" i="9"/>
  <c r="K42" i="9" s="1"/>
  <c r="H33" i="9"/>
  <c r="H41" i="9" s="1"/>
  <c r="G33" i="9"/>
  <c r="F33" i="9"/>
  <c r="F43" i="9" s="1"/>
  <c r="AD24" i="9"/>
  <c r="Y24" i="9"/>
  <c r="AD21" i="9"/>
  <c r="Y21" i="9"/>
  <c r="C21" i="9"/>
  <c r="AD20" i="9"/>
  <c r="Y20" i="9"/>
  <c r="C20" i="9"/>
  <c r="S27" i="9"/>
  <c r="R27" i="9"/>
  <c r="P28" i="9"/>
  <c r="M28" i="9"/>
  <c r="L27" i="9"/>
  <c r="G28" i="9"/>
  <c r="F27" i="9"/>
  <c r="O109" i="7"/>
  <c r="O115" i="7" s="1"/>
  <c r="J109" i="7"/>
  <c r="J115" i="7" s="1"/>
  <c r="T45" i="7"/>
  <c r="T97" i="7" s="1"/>
  <c r="T103" i="7" s="1"/>
  <c r="O45" i="7"/>
  <c r="O97" i="7" s="1"/>
  <c r="O103" i="7" s="1"/>
  <c r="J45" i="7"/>
  <c r="J97" i="7" s="1"/>
  <c r="J103" i="7" s="1"/>
  <c r="C10" i="9"/>
  <c r="C45" i="7" s="1"/>
  <c r="T41" i="7"/>
  <c r="O41" i="7"/>
  <c r="J41" i="7"/>
  <c r="C9" i="9"/>
  <c r="C84" i="9" s="1"/>
  <c r="T33" i="7"/>
  <c r="O33" i="7"/>
  <c r="I33" i="7"/>
  <c r="C8" i="9"/>
  <c r="C33" i="7" s="1"/>
  <c r="R28" i="8"/>
  <c r="R50" i="10" s="1"/>
  <c r="Q15" i="9"/>
  <c r="Q43" i="7" s="1"/>
  <c r="P28" i="8"/>
  <c r="P50" i="10" s="1"/>
  <c r="N28" i="8"/>
  <c r="M28" i="8"/>
  <c r="M50" i="10" s="1"/>
  <c r="L28" i="8"/>
  <c r="L50" i="10" s="1"/>
  <c r="K28" i="8"/>
  <c r="K50" i="10" s="1"/>
  <c r="G17" i="9"/>
  <c r="C2" i="9"/>
  <c r="C1" i="9"/>
  <c r="Z326" i="8"/>
  <c r="AA326" i="8" s="1"/>
  <c r="AB326" i="8" s="1"/>
  <c r="AC326" i="8" s="1"/>
  <c r="AE326" i="8" s="1"/>
  <c r="AF326" i="8" s="1"/>
  <c r="AG326" i="8" s="1"/>
  <c r="AG314" i="8"/>
  <c r="AF314" i="8"/>
  <c r="AE314" i="8"/>
  <c r="AC314" i="8"/>
  <c r="AB314" i="8"/>
  <c r="AA314" i="8"/>
  <c r="Z314" i="8"/>
  <c r="S310" i="8"/>
  <c r="R310" i="8"/>
  <c r="S307" i="8" s="1"/>
  <c r="Q310" i="8"/>
  <c r="R307" i="8" s="1"/>
  <c r="R309" i="8" s="1"/>
  <c r="R159" i="10" s="1"/>
  <c r="P310" i="8"/>
  <c r="Q307" i="8" s="1"/>
  <c r="L310" i="8"/>
  <c r="M307" i="8" s="1"/>
  <c r="K310" i="8"/>
  <c r="I310" i="8"/>
  <c r="J307" i="8"/>
  <c r="M302" i="8"/>
  <c r="L302" i="8"/>
  <c r="L303" i="8" s="1"/>
  <c r="H302" i="8"/>
  <c r="G302" i="8"/>
  <c r="G303" i="8" s="1"/>
  <c r="F302" i="8"/>
  <c r="T284" i="8"/>
  <c r="O284" i="8"/>
  <c r="J284" i="8"/>
  <c r="S283" i="8"/>
  <c r="V283" i="8" s="1"/>
  <c r="W283" i="8" s="1"/>
  <c r="X283" i="8" s="1"/>
  <c r="Z283" i="8" s="1"/>
  <c r="AA283" i="8" s="1"/>
  <c r="AB283" i="8" s="1"/>
  <c r="AC283" i="8" s="1"/>
  <c r="AE283" i="8" s="1"/>
  <c r="AF283" i="8" s="1"/>
  <c r="AG283" i="8" s="1"/>
  <c r="R283" i="8"/>
  <c r="Q283" i="8"/>
  <c r="P283" i="8"/>
  <c r="N283" i="8"/>
  <c r="M283" i="8"/>
  <c r="L283" i="8"/>
  <c r="K283" i="8"/>
  <c r="I283" i="8"/>
  <c r="H283" i="8"/>
  <c r="G283" i="8"/>
  <c r="F283" i="8"/>
  <c r="T282" i="8"/>
  <c r="O282" i="8"/>
  <c r="O266" i="8" s="1"/>
  <c r="J282" i="8"/>
  <c r="J266" i="8" s="1"/>
  <c r="AG278" i="8"/>
  <c r="AF278" i="8"/>
  <c r="AE278" i="8"/>
  <c r="AC278" i="8"/>
  <c r="AB278" i="8"/>
  <c r="AA278" i="8"/>
  <c r="Z278" i="8"/>
  <c r="Y278" i="8"/>
  <c r="S272" i="8"/>
  <c r="S167" i="10" s="1"/>
  <c r="R272" i="8"/>
  <c r="R167" i="10" s="1"/>
  <c r="Q272" i="8"/>
  <c r="Q167" i="10" s="1"/>
  <c r="P272" i="8"/>
  <c r="P167" i="10" s="1"/>
  <c r="N272" i="8"/>
  <c r="N167" i="10" s="1"/>
  <c r="M272" i="8"/>
  <c r="M167" i="10" s="1"/>
  <c r="L272" i="8"/>
  <c r="L167" i="10" s="1"/>
  <c r="K272" i="8"/>
  <c r="K167" i="10" s="1"/>
  <c r="I272" i="8"/>
  <c r="I167" i="10" s="1"/>
  <c r="G272" i="8"/>
  <c r="G167" i="10" s="1"/>
  <c r="F272" i="8"/>
  <c r="F167" i="10" s="1"/>
  <c r="AD271" i="8"/>
  <c r="Y271" i="8"/>
  <c r="T271" i="8"/>
  <c r="O271" i="8"/>
  <c r="J271" i="8"/>
  <c r="S267" i="8"/>
  <c r="X267" i="8" s="1"/>
  <c r="R267" i="8"/>
  <c r="Q267" i="8"/>
  <c r="P267" i="8"/>
  <c r="N267" i="8"/>
  <c r="M267" i="8"/>
  <c r="L267" i="8"/>
  <c r="K267" i="8"/>
  <c r="I267" i="8"/>
  <c r="H267" i="8"/>
  <c r="G267" i="8"/>
  <c r="F267" i="8"/>
  <c r="S266" i="8"/>
  <c r="R266" i="8"/>
  <c r="Q266" i="8"/>
  <c r="P266" i="8"/>
  <c r="N266" i="8"/>
  <c r="M266" i="8"/>
  <c r="L266" i="8"/>
  <c r="K266" i="8"/>
  <c r="I266" i="8"/>
  <c r="H266" i="8"/>
  <c r="G266" i="8"/>
  <c r="F266" i="8"/>
  <c r="S261" i="8"/>
  <c r="R261" i="8"/>
  <c r="S259" i="8" s="1"/>
  <c r="Q261" i="8"/>
  <c r="R259" i="8" s="1"/>
  <c r="P261" i="8"/>
  <c r="Q259" i="8" s="1"/>
  <c r="N261" i="8"/>
  <c r="M261" i="8"/>
  <c r="N259" i="8" s="1"/>
  <c r="L261" i="8"/>
  <c r="K261" i="8"/>
  <c r="I261" i="8"/>
  <c r="H261" i="8"/>
  <c r="G261" i="8"/>
  <c r="F261" i="8"/>
  <c r="G259" i="8" s="1"/>
  <c r="AG260" i="8"/>
  <c r="AF260" i="8"/>
  <c r="AE260" i="8"/>
  <c r="AC260" i="8"/>
  <c r="AB260" i="8"/>
  <c r="AA260" i="8"/>
  <c r="Z260" i="8"/>
  <c r="S256" i="8"/>
  <c r="R256" i="8"/>
  <c r="Q256" i="8"/>
  <c r="R252" i="8" s="1"/>
  <c r="P256" i="8"/>
  <c r="Q252" i="8" s="1"/>
  <c r="N256" i="8"/>
  <c r="M256" i="8"/>
  <c r="N252" i="8" s="1"/>
  <c r="L256" i="8"/>
  <c r="M252" i="8" s="1"/>
  <c r="K256" i="8"/>
  <c r="L252" i="8" s="1"/>
  <c r="I256" i="8"/>
  <c r="H256" i="8"/>
  <c r="I252" i="8" s="1"/>
  <c r="G256" i="8"/>
  <c r="F256" i="8"/>
  <c r="G252" i="8" s="1"/>
  <c r="AD255" i="8"/>
  <c r="T254" i="8"/>
  <c r="O254" i="8"/>
  <c r="J254" i="8"/>
  <c r="J252" i="8"/>
  <c r="S247" i="8"/>
  <c r="R247" i="8"/>
  <c r="Q247" i="8"/>
  <c r="P247" i="8"/>
  <c r="N247" i="8"/>
  <c r="M247" i="8"/>
  <c r="L247" i="8"/>
  <c r="K247" i="8"/>
  <c r="I247" i="8"/>
  <c r="H247" i="8"/>
  <c r="G247" i="8"/>
  <c r="F247" i="8"/>
  <c r="O246" i="8"/>
  <c r="T245" i="8"/>
  <c r="O245" i="8"/>
  <c r="J245" i="8"/>
  <c r="T241" i="8"/>
  <c r="T272" i="8" s="1"/>
  <c r="T167" i="10" s="1"/>
  <c r="O241" i="8"/>
  <c r="O272" i="8" s="1"/>
  <c r="O167" i="10" s="1"/>
  <c r="S240" i="8"/>
  <c r="R240" i="8"/>
  <c r="Q240" i="8"/>
  <c r="P240" i="8"/>
  <c r="N240" i="8"/>
  <c r="M240" i="8"/>
  <c r="L240" i="8"/>
  <c r="K240" i="8"/>
  <c r="I240" i="8"/>
  <c r="G240" i="8"/>
  <c r="F240" i="8"/>
  <c r="Z239" i="8"/>
  <c r="AA239" i="8" s="1"/>
  <c r="S224" i="8"/>
  <c r="R224" i="8"/>
  <c r="Q224" i="8"/>
  <c r="P224" i="8"/>
  <c r="N224" i="8"/>
  <c r="M224" i="8"/>
  <c r="L224" i="8"/>
  <c r="G224" i="8"/>
  <c r="S223" i="8"/>
  <c r="R223" i="8"/>
  <c r="Q223" i="8"/>
  <c r="P223" i="8"/>
  <c r="N223" i="8"/>
  <c r="M223" i="8"/>
  <c r="L223" i="8"/>
  <c r="K223" i="8"/>
  <c r="I223" i="8"/>
  <c r="H223" i="8"/>
  <c r="G223" i="8"/>
  <c r="F223" i="8"/>
  <c r="S219" i="8"/>
  <c r="R219" i="8"/>
  <c r="Q219" i="8"/>
  <c r="P219" i="8"/>
  <c r="L219" i="8"/>
  <c r="F219" i="8"/>
  <c r="S218" i="8"/>
  <c r="R218" i="8"/>
  <c r="Q218" i="8"/>
  <c r="P218" i="8"/>
  <c r="N218" i="8"/>
  <c r="M218" i="8"/>
  <c r="L218" i="8"/>
  <c r="K218" i="8"/>
  <c r="I218" i="8"/>
  <c r="H218" i="8"/>
  <c r="G218" i="8"/>
  <c r="F218" i="8"/>
  <c r="S210" i="8"/>
  <c r="R210" i="8"/>
  <c r="S206" i="8" s="1"/>
  <c r="Q210" i="8"/>
  <c r="R206" i="8" s="1"/>
  <c r="P210" i="8"/>
  <c r="Q206" i="8" s="1"/>
  <c r="N210" i="8"/>
  <c r="M210" i="8"/>
  <c r="N206" i="8" s="1"/>
  <c r="L210" i="8"/>
  <c r="M206" i="8" s="1"/>
  <c r="K210" i="8"/>
  <c r="L206" i="8" s="1"/>
  <c r="I210" i="8"/>
  <c r="H210" i="8"/>
  <c r="I206" i="8" s="1"/>
  <c r="G210" i="8"/>
  <c r="G206" i="8"/>
  <c r="T209" i="8"/>
  <c r="V209" i="8" s="1"/>
  <c r="W209" i="8" s="1"/>
  <c r="X209" i="8" s="1"/>
  <c r="O209" i="8"/>
  <c r="J209" i="8"/>
  <c r="S208" i="8"/>
  <c r="P208" i="8"/>
  <c r="P109" i="8" s="1"/>
  <c r="N208" i="8"/>
  <c r="M208" i="8"/>
  <c r="L208" i="8"/>
  <c r="K208" i="8"/>
  <c r="K109" i="8" s="1"/>
  <c r="H208" i="8"/>
  <c r="H109" i="8" s="1"/>
  <c r="G208" i="8"/>
  <c r="G109" i="8" s="1"/>
  <c r="F208" i="8"/>
  <c r="F109" i="8" s="1"/>
  <c r="T207" i="8"/>
  <c r="O207" i="8"/>
  <c r="J207" i="8"/>
  <c r="F206" i="8"/>
  <c r="J206" i="8" s="1"/>
  <c r="S196" i="8"/>
  <c r="R196" i="8"/>
  <c r="Q196" i="8"/>
  <c r="P196" i="8"/>
  <c r="N196" i="8"/>
  <c r="M196" i="8"/>
  <c r="L196" i="8"/>
  <c r="K196" i="8"/>
  <c r="I196" i="8"/>
  <c r="H196" i="8"/>
  <c r="G196" i="8"/>
  <c r="F196" i="8"/>
  <c r="AG195" i="8"/>
  <c r="AF195" i="8"/>
  <c r="AE195" i="8"/>
  <c r="AC195" i="8"/>
  <c r="AB195" i="8"/>
  <c r="AA195" i="8"/>
  <c r="Z195" i="8"/>
  <c r="T195" i="8"/>
  <c r="O195" i="8"/>
  <c r="J195" i="8"/>
  <c r="T194" i="8"/>
  <c r="O194" i="8"/>
  <c r="J194" i="8"/>
  <c r="T193" i="8"/>
  <c r="V86" i="3" s="1"/>
  <c r="F61" i="4" s="1"/>
  <c r="O193" i="8"/>
  <c r="U86" i="3" s="1"/>
  <c r="E61" i="4" s="1"/>
  <c r="J193" i="8"/>
  <c r="T86" i="3" s="1"/>
  <c r="D61" i="4" s="1"/>
  <c r="S169" i="8"/>
  <c r="S188" i="8" s="1"/>
  <c r="S147" i="10" s="1"/>
  <c r="R169" i="8"/>
  <c r="Q169" i="8"/>
  <c r="P169" i="8"/>
  <c r="P188" i="8" s="1"/>
  <c r="P147" i="10" s="1"/>
  <c r="N169" i="8"/>
  <c r="N188" i="8" s="1"/>
  <c r="N147" i="10" s="1"/>
  <c r="M169" i="8"/>
  <c r="M188" i="8" s="1"/>
  <c r="M147" i="10" s="1"/>
  <c r="G169" i="8"/>
  <c r="F169" i="8"/>
  <c r="C169" i="8"/>
  <c r="S168" i="8"/>
  <c r="R168" i="8"/>
  <c r="Q168" i="8"/>
  <c r="P168" i="8"/>
  <c r="N168" i="8"/>
  <c r="M168" i="8"/>
  <c r="L168" i="8"/>
  <c r="K168" i="8"/>
  <c r="I168" i="8"/>
  <c r="H168" i="8"/>
  <c r="G168" i="8"/>
  <c r="F168" i="8"/>
  <c r="C168" i="8"/>
  <c r="S167" i="8"/>
  <c r="R167" i="8"/>
  <c r="Q167" i="8"/>
  <c r="P167" i="8"/>
  <c r="N167" i="8"/>
  <c r="M167" i="8"/>
  <c r="L167" i="8"/>
  <c r="K167" i="8"/>
  <c r="I167" i="8"/>
  <c r="H167" i="8"/>
  <c r="I184" i="8" s="1" a="1"/>
  <c r="I184" i="8" s="1"/>
  <c r="G167" i="8"/>
  <c r="F167" i="8"/>
  <c r="C167" i="8"/>
  <c r="S164" i="8"/>
  <c r="R164" i="8"/>
  <c r="Q164" i="8"/>
  <c r="P164" i="8"/>
  <c r="N164" i="8"/>
  <c r="M164" i="8"/>
  <c r="L164" i="8"/>
  <c r="K164" i="8"/>
  <c r="I164" i="8"/>
  <c r="H164" i="8"/>
  <c r="G164" i="8"/>
  <c r="F164" i="8"/>
  <c r="C164" i="8"/>
  <c r="S163" i="8"/>
  <c r="R163" i="8"/>
  <c r="Q163" i="8"/>
  <c r="P163" i="8"/>
  <c r="N163" i="8"/>
  <c r="M163" i="8"/>
  <c r="L163" i="8"/>
  <c r="K163" i="8"/>
  <c r="I163" i="8"/>
  <c r="H163" i="8"/>
  <c r="G163" i="8"/>
  <c r="F163" i="8"/>
  <c r="C163" i="8"/>
  <c r="S162" i="8"/>
  <c r="R162" i="8"/>
  <c r="Q162" i="8"/>
  <c r="P162" i="8"/>
  <c r="N162" i="8"/>
  <c r="M162" i="8"/>
  <c r="L162" i="8"/>
  <c r="K162" i="8"/>
  <c r="I162" i="8"/>
  <c r="H162" i="8"/>
  <c r="G162" i="8"/>
  <c r="F162" i="8"/>
  <c r="C162" i="8"/>
  <c r="T153" i="8"/>
  <c r="V67" i="3" s="1"/>
  <c r="O153" i="8"/>
  <c r="U67" i="3" s="1"/>
  <c r="J153" i="8"/>
  <c r="T67" i="3" s="1"/>
  <c r="S151" i="8"/>
  <c r="R151" i="8"/>
  <c r="R154" i="8" s="1"/>
  <c r="Q151" i="8"/>
  <c r="Q154" i="8" s="1"/>
  <c r="P151" i="8"/>
  <c r="P154" i="8" s="1"/>
  <c r="N151" i="8"/>
  <c r="M151" i="8"/>
  <c r="M154" i="8" s="1"/>
  <c r="L151" i="8"/>
  <c r="L154" i="8" s="1"/>
  <c r="K151" i="8"/>
  <c r="K154" i="8" s="1"/>
  <c r="I151" i="8"/>
  <c r="J151" i="8" s="1"/>
  <c r="H151" i="8"/>
  <c r="H154" i="8" s="1"/>
  <c r="G151" i="8"/>
  <c r="G154" i="8" s="1"/>
  <c r="F151" i="8"/>
  <c r="F154" i="8" s="1"/>
  <c r="T150" i="8"/>
  <c r="V64" i="3" s="1"/>
  <c r="O150" i="8"/>
  <c r="U64" i="3" s="1"/>
  <c r="J150" i="8"/>
  <c r="T64" i="3" s="1"/>
  <c r="T149" i="8"/>
  <c r="V63" i="3" s="1"/>
  <c r="O149" i="8"/>
  <c r="U63" i="3" s="1"/>
  <c r="J149" i="8"/>
  <c r="T63" i="3" s="1"/>
  <c r="T148" i="8"/>
  <c r="T256" i="8" s="1"/>
  <c r="O148" i="8"/>
  <c r="O256" i="8" s="1"/>
  <c r="P252" i="8" s="1"/>
  <c r="J148" i="8"/>
  <c r="J256" i="8" s="1"/>
  <c r="K252" i="8" s="1"/>
  <c r="T147" i="8"/>
  <c r="T247" i="8" s="1"/>
  <c r="O147" i="8"/>
  <c r="O247" i="8" s="1"/>
  <c r="J147" i="8"/>
  <c r="J247" i="8" s="1"/>
  <c r="S143" i="8"/>
  <c r="T143" i="8" s="1"/>
  <c r="R143" i="8"/>
  <c r="Q143" i="8"/>
  <c r="P143" i="8"/>
  <c r="N143" i="8"/>
  <c r="O143" i="8" s="1"/>
  <c r="M143" i="8"/>
  <c r="L143" i="8"/>
  <c r="K143" i="8"/>
  <c r="T142" i="8"/>
  <c r="T224" i="8" s="1"/>
  <c r="O142" i="8"/>
  <c r="O224" i="8" s="1"/>
  <c r="K224" i="8"/>
  <c r="I224" i="8"/>
  <c r="H224" i="8"/>
  <c r="F224" i="8"/>
  <c r="T141" i="8"/>
  <c r="T223" i="8" s="1"/>
  <c r="O141" i="8"/>
  <c r="O223" i="8" s="1"/>
  <c r="J141" i="8"/>
  <c r="J223" i="8" s="1"/>
  <c r="T140" i="8"/>
  <c r="T310" i="8" s="1"/>
  <c r="O140" i="8"/>
  <c r="O310" i="8" s="1"/>
  <c r="P307" i="8" s="1"/>
  <c r="N310" i="8"/>
  <c r="M310" i="8"/>
  <c r="N307" i="8" s="1"/>
  <c r="I143" i="8"/>
  <c r="J143" i="8" s="1"/>
  <c r="H310" i="8"/>
  <c r="I307" i="8" s="1"/>
  <c r="F310" i="8"/>
  <c r="F309" i="8" s="1"/>
  <c r="F159" i="10" s="1"/>
  <c r="T139" i="8"/>
  <c r="O139" i="8"/>
  <c r="J139" i="8"/>
  <c r="K302" i="8" s="1"/>
  <c r="S137" i="8"/>
  <c r="R137" i="8"/>
  <c r="Q137" i="8"/>
  <c r="P137" i="8"/>
  <c r="N137" i="8"/>
  <c r="O137" i="8" s="1"/>
  <c r="M137" i="8"/>
  <c r="H137" i="8"/>
  <c r="G137" i="8"/>
  <c r="T136" i="8"/>
  <c r="T169" i="8" s="1"/>
  <c r="O136" i="8"/>
  <c r="O169" i="8" s="1"/>
  <c r="L169" i="8"/>
  <c r="L188" i="8" s="1"/>
  <c r="L147" i="10" s="1"/>
  <c r="J136" i="8"/>
  <c r="J169" i="8" s="1"/>
  <c r="H169" i="8"/>
  <c r="F137" i="8"/>
  <c r="T135" i="8"/>
  <c r="T168" i="8" s="1"/>
  <c r="O135" i="8"/>
  <c r="O168" i="8" s="1"/>
  <c r="J135" i="8"/>
  <c r="T49" i="3" s="1"/>
  <c r="T134" i="8"/>
  <c r="T167" i="8" s="1"/>
  <c r="O134" i="8"/>
  <c r="U48" i="3" s="1"/>
  <c r="J134" i="8"/>
  <c r="J167" i="8" s="1"/>
  <c r="S130" i="8"/>
  <c r="T130" i="8" s="1"/>
  <c r="R130" i="8"/>
  <c r="Q130" i="8"/>
  <c r="P130" i="8"/>
  <c r="L130" i="8"/>
  <c r="G130" i="8"/>
  <c r="F130" i="8"/>
  <c r="T129" i="8"/>
  <c r="T219" i="8" s="1"/>
  <c r="G219" i="8"/>
  <c r="T128" i="8"/>
  <c r="T218" i="8" s="1"/>
  <c r="O128" i="8"/>
  <c r="O218" i="8" s="1"/>
  <c r="J128" i="8"/>
  <c r="T42" i="3" s="1"/>
  <c r="T127" i="8"/>
  <c r="V41" i="3" s="1"/>
  <c r="O127" i="8"/>
  <c r="O210" i="8" s="1"/>
  <c r="P206" i="8" s="1"/>
  <c r="T206" i="8" s="1"/>
  <c r="J127" i="8"/>
  <c r="T41" i="3" s="1"/>
  <c r="T126" i="8"/>
  <c r="T196" i="8" s="1"/>
  <c r="Y192" i="8" s="1"/>
  <c r="O126" i="8"/>
  <c r="O196" i="8" s="1"/>
  <c r="J126" i="8"/>
  <c r="J196" i="8" s="1"/>
  <c r="S124" i="8"/>
  <c r="R124" i="8"/>
  <c r="Q124" i="8"/>
  <c r="P124" i="8"/>
  <c r="N124" i="8"/>
  <c r="O124" i="8" s="1"/>
  <c r="M124" i="8"/>
  <c r="L124" i="8"/>
  <c r="K124" i="8"/>
  <c r="F124" i="8"/>
  <c r="T123" i="8"/>
  <c r="T164" i="8" s="1"/>
  <c r="O123" i="8"/>
  <c r="U37" i="3" s="1"/>
  <c r="J123" i="8"/>
  <c r="J164" i="8" s="1"/>
  <c r="T122" i="8"/>
  <c r="T163" i="8" s="1"/>
  <c r="O122" i="8"/>
  <c r="O163" i="8" s="1"/>
  <c r="J122" i="8"/>
  <c r="J163" i="8" s="1"/>
  <c r="T121" i="8"/>
  <c r="V35" i="3" s="1"/>
  <c r="O121" i="8"/>
  <c r="O162" i="8" s="1"/>
  <c r="J121" i="8"/>
  <c r="J162" i="8" s="1"/>
  <c r="T120" i="8"/>
  <c r="V34" i="3" s="1"/>
  <c r="O120" i="8"/>
  <c r="U34" i="3" s="1"/>
  <c r="H124" i="8"/>
  <c r="G124" i="8"/>
  <c r="S111" i="8"/>
  <c r="R111" i="8"/>
  <c r="Q111" i="8"/>
  <c r="P111" i="8"/>
  <c r="N111" i="8"/>
  <c r="M111" i="8"/>
  <c r="L111" i="8"/>
  <c r="K111" i="8"/>
  <c r="I111" i="8"/>
  <c r="H111" i="8"/>
  <c r="G111" i="8"/>
  <c r="F111" i="8"/>
  <c r="F110" i="8"/>
  <c r="AD100" i="8"/>
  <c r="Y100" i="8"/>
  <c r="AD99" i="8"/>
  <c r="Y99" i="8"/>
  <c r="AG98" i="8"/>
  <c r="AF98" i="8"/>
  <c r="AE98" i="8"/>
  <c r="AC98" i="8"/>
  <c r="AB98" i="8"/>
  <c r="AA98" i="8"/>
  <c r="Z98" i="8"/>
  <c r="AG95" i="8"/>
  <c r="AF95" i="8"/>
  <c r="AE95" i="8"/>
  <c r="AC95" i="8"/>
  <c r="AB95" i="8"/>
  <c r="AA95" i="8"/>
  <c r="Z95" i="8"/>
  <c r="AG84" i="8"/>
  <c r="AF84" i="8"/>
  <c r="AE84" i="8"/>
  <c r="AC84" i="8"/>
  <c r="AB84" i="8"/>
  <c r="AA84" i="8"/>
  <c r="Z84" i="8"/>
  <c r="S60" i="8"/>
  <c r="P60" i="8"/>
  <c r="N60" i="8"/>
  <c r="M60" i="8"/>
  <c r="L60" i="8"/>
  <c r="K60" i="8"/>
  <c r="H60" i="8"/>
  <c r="G60" i="8"/>
  <c r="F60" i="8"/>
  <c r="AD50" i="8"/>
  <c r="Y50" i="8"/>
  <c r="T50" i="8"/>
  <c r="O50" i="8"/>
  <c r="J50" i="8"/>
  <c r="AD49" i="8"/>
  <c r="Y49" i="8"/>
  <c r="T49" i="8"/>
  <c r="O49" i="8"/>
  <c r="J49" i="8"/>
  <c r="AD48" i="8"/>
  <c r="Y48" i="8"/>
  <c r="T48" i="8"/>
  <c r="O48" i="8"/>
  <c r="J48" i="8"/>
  <c r="AD47" i="8"/>
  <c r="Y47" i="8"/>
  <c r="T47" i="8"/>
  <c r="O47" i="8"/>
  <c r="J47" i="8"/>
  <c r="T44" i="8"/>
  <c r="O44" i="8"/>
  <c r="AG41" i="8"/>
  <c r="AF41" i="8"/>
  <c r="AE41" i="8"/>
  <c r="AC41" i="8"/>
  <c r="AB41" i="8"/>
  <c r="AA41" i="8"/>
  <c r="Z41" i="8"/>
  <c r="T41" i="8"/>
  <c r="T67" i="10" s="1"/>
  <c r="O41" i="8"/>
  <c r="O67" i="10" s="1"/>
  <c r="J41" i="8"/>
  <c r="J67" i="10" s="1"/>
  <c r="F60" i="4"/>
  <c r="E60" i="4"/>
  <c r="D60" i="4"/>
  <c r="T38" i="8"/>
  <c r="O38" i="8"/>
  <c r="J38" i="8"/>
  <c r="O37" i="8"/>
  <c r="T34" i="8"/>
  <c r="O34" i="8"/>
  <c r="J34" i="8"/>
  <c r="AD26" i="8"/>
  <c r="Y26" i="8"/>
  <c r="T26" i="8"/>
  <c r="O26" i="8"/>
  <c r="J26" i="8"/>
  <c r="T24" i="8"/>
  <c r="S24" i="8" s="1"/>
  <c r="C20" i="8"/>
  <c r="C19" i="8"/>
  <c r="C18" i="8"/>
  <c r="C17" i="8"/>
  <c r="C16" i="8"/>
  <c r="C15" i="8"/>
  <c r="C14" i="8"/>
  <c r="C13" i="8"/>
  <c r="C12" i="8"/>
  <c r="C11" i="8"/>
  <c r="C2" i="8"/>
  <c r="C1" i="8"/>
  <c r="AG70" i="7"/>
  <c r="AF70" i="7"/>
  <c r="AE70" i="7"/>
  <c r="AC70" i="7"/>
  <c r="AB70" i="7"/>
  <c r="AA70" i="7"/>
  <c r="Z70" i="7"/>
  <c r="J70" i="7"/>
  <c r="C70" i="7"/>
  <c r="AG64" i="7"/>
  <c r="AF64" i="7"/>
  <c r="AE64" i="7"/>
  <c r="AC64" i="7"/>
  <c r="AB64" i="7"/>
  <c r="AA64" i="7"/>
  <c r="Z64" i="7"/>
  <c r="J64" i="7"/>
  <c r="C64" i="7"/>
  <c r="AG52" i="7"/>
  <c r="AF52" i="7"/>
  <c r="AE52" i="7"/>
  <c r="AC52" i="7"/>
  <c r="AB52" i="7"/>
  <c r="AA52" i="7"/>
  <c r="Z52" i="7"/>
  <c r="J52" i="7"/>
  <c r="C52" i="7"/>
  <c r="R109" i="7"/>
  <c r="R115" i="7" s="1"/>
  <c r="Q109" i="7"/>
  <c r="Q115" i="7" s="1"/>
  <c r="P109" i="7"/>
  <c r="P115" i="7" s="1"/>
  <c r="N109" i="7"/>
  <c r="N115" i="7" s="1"/>
  <c r="G109" i="7"/>
  <c r="G115" i="7" s="1"/>
  <c r="F109" i="7"/>
  <c r="F115" i="7" s="1"/>
  <c r="T70" i="7"/>
  <c r="O70" i="7"/>
  <c r="S45" i="7"/>
  <c r="R45" i="7"/>
  <c r="R97" i="7" s="1"/>
  <c r="R103" i="7" s="1"/>
  <c r="Q45" i="7"/>
  <c r="Q97" i="7" s="1"/>
  <c r="Q103" i="7" s="1"/>
  <c r="P45" i="7"/>
  <c r="P97" i="7" s="1"/>
  <c r="P103" i="7" s="1"/>
  <c r="N45" i="7"/>
  <c r="N97" i="7" s="1"/>
  <c r="N103" i="7" s="1"/>
  <c r="M45" i="7"/>
  <c r="M97" i="7" s="1"/>
  <c r="M103" i="7" s="1"/>
  <c r="L45" i="7"/>
  <c r="K45" i="7"/>
  <c r="K97" i="7" s="1"/>
  <c r="K103" i="7" s="1"/>
  <c r="I45" i="7"/>
  <c r="I97" i="7" s="1"/>
  <c r="I103" i="7" s="1"/>
  <c r="H45" i="7"/>
  <c r="H97" i="7" s="1"/>
  <c r="H103" i="7" s="1"/>
  <c r="G45" i="7"/>
  <c r="G97" i="7" s="1"/>
  <c r="G103" i="7" s="1"/>
  <c r="F45" i="7"/>
  <c r="S41" i="7"/>
  <c r="R41" i="7"/>
  <c r="Q41" i="7"/>
  <c r="P41" i="7"/>
  <c r="N41" i="7"/>
  <c r="M41" i="7"/>
  <c r="L41" i="7"/>
  <c r="K41" i="7"/>
  <c r="I41" i="7"/>
  <c r="H41" i="7"/>
  <c r="G41" i="7"/>
  <c r="F41" i="7"/>
  <c r="O52" i="7"/>
  <c r="C34" i="7"/>
  <c r="S33" i="7"/>
  <c r="R33" i="7"/>
  <c r="Q33" i="7"/>
  <c r="P33" i="7"/>
  <c r="N33" i="7"/>
  <c r="M33" i="7"/>
  <c r="L33" i="7"/>
  <c r="K33" i="7"/>
  <c r="H33" i="7"/>
  <c r="G33" i="7"/>
  <c r="F33" i="7"/>
  <c r="C31" i="7"/>
  <c r="C19" i="7"/>
  <c r="C17" i="7"/>
  <c r="C15" i="7"/>
  <c r="C13" i="7"/>
  <c r="C11" i="7"/>
  <c r="C9" i="7"/>
  <c r="C6" i="7"/>
  <c r="C2" i="7"/>
  <c r="C1" i="7"/>
  <c r="D21" i="6"/>
  <c r="D20" i="6"/>
  <c r="D19" i="6"/>
  <c r="D18" i="6"/>
  <c r="D17" i="6"/>
  <c r="D9" i="6"/>
  <c r="D8" i="6"/>
  <c r="C1" i="6"/>
  <c r="V18" i="5"/>
  <c r="T18" i="5"/>
  <c r="U18" i="5" s="1"/>
  <c r="V16" i="5"/>
  <c r="T16" i="5"/>
  <c r="V15" i="5"/>
  <c r="T15" i="5"/>
  <c r="U15" i="5" s="1"/>
  <c r="V14" i="5"/>
  <c r="T14" i="5"/>
  <c r="V13" i="5"/>
  <c r="T13" i="5"/>
  <c r="V9" i="5"/>
  <c r="T9" i="5"/>
  <c r="U9" i="5" s="1"/>
  <c r="V8" i="5"/>
  <c r="T8" i="5"/>
  <c r="V6" i="5"/>
  <c r="T6" i="5"/>
  <c r="V5" i="5"/>
  <c r="T5" i="5"/>
  <c r="C2" i="5"/>
  <c r="C1" i="5"/>
  <c r="B71" i="4"/>
  <c r="B67" i="4"/>
  <c r="B66" i="4"/>
  <c r="B59" i="4"/>
  <c r="B56" i="4"/>
  <c r="B55" i="4"/>
  <c r="B54" i="4"/>
  <c r="B52" i="4"/>
  <c r="B51" i="4"/>
  <c r="B50" i="4"/>
  <c r="B49" i="4"/>
  <c r="B47" i="4"/>
  <c r="B46" i="4"/>
  <c r="B45" i="4"/>
  <c r="B44" i="4"/>
  <c r="B37" i="4"/>
  <c r="B34" i="4"/>
  <c r="B33" i="4"/>
  <c r="B30" i="4"/>
  <c r="B29" i="4"/>
  <c r="B26" i="4"/>
  <c r="B25" i="4"/>
  <c r="B22" i="4"/>
  <c r="I16" i="4"/>
  <c r="I15" i="4"/>
  <c r="I14" i="4"/>
  <c r="I13" i="4"/>
  <c r="I12" i="4"/>
  <c r="I10" i="4"/>
  <c r="I9" i="4"/>
  <c r="I8" i="4"/>
  <c r="I7" i="4"/>
  <c r="B4" i="4"/>
  <c r="B2" i="4"/>
  <c r="S30" i="4" s="1"/>
  <c r="S1" i="4"/>
  <c r="B1" i="4"/>
  <c r="C100" i="3"/>
  <c r="B70" i="4" s="1"/>
  <c r="N99" i="3"/>
  <c r="C99" i="3"/>
  <c r="B69" i="4" s="1"/>
  <c r="C98" i="3"/>
  <c r="B68" i="4" s="1"/>
  <c r="J86" i="3"/>
  <c r="I86" i="3"/>
  <c r="H86" i="3"/>
  <c r="G86" i="3"/>
  <c r="J85" i="3"/>
  <c r="I85" i="3"/>
  <c r="H85" i="3"/>
  <c r="G85" i="3"/>
  <c r="S82" i="3"/>
  <c r="T72" i="3"/>
  <c r="G72" i="3"/>
  <c r="C70" i="3"/>
  <c r="C68" i="3"/>
  <c r="J67" i="3"/>
  <c r="I67" i="3"/>
  <c r="H67" i="3"/>
  <c r="G67" i="3"/>
  <c r="C67" i="3"/>
  <c r="C65" i="3"/>
  <c r="J64" i="3"/>
  <c r="I64" i="3"/>
  <c r="H64" i="3"/>
  <c r="G64" i="3"/>
  <c r="C64" i="3"/>
  <c r="J63" i="3"/>
  <c r="I63" i="3"/>
  <c r="H63" i="3"/>
  <c r="G63" i="3"/>
  <c r="C63" i="3"/>
  <c r="J62" i="3"/>
  <c r="I62" i="3"/>
  <c r="H62" i="3"/>
  <c r="G62" i="3"/>
  <c r="C62" i="3"/>
  <c r="T61" i="3"/>
  <c r="J61" i="3"/>
  <c r="I61" i="3"/>
  <c r="H61" i="3"/>
  <c r="G61" i="3"/>
  <c r="C61" i="3"/>
  <c r="C59" i="3"/>
  <c r="C57" i="3"/>
  <c r="J56" i="3"/>
  <c r="I56" i="3"/>
  <c r="H56" i="3"/>
  <c r="G56" i="3"/>
  <c r="C56" i="3"/>
  <c r="J55" i="3"/>
  <c r="I55" i="3"/>
  <c r="H55" i="3"/>
  <c r="G55" i="3"/>
  <c r="C55" i="3"/>
  <c r="U54" i="3"/>
  <c r="J54" i="3"/>
  <c r="I54" i="3"/>
  <c r="H54" i="3"/>
  <c r="G54" i="3"/>
  <c r="C54" i="3"/>
  <c r="J53" i="3"/>
  <c r="I53" i="3"/>
  <c r="H53" i="3"/>
  <c r="G53" i="3"/>
  <c r="C53" i="3"/>
  <c r="C51" i="3"/>
  <c r="J50" i="3"/>
  <c r="I50" i="3"/>
  <c r="H50" i="3"/>
  <c r="G50" i="3"/>
  <c r="C50" i="3"/>
  <c r="J49" i="3"/>
  <c r="I49" i="3"/>
  <c r="H49" i="3"/>
  <c r="G49" i="3"/>
  <c r="C49" i="3"/>
  <c r="J48" i="3"/>
  <c r="I48" i="3"/>
  <c r="H48" i="3"/>
  <c r="G48" i="3"/>
  <c r="C48" i="3"/>
  <c r="C46" i="3"/>
  <c r="C44" i="3"/>
  <c r="J43" i="3"/>
  <c r="I43" i="3"/>
  <c r="H43" i="3"/>
  <c r="G43" i="3"/>
  <c r="C43" i="3"/>
  <c r="J42" i="3"/>
  <c r="I42" i="3"/>
  <c r="H42" i="3"/>
  <c r="G42" i="3"/>
  <c r="C42" i="3"/>
  <c r="J41" i="3"/>
  <c r="I41" i="3"/>
  <c r="H41" i="3"/>
  <c r="G41" i="3"/>
  <c r="C41" i="3"/>
  <c r="J40" i="3"/>
  <c r="I40" i="3"/>
  <c r="H40" i="3"/>
  <c r="G40" i="3"/>
  <c r="C40" i="3"/>
  <c r="C38" i="3"/>
  <c r="J37" i="3"/>
  <c r="I37" i="3"/>
  <c r="H37" i="3"/>
  <c r="G37" i="3"/>
  <c r="C37" i="3"/>
  <c r="J36" i="3"/>
  <c r="I36" i="3"/>
  <c r="H36" i="3"/>
  <c r="G36" i="3"/>
  <c r="C36" i="3"/>
  <c r="J35" i="3"/>
  <c r="I35" i="3"/>
  <c r="H35" i="3"/>
  <c r="G35" i="3"/>
  <c r="C35" i="3"/>
  <c r="J34" i="3"/>
  <c r="I34" i="3"/>
  <c r="H34" i="3"/>
  <c r="G34" i="3"/>
  <c r="C34" i="3"/>
  <c r="C32" i="3"/>
  <c r="T31" i="3"/>
  <c r="G31" i="3"/>
  <c r="C27" i="3"/>
  <c r="B28" i="4" s="1"/>
  <c r="C23" i="3"/>
  <c r="B36" i="4" s="1"/>
  <c r="C19" i="3"/>
  <c r="B32" i="4" s="1"/>
  <c r="C15" i="3"/>
  <c r="C11" i="3"/>
  <c r="B24" i="4" s="1"/>
  <c r="C8" i="3"/>
  <c r="B21" i="4" s="1"/>
  <c r="C6" i="3"/>
  <c r="C2" i="3"/>
  <c r="C1" i="3"/>
  <c r="F25" i="2"/>
  <c r="C1" i="2"/>
  <c r="B142" i="17" l="1"/>
  <c r="P142" i="17" s="1"/>
  <c r="O142" i="17" s="1"/>
  <c r="E108" i="17"/>
  <c r="E92" i="17"/>
  <c r="Q92" i="17" s="1"/>
  <c r="E76" i="17"/>
  <c r="Q76" i="17" s="1"/>
  <c r="E60" i="17"/>
  <c r="Q60" i="17" s="1"/>
  <c r="E44" i="17"/>
  <c r="Q44" i="17" s="1"/>
  <c r="E28" i="17"/>
  <c r="P15" i="17"/>
  <c r="P16" i="17"/>
  <c r="P14" i="17"/>
  <c r="P13" i="17"/>
  <c r="E12" i="17"/>
  <c r="E40" i="13"/>
  <c r="E39" i="13"/>
  <c r="G35" i="13"/>
  <c r="F40" i="13"/>
  <c r="F39" i="13"/>
  <c r="G33" i="13"/>
  <c r="D39" i="13"/>
  <c r="D40" i="13"/>
  <c r="G34" i="13"/>
  <c r="G36" i="13"/>
  <c r="H90" i="14"/>
  <c r="F84" i="14" s="1"/>
  <c r="Z201" i="8"/>
  <c r="F115" i="14"/>
  <c r="H153" i="14" s="1"/>
  <c r="P153" i="14" s="1"/>
  <c r="E131" i="17"/>
  <c r="Q131" i="17" s="1"/>
  <c r="G18" i="15"/>
  <c r="E83" i="15"/>
  <c r="G84" i="15"/>
  <c r="F189" i="14" a="1"/>
  <c r="F189" i="14" s="1"/>
  <c r="F193" i="14" s="1"/>
  <c r="E219" i="14" s="1"/>
  <c r="H38" i="15"/>
  <c r="G83" i="15"/>
  <c r="N111" i="14"/>
  <c r="N115" i="14" s="1"/>
  <c r="K143" i="14" s="1"/>
  <c r="E38" i="15"/>
  <c r="F40" i="15"/>
  <c r="G39" i="15"/>
  <c r="G16" i="15"/>
  <c r="H39" i="15"/>
  <c r="H40" i="15"/>
  <c r="H17" i="15"/>
  <c r="N189" i="14" a="1"/>
  <c r="N189" i="14" s="1"/>
  <c r="N193" i="14" s="1"/>
  <c r="K219" i="14" s="1"/>
  <c r="G38" i="15"/>
  <c r="G40" i="15"/>
  <c r="F39" i="15"/>
  <c r="F38" i="15"/>
  <c r="J110" i="14"/>
  <c r="E39" i="15"/>
  <c r="E40" i="15"/>
  <c r="E16" i="15"/>
  <c r="E18" i="15"/>
  <c r="AC29" i="8"/>
  <c r="AD29" i="8" s="1"/>
  <c r="X85" i="3" s="1"/>
  <c r="AD7" i="10"/>
  <c r="X290" i="8"/>
  <c r="M34" i="14"/>
  <c r="M37" i="14" s="1"/>
  <c r="E12" i="14"/>
  <c r="G264" i="14" s="1"/>
  <c r="K264" i="14" s="1"/>
  <c r="U16" i="5"/>
  <c r="U13" i="5"/>
  <c r="E21" i="14"/>
  <c r="E16" i="14"/>
  <c r="U14" i="5"/>
  <c r="E22" i="14"/>
  <c r="E17" i="14"/>
  <c r="E11" i="14"/>
  <c r="U8" i="5"/>
  <c r="AY67" i="11"/>
  <c r="BB67" i="11" s="1"/>
  <c r="AZ67" i="11"/>
  <c r="BA67" i="11"/>
  <c r="BC67" i="11"/>
  <c r="BD67" i="11"/>
  <c r="BE67" i="11"/>
  <c r="BF67" i="11"/>
  <c r="BG67" i="11"/>
  <c r="BH67" i="11"/>
  <c r="BI67" i="11"/>
  <c r="BJ67" i="11"/>
  <c r="BK67" i="11"/>
  <c r="BL67" i="11"/>
  <c r="BM67" i="11"/>
  <c r="BN67" i="11"/>
  <c r="AT49" i="11"/>
  <c r="AC67" i="11"/>
  <c r="AF67" i="11" s="1"/>
  <c r="AD67" i="11"/>
  <c r="AE67" i="11"/>
  <c r="AG67" i="11"/>
  <c r="AH67" i="11"/>
  <c r="AI67" i="11"/>
  <c r="AJ67" i="11"/>
  <c r="AK67" i="11"/>
  <c r="AL67" i="11"/>
  <c r="AM67" i="11"/>
  <c r="AN67" i="11"/>
  <c r="AO67" i="11"/>
  <c r="AP67" i="11"/>
  <c r="AQ67" i="11"/>
  <c r="AR67" i="11"/>
  <c r="X49" i="11"/>
  <c r="AV54" i="11"/>
  <c r="AY54" i="11"/>
  <c r="AZ54" i="11"/>
  <c r="BA54" i="11"/>
  <c r="BB54" i="11"/>
  <c r="BC54" i="11"/>
  <c r="BD54" i="11"/>
  <c r="BE54" i="11"/>
  <c r="BF54" i="11"/>
  <c r="BG54" i="11"/>
  <c r="BH54" i="11"/>
  <c r="BI54" i="11"/>
  <c r="BJ54" i="11"/>
  <c r="BK54" i="11"/>
  <c r="BL54" i="11"/>
  <c r="BM54" i="11"/>
  <c r="BN54" i="11"/>
  <c r="Z54" i="11"/>
  <c r="AC54" i="11"/>
  <c r="AD54" i="11"/>
  <c r="AE54" i="11"/>
  <c r="AF54" i="11"/>
  <c r="AG54" i="11"/>
  <c r="AH54" i="11"/>
  <c r="AI54" i="11"/>
  <c r="AJ54" i="11"/>
  <c r="AK54" i="11"/>
  <c r="AL54" i="11"/>
  <c r="AM54" i="11"/>
  <c r="AN54" i="11"/>
  <c r="AO54" i="11"/>
  <c r="AP54" i="11"/>
  <c r="AQ54" i="11"/>
  <c r="AR54" i="11"/>
  <c r="D54" i="11"/>
  <c r="G54" i="11"/>
  <c r="H54" i="11"/>
  <c r="I54" i="11"/>
  <c r="J54" i="11"/>
  <c r="K54" i="11"/>
  <c r="L54" i="11"/>
  <c r="M54" i="11"/>
  <c r="N54" i="11"/>
  <c r="O54" i="11"/>
  <c r="P54" i="11"/>
  <c r="Q54" i="11"/>
  <c r="R54" i="11"/>
  <c r="S54" i="11"/>
  <c r="T54" i="11"/>
  <c r="U54" i="11"/>
  <c r="V54" i="11"/>
  <c r="AV53" i="11"/>
  <c r="AY53" i="11"/>
  <c r="AZ53" i="11"/>
  <c r="BA53" i="11"/>
  <c r="BB53" i="11"/>
  <c r="BC53" i="11"/>
  <c r="BD53" i="11"/>
  <c r="BE53" i="11"/>
  <c r="BF53" i="11"/>
  <c r="BG53" i="11"/>
  <c r="BH53" i="11"/>
  <c r="BI53" i="11"/>
  <c r="BJ53" i="11"/>
  <c r="BK53" i="11"/>
  <c r="BL53" i="11"/>
  <c r="BM53" i="11"/>
  <c r="BN53" i="11"/>
  <c r="Z53" i="11"/>
  <c r="AC53" i="11"/>
  <c r="AD53" i="11"/>
  <c r="AE53" i="11"/>
  <c r="AF53" i="11"/>
  <c r="AG53" i="11"/>
  <c r="AH53" i="11"/>
  <c r="AI53" i="11"/>
  <c r="AJ53" i="11"/>
  <c r="AK53" i="11"/>
  <c r="AL53" i="11"/>
  <c r="AM53" i="11"/>
  <c r="AN53" i="11"/>
  <c r="AO53" i="11"/>
  <c r="AP53" i="11"/>
  <c r="AQ53" i="11"/>
  <c r="AR53" i="11"/>
  <c r="AV52" i="11"/>
  <c r="AY52" i="11"/>
  <c r="AZ52" i="11"/>
  <c r="BA52" i="11"/>
  <c r="BB52" i="11"/>
  <c r="BC52" i="11"/>
  <c r="BD52" i="11"/>
  <c r="BE52" i="11"/>
  <c r="BF52" i="11"/>
  <c r="BG52" i="11"/>
  <c r="BH52" i="11"/>
  <c r="BI52" i="11"/>
  <c r="BJ52" i="11"/>
  <c r="BK52" i="11"/>
  <c r="BL52" i="11"/>
  <c r="BM52" i="11"/>
  <c r="BN52" i="11"/>
  <c r="Z52" i="11"/>
  <c r="AC52" i="11"/>
  <c r="AD52" i="11"/>
  <c r="AE52" i="11"/>
  <c r="AF52" i="11"/>
  <c r="AG52" i="11"/>
  <c r="AH52" i="11"/>
  <c r="AI52" i="11"/>
  <c r="AJ52" i="11"/>
  <c r="AK52" i="11"/>
  <c r="AL52" i="11"/>
  <c r="AM52" i="11"/>
  <c r="AN52" i="11"/>
  <c r="AO52" i="11"/>
  <c r="AP52" i="11"/>
  <c r="AQ52" i="11"/>
  <c r="AR52" i="11"/>
  <c r="D52" i="11"/>
  <c r="G52" i="11"/>
  <c r="H52" i="11"/>
  <c r="I52" i="11"/>
  <c r="J52" i="11"/>
  <c r="K52" i="11"/>
  <c r="L52" i="11"/>
  <c r="M52" i="11"/>
  <c r="N52" i="11"/>
  <c r="O52" i="11"/>
  <c r="P52" i="11"/>
  <c r="Q52" i="11"/>
  <c r="R52" i="11"/>
  <c r="S52" i="11"/>
  <c r="T52" i="11"/>
  <c r="U52" i="11"/>
  <c r="V52" i="11"/>
  <c r="G269" i="14"/>
  <c r="K269" i="14" s="1"/>
  <c r="G267" i="14"/>
  <c r="K267" i="14" s="1"/>
  <c r="BW6" i="15"/>
  <c r="CC6" i="15" s="1"/>
  <c r="CI6" i="15" s="1"/>
  <c r="J20" i="14"/>
  <c r="H20" i="14"/>
  <c r="BU6" i="15"/>
  <c r="CA6" i="15" s="1"/>
  <c r="CG6" i="15" s="1"/>
  <c r="BT6" i="15"/>
  <c r="BZ6" i="15" s="1"/>
  <c r="CF6" i="15" s="1"/>
  <c r="G20" i="14"/>
  <c r="BS6" i="15"/>
  <c r="BY6" i="15" s="1"/>
  <c r="CE6" i="15" s="1"/>
  <c r="F20" i="14"/>
  <c r="J15" i="14"/>
  <c r="AW6" i="15"/>
  <c r="BC6" i="15" s="1"/>
  <c r="BI6" i="15" s="1"/>
  <c r="AV6" i="15"/>
  <c r="BB6" i="15" s="1"/>
  <c r="BH6" i="15" s="1"/>
  <c r="I15" i="14"/>
  <c r="AU6" i="15"/>
  <c r="BA6" i="15" s="1"/>
  <c r="BG6" i="15" s="1"/>
  <c r="H15" i="14"/>
  <c r="AT6" i="15"/>
  <c r="AZ6" i="15" s="1"/>
  <c r="BF6" i="15" s="1"/>
  <c r="G15" i="14"/>
  <c r="J137" i="14"/>
  <c r="K137" i="14"/>
  <c r="AB6" i="15"/>
  <c r="AH6" i="15"/>
  <c r="AG7" i="15"/>
  <c r="AA7" i="15"/>
  <c r="U7" i="15"/>
  <c r="U6" i="15"/>
  <c r="AG6" i="15"/>
  <c r="P74" i="11"/>
  <c r="N74" i="11"/>
  <c r="M74" i="11"/>
  <c r="L75" i="11"/>
  <c r="K74" i="11"/>
  <c r="I76" i="11"/>
  <c r="H76" i="11"/>
  <c r="G76" i="11"/>
  <c r="R76" i="11"/>
  <c r="AF7" i="15"/>
  <c r="Z7" i="15"/>
  <c r="T7" i="15"/>
  <c r="AE7" i="15"/>
  <c r="Y7" i="15"/>
  <c r="S7" i="15"/>
  <c r="U6" i="5"/>
  <c r="R122" i="14"/>
  <c r="AE37" i="7"/>
  <c r="AF37" i="7"/>
  <c r="AG37" i="7"/>
  <c r="N50" i="10"/>
  <c r="O50" i="10" s="1"/>
  <c r="N183" i="8"/>
  <c r="N120" i="10" s="1"/>
  <c r="N184" i="8" a="1"/>
  <c r="N184" i="8" s="1"/>
  <c r="M184" i="8" a="1"/>
  <c r="M184" i="8" s="1"/>
  <c r="N187" i="8"/>
  <c r="H184" i="8" a="1"/>
  <c r="H184" i="8" s="1"/>
  <c r="H137" i="10" s="1"/>
  <c r="U49" i="3"/>
  <c r="L30" i="8"/>
  <c r="L32" i="8" s="1"/>
  <c r="R30" i="8"/>
  <c r="R32" i="8" s="1"/>
  <c r="M30" i="8"/>
  <c r="M32" i="8" s="1"/>
  <c r="P30" i="8"/>
  <c r="P32" i="8" s="1"/>
  <c r="K30" i="8"/>
  <c r="K32" i="8" s="1"/>
  <c r="N30" i="8"/>
  <c r="N32" i="8" s="1"/>
  <c r="N66" i="8"/>
  <c r="V42" i="3"/>
  <c r="S184" i="8" a="1"/>
  <c r="S184" i="8" s="1"/>
  <c r="M201" i="8"/>
  <c r="M77" i="10" s="1"/>
  <c r="L183" i="8"/>
  <c r="L120" i="10" s="1"/>
  <c r="Q264" i="8"/>
  <c r="Q265" i="8" s="1"/>
  <c r="V56" i="3"/>
  <c r="G187" i="8"/>
  <c r="G142" i="10" s="1"/>
  <c r="I187" i="8"/>
  <c r="I142" i="10" s="1"/>
  <c r="K187" i="8"/>
  <c r="K142" i="10" s="1"/>
  <c r="L187" i="8"/>
  <c r="T40" i="3"/>
  <c r="T62" i="3"/>
  <c r="T65" i="3" s="1"/>
  <c r="T68" i="3" s="1"/>
  <c r="V62" i="3"/>
  <c r="U50" i="3"/>
  <c r="U51" i="3" s="1"/>
  <c r="U106" i="3" s="1"/>
  <c r="E52" i="4" s="1"/>
  <c r="Q187" i="8"/>
  <c r="Q142" i="10" s="1"/>
  <c r="F187" i="8"/>
  <c r="F142" i="10" s="1"/>
  <c r="M187" i="8"/>
  <c r="M142" i="10" s="1"/>
  <c r="J184" i="8" a="1"/>
  <c r="J184" i="8" s="1"/>
  <c r="G184" i="8" a="1"/>
  <c r="G184" i="8" s="1"/>
  <c r="G137" i="10" s="1"/>
  <c r="T25" i="8"/>
  <c r="T164" i="10" s="1"/>
  <c r="P187" i="8"/>
  <c r="P142" i="10" s="1"/>
  <c r="V4" i="3"/>
  <c r="R187" i="8"/>
  <c r="R142" i="10" s="1"/>
  <c r="F225" i="8"/>
  <c r="T50" i="3"/>
  <c r="O184" i="8" a="1"/>
  <c r="O184" i="8" s="1"/>
  <c r="L184" i="8" a="1"/>
  <c r="L184" i="8" s="1"/>
  <c r="K184" i="8" a="1"/>
  <c r="K184" i="8" s="1"/>
  <c r="T48" i="3"/>
  <c r="K201" i="8"/>
  <c r="K77" i="10" s="1"/>
  <c r="Q220" i="8"/>
  <c r="H187" i="8"/>
  <c r="H142" i="10" s="1"/>
  <c r="G232" i="8"/>
  <c r="G130" i="10" s="1"/>
  <c r="T55" i="3"/>
  <c r="M309" i="8"/>
  <c r="M159" i="10" s="1"/>
  <c r="U41" i="3"/>
  <c r="P201" i="8"/>
  <c r="P77" i="10" s="1"/>
  <c r="T184" i="8" a="1"/>
  <c r="T184" i="8" s="1"/>
  <c r="Q184" i="8" a="1"/>
  <c r="Q184" i="8" s="1"/>
  <c r="T220" i="8"/>
  <c r="S187" i="8"/>
  <c r="S142" i="10" s="1"/>
  <c r="P220" i="8"/>
  <c r="H264" i="8"/>
  <c r="H265" i="8" s="1"/>
  <c r="O187" i="8"/>
  <c r="O142" i="10" s="1"/>
  <c r="R184" i="8" a="1"/>
  <c r="R184" i="8" s="1"/>
  <c r="S220" i="8"/>
  <c r="F16" i="9"/>
  <c r="F17" i="9"/>
  <c r="H30" i="7"/>
  <c r="H17" i="9"/>
  <c r="N68" i="8"/>
  <c r="N45" i="10" s="1"/>
  <c r="P68" i="8"/>
  <c r="P45" i="10" s="1"/>
  <c r="K68" i="8"/>
  <c r="K45" i="10" s="1"/>
  <c r="M69" i="8"/>
  <c r="M55" i="10" s="1"/>
  <c r="M68" i="8"/>
  <c r="M45" i="10" s="1"/>
  <c r="R68" i="8"/>
  <c r="R45" i="10" s="1"/>
  <c r="L68" i="8"/>
  <c r="L45" i="10" s="1"/>
  <c r="U35" i="3"/>
  <c r="U55" i="3"/>
  <c r="Y209" i="8"/>
  <c r="Z209" i="8" s="1"/>
  <c r="AA209" i="8" s="1"/>
  <c r="AB209" i="8" s="1"/>
  <c r="AC209" i="8" s="1"/>
  <c r="Q232" i="8"/>
  <c r="Q130" i="10" s="1"/>
  <c r="R260" i="8"/>
  <c r="K183" i="8"/>
  <c r="K120" i="10" s="1"/>
  <c r="Q176" i="8"/>
  <c r="O164" i="8"/>
  <c r="O165" i="8" s="1"/>
  <c r="S232" i="8"/>
  <c r="S130" i="10" s="1"/>
  <c r="M183" i="8"/>
  <c r="M120" i="10" s="1"/>
  <c r="N260" i="8"/>
  <c r="N273" i="8"/>
  <c r="N103" i="10" s="1"/>
  <c r="U40" i="3"/>
  <c r="I225" i="8"/>
  <c r="I226" i="8" s="1"/>
  <c r="G225" i="8"/>
  <c r="R225" i="8"/>
  <c r="AD95" i="8"/>
  <c r="AD108" i="10" s="1"/>
  <c r="O283" i="8"/>
  <c r="T303" i="8"/>
  <c r="V61" i="3"/>
  <c r="I309" i="8"/>
  <c r="I159" i="10" s="1"/>
  <c r="I201" i="8"/>
  <c r="I77" i="10" s="1"/>
  <c r="Q201" i="8"/>
  <c r="Q77" i="10" s="1"/>
  <c r="F220" i="8"/>
  <c r="N225" i="8"/>
  <c r="Q260" i="8"/>
  <c r="P264" i="8"/>
  <c r="P265" i="8" s="1"/>
  <c r="P225" i="8"/>
  <c r="R170" i="8"/>
  <c r="L201" i="8"/>
  <c r="L77" i="10" s="1"/>
  <c r="U53" i="3"/>
  <c r="AD84" i="8"/>
  <c r="AD99" i="10" s="1"/>
  <c r="N309" i="8"/>
  <c r="N159" i="10" s="1"/>
  <c r="I154" i="8"/>
  <c r="J154" i="8" s="1"/>
  <c r="J168" i="8"/>
  <c r="S201" i="8"/>
  <c r="S77" i="10" s="1"/>
  <c r="Q225" i="8"/>
  <c r="S309" i="8"/>
  <c r="S159" i="10" s="1"/>
  <c r="V207" i="8"/>
  <c r="J65" i="3"/>
  <c r="J68" i="3" s="1"/>
  <c r="J93" i="3" s="1"/>
  <c r="T111" i="8"/>
  <c r="H225" i="8"/>
  <c r="N201" i="8"/>
  <c r="N77" i="10" s="1"/>
  <c r="M214" i="8"/>
  <c r="M87" i="10" s="1"/>
  <c r="J218" i="8"/>
  <c r="R232" i="8"/>
  <c r="R130" i="10" s="1"/>
  <c r="AD278" i="8"/>
  <c r="Z100" i="3"/>
  <c r="J70" i="4" s="1"/>
  <c r="AD91" i="8"/>
  <c r="AB186" i="8"/>
  <c r="K69" i="4"/>
  <c r="AD260" i="8"/>
  <c r="AA186" i="8"/>
  <c r="AA100" i="3"/>
  <c r="K70" i="4" s="1"/>
  <c r="AD98" i="8"/>
  <c r="AD110" i="10" s="1"/>
  <c r="AD41" i="8"/>
  <c r="AD67" i="10" s="1"/>
  <c r="AD195" i="8"/>
  <c r="M109" i="8"/>
  <c r="R116" i="7"/>
  <c r="R104" i="7"/>
  <c r="Q133" i="7"/>
  <c r="Q207" i="7"/>
  <c r="Q209" i="7" s="1"/>
  <c r="C171" i="7"/>
  <c r="C97" i="7"/>
  <c r="C16" i="7"/>
  <c r="C121" i="7"/>
  <c r="C195" i="7"/>
  <c r="S80" i="9"/>
  <c r="I207" i="7"/>
  <c r="I209" i="7" s="1"/>
  <c r="I133" i="7"/>
  <c r="S133" i="7"/>
  <c r="S207" i="7"/>
  <c r="S209" i="7" s="1"/>
  <c r="F133" i="7"/>
  <c r="F207" i="7"/>
  <c r="F209" i="7" s="1"/>
  <c r="M133" i="7"/>
  <c r="M207" i="7"/>
  <c r="M209" i="7" s="1"/>
  <c r="T207" i="7"/>
  <c r="T133" i="7"/>
  <c r="L133" i="7"/>
  <c r="L207" i="7"/>
  <c r="L209" i="7" s="1"/>
  <c r="H104" i="7"/>
  <c r="G207" i="7"/>
  <c r="G209" i="7" s="1"/>
  <c r="G133" i="7"/>
  <c r="N207" i="7"/>
  <c r="N209" i="7" s="1"/>
  <c r="N133" i="7"/>
  <c r="C147" i="7"/>
  <c r="C183" i="7"/>
  <c r="C109" i="7"/>
  <c r="H207" i="7"/>
  <c r="H209" i="7" s="1"/>
  <c r="H133" i="7"/>
  <c r="P207" i="7"/>
  <c r="P209" i="7" s="1"/>
  <c r="P133" i="7"/>
  <c r="O116" i="7"/>
  <c r="C18" i="7"/>
  <c r="C133" i="7"/>
  <c r="C207" i="7"/>
  <c r="K133" i="7"/>
  <c r="K207" i="7"/>
  <c r="K209" i="7" s="1"/>
  <c r="R133" i="7"/>
  <c r="R207" i="7"/>
  <c r="R209" i="7" s="1"/>
  <c r="J207" i="7"/>
  <c r="J133" i="7"/>
  <c r="R121" i="7"/>
  <c r="R127" i="7" s="1"/>
  <c r="R195" i="7"/>
  <c r="R197" i="7" s="1"/>
  <c r="R202" i="7" s="1"/>
  <c r="R85" i="7"/>
  <c r="R91" i="7" s="1"/>
  <c r="R159" i="7"/>
  <c r="R161" i="7" s="1"/>
  <c r="R166" i="7" s="1"/>
  <c r="R79" i="7"/>
  <c r="R147" i="7"/>
  <c r="R149" i="7" s="1"/>
  <c r="R154" i="7" s="1"/>
  <c r="Q121" i="7"/>
  <c r="Q127" i="7" s="1"/>
  <c r="Q195" i="7"/>
  <c r="Q197" i="7" s="1"/>
  <c r="Q116" i="7"/>
  <c r="T104" i="7"/>
  <c r="Q104" i="7"/>
  <c r="Q159" i="7"/>
  <c r="Q161" i="7" s="1"/>
  <c r="Q85" i="7"/>
  <c r="Q91" i="7" s="1"/>
  <c r="Q79" i="7"/>
  <c r="Q147" i="7"/>
  <c r="Q149" i="7" s="1"/>
  <c r="P121" i="7"/>
  <c r="P127" i="7" s="1"/>
  <c r="P195" i="7"/>
  <c r="T121" i="7"/>
  <c r="T127" i="7" s="1"/>
  <c r="T195" i="7"/>
  <c r="S121" i="7"/>
  <c r="S127" i="7" s="1"/>
  <c r="S195" i="7"/>
  <c r="S197" i="7" s="1"/>
  <c r="S109" i="7"/>
  <c r="S115" i="7" s="1"/>
  <c r="S69" i="7"/>
  <c r="V69" i="7" s="1"/>
  <c r="S97" i="7"/>
  <c r="S103" i="7" s="1"/>
  <c r="S85" i="7"/>
  <c r="S91" i="7" s="1"/>
  <c r="S159" i="7"/>
  <c r="S161" i="7" s="1"/>
  <c r="P85" i="7"/>
  <c r="P91" i="7" s="1"/>
  <c r="P159" i="7"/>
  <c r="T85" i="7"/>
  <c r="T91" i="7" s="1"/>
  <c r="T159" i="7"/>
  <c r="S79" i="7"/>
  <c r="S147" i="7"/>
  <c r="S149" i="7" s="1"/>
  <c r="T79" i="7"/>
  <c r="T147" i="7"/>
  <c r="P79" i="7"/>
  <c r="P147" i="7"/>
  <c r="M121" i="7"/>
  <c r="M127" i="7" s="1"/>
  <c r="M195" i="7"/>
  <c r="M197" i="7" s="1"/>
  <c r="M202" i="7" s="1"/>
  <c r="M109" i="7"/>
  <c r="M115" i="7" s="1"/>
  <c r="N116" i="7" s="1"/>
  <c r="M85" i="7"/>
  <c r="M91" i="7" s="1"/>
  <c r="M159" i="7"/>
  <c r="M161" i="7" s="1"/>
  <c r="M166" i="7" s="1"/>
  <c r="M79" i="7"/>
  <c r="M147" i="7"/>
  <c r="M149" i="7" s="1"/>
  <c r="M154" i="7" s="1"/>
  <c r="L195" i="7"/>
  <c r="L197" i="7" s="1"/>
  <c r="L121" i="7"/>
  <c r="L127" i="7" s="1"/>
  <c r="L109" i="7"/>
  <c r="L115" i="7" s="1"/>
  <c r="L69" i="7"/>
  <c r="L97" i="7"/>
  <c r="L103" i="7" s="1"/>
  <c r="M104" i="7" s="1"/>
  <c r="L85" i="7"/>
  <c r="L91" i="7" s="1"/>
  <c r="L159" i="7"/>
  <c r="L161" i="7" s="1"/>
  <c r="L79" i="7"/>
  <c r="L147" i="7"/>
  <c r="L149" i="7" s="1"/>
  <c r="O121" i="7"/>
  <c r="O127" i="7" s="1"/>
  <c r="O195" i="7"/>
  <c r="K121" i="7"/>
  <c r="K127" i="7" s="1"/>
  <c r="K195" i="7"/>
  <c r="N121" i="7"/>
  <c r="N127" i="7" s="1"/>
  <c r="N195" i="7"/>
  <c r="N197" i="7" s="1"/>
  <c r="P116" i="7"/>
  <c r="K109" i="7"/>
  <c r="K115" i="7" s="1"/>
  <c r="P104" i="7"/>
  <c r="N104" i="7"/>
  <c r="O104" i="7"/>
  <c r="N159" i="7"/>
  <c r="N161" i="7" s="1"/>
  <c r="N85" i="7"/>
  <c r="N91" i="7" s="1"/>
  <c r="O159" i="7"/>
  <c r="O85" i="7"/>
  <c r="O91" i="7" s="1"/>
  <c r="K85" i="7"/>
  <c r="K91" i="7" s="1"/>
  <c r="K159" i="7"/>
  <c r="K147" i="7"/>
  <c r="K149" i="7" s="1"/>
  <c r="K79" i="7"/>
  <c r="N79" i="7"/>
  <c r="N147" i="7"/>
  <c r="N149" i="7" s="1"/>
  <c r="O147" i="7"/>
  <c r="O79" i="7"/>
  <c r="H121" i="7"/>
  <c r="H127" i="7" s="1"/>
  <c r="H195" i="7"/>
  <c r="H197" i="7" s="1"/>
  <c r="H202" i="7" s="1"/>
  <c r="H109" i="7"/>
  <c r="H115" i="7" s="1"/>
  <c r="H116" i="7" s="1"/>
  <c r="H85" i="7"/>
  <c r="H91" i="7" s="1"/>
  <c r="H159" i="7"/>
  <c r="H161" i="7" s="1"/>
  <c r="H166" i="7" s="1"/>
  <c r="H79" i="7"/>
  <c r="H147" i="7"/>
  <c r="H149" i="7" s="1"/>
  <c r="H154" i="7" s="1"/>
  <c r="G116" i="7"/>
  <c r="G195" i="7"/>
  <c r="G197" i="7" s="1"/>
  <c r="G121" i="7"/>
  <c r="G127" i="7" s="1"/>
  <c r="G85" i="7"/>
  <c r="G91" i="7" s="1"/>
  <c r="G159" i="7"/>
  <c r="G161" i="7" s="1"/>
  <c r="G51" i="7"/>
  <c r="G147" i="7"/>
  <c r="G149" i="7" s="1"/>
  <c r="G79" i="7"/>
  <c r="I121" i="7"/>
  <c r="I127" i="7" s="1"/>
  <c r="I195" i="7"/>
  <c r="I197" i="7" s="1"/>
  <c r="F121" i="7"/>
  <c r="F127" i="7" s="1"/>
  <c r="F195" i="7"/>
  <c r="F197" i="7" s="1"/>
  <c r="J121" i="7"/>
  <c r="J127" i="7" s="1"/>
  <c r="J195" i="7"/>
  <c r="I109" i="7"/>
  <c r="I115" i="7" s="1"/>
  <c r="K104" i="7"/>
  <c r="I104" i="7"/>
  <c r="F69" i="7"/>
  <c r="F97" i="7"/>
  <c r="F103" i="7" s="1"/>
  <c r="G104" i="7" s="1"/>
  <c r="F85" i="7"/>
  <c r="F91" i="7" s="1"/>
  <c r="F159" i="7"/>
  <c r="F161" i="7" s="1"/>
  <c r="J63" i="7"/>
  <c r="J159" i="7"/>
  <c r="J85" i="7"/>
  <c r="J91" i="7" s="1"/>
  <c r="I85" i="7"/>
  <c r="I91" i="7" s="1"/>
  <c r="I159" i="7"/>
  <c r="I161" i="7" s="1"/>
  <c r="I79" i="7"/>
  <c r="I147" i="7"/>
  <c r="I149" i="7" s="1"/>
  <c r="F51" i="7"/>
  <c r="F79" i="7"/>
  <c r="F147" i="7"/>
  <c r="F149" i="7" s="1"/>
  <c r="AF122" i="7"/>
  <c r="AD86" i="7"/>
  <c r="AE86" i="7" s="1"/>
  <c r="AC133" i="7"/>
  <c r="AD133" i="7" s="1"/>
  <c r="AD134" i="7"/>
  <c r="AE134" i="7" s="1"/>
  <c r="AA172" i="7"/>
  <c r="AC185" i="7"/>
  <c r="AC183" i="7" s="1"/>
  <c r="AB183" i="7"/>
  <c r="AD110" i="7"/>
  <c r="AE110" i="7" s="1"/>
  <c r="AC173" i="7"/>
  <c r="AC171" i="7" s="1"/>
  <c r="AB171" i="7"/>
  <c r="R264" i="8"/>
  <c r="R265" i="8" s="1"/>
  <c r="R273" i="8"/>
  <c r="R103" i="10" s="1"/>
  <c r="T240" i="8"/>
  <c r="S260" i="8"/>
  <c r="V224" i="8"/>
  <c r="K56" i="3"/>
  <c r="V54" i="3"/>
  <c r="V53" i="3"/>
  <c r="S170" i="8"/>
  <c r="V49" i="3"/>
  <c r="V48" i="3"/>
  <c r="J51" i="3"/>
  <c r="J106" i="3" s="1"/>
  <c r="V43" i="3"/>
  <c r="S132" i="8"/>
  <c r="T162" i="8"/>
  <c r="T176" i="8" s="1"/>
  <c r="I65" i="3"/>
  <c r="I68" i="3" s="1"/>
  <c r="I93" i="3" s="1"/>
  <c r="S225" i="8"/>
  <c r="T225" i="8"/>
  <c r="V55" i="3"/>
  <c r="R145" i="8"/>
  <c r="R156" i="8" s="1"/>
  <c r="R220" i="8"/>
  <c r="I44" i="3"/>
  <c r="S214" i="8"/>
  <c r="S87" i="10" s="1"/>
  <c r="R132" i="8"/>
  <c r="H65" i="3"/>
  <c r="H68" i="3" s="1"/>
  <c r="H93" i="3" s="1"/>
  <c r="Q145" i="8"/>
  <c r="Q156" i="8" s="1"/>
  <c r="Q170" i="8"/>
  <c r="H44" i="3"/>
  <c r="Q132" i="8"/>
  <c r="G65" i="3"/>
  <c r="G68" i="3" s="1"/>
  <c r="G93" i="3" s="1"/>
  <c r="G57" i="3"/>
  <c r="Q308" i="8"/>
  <c r="Q154" i="10" s="1"/>
  <c r="Q309" i="8"/>
  <c r="Q159" i="10" s="1"/>
  <c r="P145" i="8"/>
  <c r="P156" i="8" s="1"/>
  <c r="G44" i="3"/>
  <c r="P132" i="8"/>
  <c r="T210" i="8"/>
  <c r="V40" i="3"/>
  <c r="T19" i="9"/>
  <c r="O111" i="8"/>
  <c r="U62" i="3"/>
  <c r="U61" i="3"/>
  <c r="U56" i="3"/>
  <c r="O167" i="8"/>
  <c r="P184" i="8" s="1" a="1"/>
  <c r="P184" i="8" s="1"/>
  <c r="U42" i="3"/>
  <c r="P214" i="8"/>
  <c r="P87" i="10" s="1"/>
  <c r="M145" i="8"/>
  <c r="M156" i="8" s="1"/>
  <c r="L132" i="8"/>
  <c r="K225" i="8"/>
  <c r="L214" i="8"/>
  <c r="L87" i="10" s="1"/>
  <c r="S109" i="8"/>
  <c r="O188" i="8"/>
  <c r="O147" i="10" s="1"/>
  <c r="O19" i="9"/>
  <c r="M41" i="9"/>
  <c r="S41" i="9"/>
  <c r="M30" i="7"/>
  <c r="N30" i="7"/>
  <c r="X254" i="8"/>
  <c r="X94" i="8"/>
  <c r="T267" i="8"/>
  <c r="S264" i="8"/>
  <c r="S265" i="8" s="1"/>
  <c r="S273" i="8"/>
  <c r="S103" i="10" s="1"/>
  <c r="T239" i="8"/>
  <c r="O303" i="8"/>
  <c r="K303" i="8"/>
  <c r="T53" i="3"/>
  <c r="T35" i="3"/>
  <c r="J176" i="8"/>
  <c r="I54" i="9"/>
  <c r="I84" i="10" s="1"/>
  <c r="J267" i="8"/>
  <c r="J264" i="8" s="1"/>
  <c r="J111" i="8"/>
  <c r="H176" i="8"/>
  <c r="H170" i="8"/>
  <c r="H201" i="8"/>
  <c r="H77" i="10" s="1"/>
  <c r="H53" i="9"/>
  <c r="H83" i="10" s="1"/>
  <c r="G264" i="8"/>
  <c r="G265" i="8" s="1"/>
  <c r="G220" i="8"/>
  <c r="G132" i="8"/>
  <c r="G38" i="9"/>
  <c r="H15" i="9"/>
  <c r="H43" i="7" s="1"/>
  <c r="F264" i="8"/>
  <c r="F265" i="8" s="1"/>
  <c r="F132" i="8"/>
  <c r="L109" i="8"/>
  <c r="J201" i="8"/>
  <c r="J77" i="10" s="1"/>
  <c r="G260" i="8"/>
  <c r="T170" i="8"/>
  <c r="H51" i="3"/>
  <c r="H105" i="3" s="1"/>
  <c r="I51" i="3"/>
  <c r="I106" i="3" s="1"/>
  <c r="V50" i="3"/>
  <c r="M170" i="8"/>
  <c r="F170" i="8"/>
  <c r="H38" i="3"/>
  <c r="L165" i="8"/>
  <c r="M165" i="8"/>
  <c r="T36" i="3"/>
  <c r="U36" i="3"/>
  <c r="V36" i="3"/>
  <c r="S183" i="8"/>
  <c r="N165" i="8"/>
  <c r="V37" i="3"/>
  <c r="M176" i="8"/>
  <c r="I38" i="3"/>
  <c r="N176" i="8"/>
  <c r="G38" i="3"/>
  <c r="L176" i="8"/>
  <c r="G165" i="8"/>
  <c r="G176" i="8"/>
  <c r="T37" i="3"/>
  <c r="M60" i="4"/>
  <c r="J19" i="9"/>
  <c r="P30" i="7"/>
  <c r="R30" i="7"/>
  <c r="R15" i="9"/>
  <c r="R43" i="7" s="1"/>
  <c r="T134" i="9"/>
  <c r="J59" i="9"/>
  <c r="H38" i="9"/>
  <c r="L30" i="7"/>
  <c r="M38" i="9"/>
  <c r="Q30" i="7"/>
  <c r="M54" i="9"/>
  <c r="M84" i="10" s="1"/>
  <c r="Q16" i="9"/>
  <c r="Q47" i="7" s="1"/>
  <c r="R16" i="9"/>
  <c r="R47" i="7" s="1"/>
  <c r="K30" i="7"/>
  <c r="S38" i="9"/>
  <c r="L55" i="9"/>
  <c r="L85" i="10" s="1"/>
  <c r="T60" i="9"/>
  <c r="F54" i="9"/>
  <c r="F84" i="10" s="1"/>
  <c r="G54" i="9"/>
  <c r="G84" i="10" s="1"/>
  <c r="H54" i="9"/>
  <c r="H84" i="10" s="1"/>
  <c r="G8" i="3"/>
  <c r="P67" i="8"/>
  <c r="P40" i="10" s="1"/>
  <c r="R69" i="8"/>
  <c r="R55" i="10" s="1"/>
  <c r="I8" i="3"/>
  <c r="R67" i="8"/>
  <c r="R40" i="10" s="1"/>
  <c r="R55" i="9"/>
  <c r="R85" i="10" s="1"/>
  <c r="R54" i="9"/>
  <c r="R84" i="10" s="1"/>
  <c r="Q28" i="8"/>
  <c r="Q50" i="10" s="1"/>
  <c r="J22" i="10"/>
  <c r="G43" i="9"/>
  <c r="T109" i="7"/>
  <c r="T115" i="7" s="1"/>
  <c r="T116" i="7" s="1"/>
  <c r="H43" i="9"/>
  <c r="P43" i="9"/>
  <c r="T45" i="9"/>
  <c r="T55" i="9" s="1"/>
  <c r="T85" i="10" s="1"/>
  <c r="R163" i="9"/>
  <c r="H14" i="9"/>
  <c r="Q43" i="9"/>
  <c r="T22" i="10"/>
  <c r="R53" i="9"/>
  <c r="R83" i="10" s="1"/>
  <c r="R14" i="9"/>
  <c r="R35" i="7" s="1"/>
  <c r="O152" i="9"/>
  <c r="O51" i="7"/>
  <c r="O63" i="7"/>
  <c r="G41" i="9"/>
  <c r="N51" i="7"/>
  <c r="S30" i="7"/>
  <c r="M42" i="9"/>
  <c r="P41" i="9"/>
  <c r="K51" i="7"/>
  <c r="Q41" i="9"/>
  <c r="H28" i="8"/>
  <c r="H50" i="10" s="1"/>
  <c r="G50" i="9"/>
  <c r="S28" i="8"/>
  <c r="L50" i="9"/>
  <c r="P42" i="9"/>
  <c r="S63" i="7"/>
  <c r="T59" i="9"/>
  <c r="G42" i="9"/>
  <c r="K69" i="7"/>
  <c r="M50" i="9"/>
  <c r="Q42" i="9"/>
  <c r="H42" i="9"/>
  <c r="F14" i="9"/>
  <c r="Z78" i="9"/>
  <c r="L81" i="9"/>
  <c r="M81" i="9"/>
  <c r="AD152" i="9"/>
  <c r="P81" i="9"/>
  <c r="AC80" i="9"/>
  <c r="G81" i="9"/>
  <c r="T153" i="9"/>
  <c r="AB80" i="9"/>
  <c r="Y154" i="9"/>
  <c r="R168" i="9"/>
  <c r="Q82" i="9"/>
  <c r="Z79" i="9"/>
  <c r="J45" i="9"/>
  <c r="J53" i="9" s="1"/>
  <c r="J83" i="10" s="1"/>
  <c r="F50" i="9"/>
  <c r="F38" i="9"/>
  <c r="F28" i="8"/>
  <c r="F50" i="10" s="1"/>
  <c r="H16" i="9"/>
  <c r="G30" i="7"/>
  <c r="G28" i="8"/>
  <c r="G50" i="10" s="1"/>
  <c r="F28" i="9"/>
  <c r="L28" i="9"/>
  <c r="I51" i="7"/>
  <c r="I17" i="9"/>
  <c r="F30" i="7"/>
  <c r="C41" i="7"/>
  <c r="C63" i="7" s="1"/>
  <c r="C51" i="7"/>
  <c r="C8" i="7"/>
  <c r="AE82" i="9"/>
  <c r="AF168" i="9"/>
  <c r="H79" i="9"/>
  <c r="AF80" i="9"/>
  <c r="O154" i="9"/>
  <c r="P79" i="9"/>
  <c r="H80" i="9"/>
  <c r="T155" i="9"/>
  <c r="P78" i="9"/>
  <c r="Q78" i="9"/>
  <c r="P80" i="9"/>
  <c r="G82" i="9"/>
  <c r="R28" i="9"/>
  <c r="S28" i="9"/>
  <c r="G27" i="9"/>
  <c r="Q27" i="9"/>
  <c r="Q28" i="9"/>
  <c r="C98" i="9"/>
  <c r="K70" i="8"/>
  <c r="K60" i="10" s="1"/>
  <c r="K69" i="8"/>
  <c r="K55" i="10" s="1"/>
  <c r="J69" i="7"/>
  <c r="AI45" i="7"/>
  <c r="T69" i="7"/>
  <c r="F63" i="7"/>
  <c r="G63" i="7"/>
  <c r="H63" i="7"/>
  <c r="K14" i="9"/>
  <c r="K35" i="7" s="1"/>
  <c r="I63" i="7"/>
  <c r="G69" i="7"/>
  <c r="T147" i="9"/>
  <c r="T42" i="7" s="1"/>
  <c r="T64" i="7" s="1"/>
  <c r="Q14" i="9"/>
  <c r="Q35" i="7" s="1"/>
  <c r="M69" i="7"/>
  <c r="I69" i="7"/>
  <c r="K15" i="9"/>
  <c r="K43" i="7" s="1"/>
  <c r="Q69" i="7"/>
  <c r="G16" i="9"/>
  <c r="O148" i="9"/>
  <c r="AI41" i="7"/>
  <c r="H69" i="7"/>
  <c r="Z29" i="11"/>
  <c r="N75" i="11"/>
  <c r="Y92" i="8"/>
  <c r="Z245" i="8"/>
  <c r="AM75" i="11"/>
  <c r="BF77" i="11"/>
  <c r="BA74" i="11"/>
  <c r="BK74" i="11"/>
  <c r="BG77" i="11"/>
  <c r="BC74" i="11"/>
  <c r="P62" i="17"/>
  <c r="H75" i="11"/>
  <c r="M75" i="11"/>
  <c r="AI75" i="11"/>
  <c r="AK75" i="11"/>
  <c r="BE76" i="11"/>
  <c r="BG76" i="11"/>
  <c r="BI76" i="11"/>
  <c r="BK76" i="11"/>
  <c r="C36" i="13"/>
  <c r="N77" i="11"/>
  <c r="BE77" i="11"/>
  <c r="P63" i="17"/>
  <c r="P77" i="11"/>
  <c r="R77" i="11"/>
  <c r="AO77" i="11"/>
  <c r="P75" i="11"/>
  <c r="D69" i="11"/>
  <c r="AO75" i="11"/>
  <c r="BH77" i="11"/>
  <c r="BH75" i="11"/>
  <c r="I74" i="11"/>
  <c r="R74" i="11"/>
  <c r="AI76" i="11"/>
  <c r="P61" i="17"/>
  <c r="C37" i="13"/>
  <c r="P69" i="7"/>
  <c r="R63" i="7"/>
  <c r="J44" i="3"/>
  <c r="L63" i="7"/>
  <c r="J44" i="8"/>
  <c r="M63" i="7"/>
  <c r="I208" i="8"/>
  <c r="J208" i="8" s="1"/>
  <c r="J214" i="8" s="1"/>
  <c r="J87" i="10" s="1"/>
  <c r="I60" i="8"/>
  <c r="I50" i="9" s="1"/>
  <c r="J37" i="8"/>
  <c r="C14" i="7"/>
  <c r="N63" i="7"/>
  <c r="Q63" i="7"/>
  <c r="Q60" i="8"/>
  <c r="Q50" i="9" s="1"/>
  <c r="Q208" i="8"/>
  <c r="P51" i="7"/>
  <c r="I165" i="8"/>
  <c r="I176" i="8"/>
  <c r="Q51" i="7"/>
  <c r="R51" i="7"/>
  <c r="K48" i="16"/>
  <c r="K51" i="16" s="1"/>
  <c r="G51" i="3"/>
  <c r="N142" i="10"/>
  <c r="N170" i="8"/>
  <c r="M61" i="4"/>
  <c r="H5" i="18"/>
  <c r="H5" i="19"/>
  <c r="BB8" i="11"/>
  <c r="BB47" i="11" s="1"/>
  <c r="J8" i="11"/>
  <c r="V8" i="11"/>
  <c r="V47" i="11" s="1"/>
  <c r="T8" i="11"/>
  <c r="T47" i="11" s="1"/>
  <c r="R8" i="11"/>
  <c r="R47" i="11" s="1"/>
  <c r="P8" i="11"/>
  <c r="P47" i="11" s="1"/>
  <c r="N8" i="11"/>
  <c r="N47" i="11" s="1"/>
  <c r="L8" i="11"/>
  <c r="L47" i="11" s="1"/>
  <c r="AF8" i="11"/>
  <c r="AF47" i="11" s="1"/>
  <c r="I130" i="8"/>
  <c r="J130" i="8" s="1"/>
  <c r="I219" i="8"/>
  <c r="J129" i="8"/>
  <c r="N69" i="7"/>
  <c r="N214" i="8"/>
  <c r="N87" i="10" s="1"/>
  <c r="O208" i="8"/>
  <c r="N109" i="8"/>
  <c r="T63" i="7"/>
  <c r="J38" i="3"/>
  <c r="K63" i="7"/>
  <c r="O69" i="7"/>
  <c r="H51" i="7"/>
  <c r="C69" i="7"/>
  <c r="K130" i="8"/>
  <c r="K132" i="8" s="1"/>
  <c r="K219" i="8"/>
  <c r="K220" i="8" s="1"/>
  <c r="T252" i="8"/>
  <c r="R208" i="8"/>
  <c r="R60" i="8"/>
  <c r="R50" i="9" s="1"/>
  <c r="C28" i="16"/>
  <c r="C31" i="16" s="1"/>
  <c r="P63" i="7"/>
  <c r="Q183" i="8"/>
  <c r="S154" i="8"/>
  <c r="T154" i="8" s="1"/>
  <c r="T151" i="8"/>
  <c r="U5" i="5"/>
  <c r="R183" i="8"/>
  <c r="R188" i="8"/>
  <c r="R147" i="10" s="1"/>
  <c r="S25" i="8"/>
  <c r="R24" i="8"/>
  <c r="T183" i="8"/>
  <c r="S302" i="8"/>
  <c r="S303" i="8" s="1"/>
  <c r="S51" i="7"/>
  <c r="T51" i="7"/>
  <c r="K202" i="8"/>
  <c r="K182" i="8"/>
  <c r="K115" i="10" s="1"/>
  <c r="K67" i="8"/>
  <c r="K40" i="10" s="1"/>
  <c r="K249" i="8"/>
  <c r="O28" i="8"/>
  <c r="K186" i="8"/>
  <c r="K125" i="10" s="1"/>
  <c r="K200" i="8"/>
  <c r="K94" i="10" s="1"/>
  <c r="H28" i="9"/>
  <c r="H27" i="9"/>
  <c r="L202" i="8"/>
  <c r="L182" i="8"/>
  <c r="L115" i="10" s="1"/>
  <c r="L249" i="8"/>
  <c r="L67" i="8"/>
  <c r="L40" i="10" s="1"/>
  <c r="L186" i="8"/>
  <c r="L125" i="10" s="1"/>
  <c r="L200" i="8"/>
  <c r="L94" i="10" s="1"/>
  <c r="L70" i="8"/>
  <c r="L60" i="10" s="1"/>
  <c r="L69" i="8"/>
  <c r="L55" i="10" s="1"/>
  <c r="O252" i="8"/>
  <c r="M202" i="8"/>
  <c r="M182" i="8"/>
  <c r="M115" i="10" s="1"/>
  <c r="M200" i="8"/>
  <c r="M94" i="10" s="1"/>
  <c r="M67" i="8"/>
  <c r="M40" i="10" s="1"/>
  <c r="M249" i="8"/>
  <c r="M186" i="8"/>
  <c r="M125" i="10" s="1"/>
  <c r="M70" i="8"/>
  <c r="M60" i="10" s="1"/>
  <c r="C12" i="7"/>
  <c r="L51" i="7"/>
  <c r="R69" i="7"/>
  <c r="N182" i="8"/>
  <c r="N115" i="10" s="1"/>
  <c r="N200" i="8"/>
  <c r="N94" i="10" s="1"/>
  <c r="N67" i="8"/>
  <c r="N40" i="10" s="1"/>
  <c r="N202" i="8"/>
  <c r="N249" i="8"/>
  <c r="N70" i="8"/>
  <c r="N60" i="10" s="1"/>
  <c r="N69" i="8"/>
  <c r="N55" i="10" s="1"/>
  <c r="M51" i="7"/>
  <c r="K50" i="9"/>
  <c r="O60" i="8"/>
  <c r="K169" i="8"/>
  <c r="K188" i="8" s="1"/>
  <c r="K147" i="10" s="1"/>
  <c r="K137" i="8"/>
  <c r="K145" i="8" s="1"/>
  <c r="K156" i="8" s="1"/>
  <c r="S145" i="8"/>
  <c r="T137" i="8"/>
  <c r="T145" i="8" s="1"/>
  <c r="Q188" i="8"/>
  <c r="Q147" i="10" s="1"/>
  <c r="O183" i="8"/>
  <c r="P183" i="8"/>
  <c r="H130" i="8"/>
  <c r="H132" i="8" s="1"/>
  <c r="H219" i="8"/>
  <c r="L170" i="8"/>
  <c r="M219" i="8"/>
  <c r="M232" i="8" s="1"/>
  <c r="M130" i="10" s="1"/>
  <c r="M130" i="8"/>
  <c r="M132" i="8" s="1"/>
  <c r="P170" i="8"/>
  <c r="P176" i="8"/>
  <c r="N219" i="8"/>
  <c r="N220" i="8" s="1"/>
  <c r="N130" i="8"/>
  <c r="O129" i="8"/>
  <c r="P249" i="8"/>
  <c r="P200" i="8"/>
  <c r="P94" i="10" s="1"/>
  <c r="P70" i="8"/>
  <c r="P60" i="10" s="1"/>
  <c r="P182" i="8"/>
  <c r="P202" i="8"/>
  <c r="P69" i="8"/>
  <c r="P55" i="10" s="1"/>
  <c r="O225" i="8"/>
  <c r="K206" i="8"/>
  <c r="O206" i="8" s="1"/>
  <c r="K214" i="8"/>
  <c r="K87" i="10" s="1"/>
  <c r="L163" i="9"/>
  <c r="L14" i="9"/>
  <c r="L35" i="7" s="1"/>
  <c r="L145" i="9"/>
  <c r="L16" i="9"/>
  <c r="L47" i="7" s="1"/>
  <c r="L15" i="9"/>
  <c r="L43" i="7" s="1"/>
  <c r="Q145" i="9"/>
  <c r="R249" i="8"/>
  <c r="R70" i="8"/>
  <c r="R60" i="10" s="1"/>
  <c r="R182" i="8"/>
  <c r="R202" i="8"/>
  <c r="R200" i="8"/>
  <c r="R94" i="10" s="1"/>
  <c r="M163" i="9"/>
  <c r="M145" i="9"/>
  <c r="M14" i="9"/>
  <c r="M35" i="7" s="1"/>
  <c r="M15" i="9"/>
  <c r="M43" i="7" s="1"/>
  <c r="M16" i="9"/>
  <c r="M47" i="7" s="1"/>
  <c r="L137" i="8"/>
  <c r="L145" i="8" s="1"/>
  <c r="L156" i="8" s="1"/>
  <c r="F165" i="8"/>
  <c r="F176" i="8"/>
  <c r="Y24" i="8"/>
  <c r="X24" i="8" s="1"/>
  <c r="O24" i="8"/>
  <c r="I27" i="9"/>
  <c r="I28" i="9"/>
  <c r="K168" i="9"/>
  <c r="K80" i="9"/>
  <c r="K81" i="9"/>
  <c r="K78" i="9"/>
  <c r="K82" i="9"/>
  <c r="K79" i="9"/>
  <c r="O70" i="9"/>
  <c r="O82" i="9" s="1"/>
  <c r="L142" i="10"/>
  <c r="H214" i="8"/>
  <c r="H87" i="10" s="1"/>
  <c r="H206" i="8"/>
  <c r="K27" i="9"/>
  <c r="K28" i="9"/>
  <c r="Y151" i="9"/>
  <c r="Y155" i="9"/>
  <c r="Y252" i="8"/>
  <c r="L220" i="8"/>
  <c r="AB239" i="8"/>
  <c r="AA245" i="8"/>
  <c r="N163" i="9"/>
  <c r="N15" i="9"/>
  <c r="N43" i="7" s="1"/>
  <c r="N14" i="9"/>
  <c r="N35" i="7" s="1"/>
  <c r="J120" i="8"/>
  <c r="T34" i="3" s="1"/>
  <c r="J165" i="8"/>
  <c r="K176" i="8"/>
  <c r="K165" i="8"/>
  <c r="J302" i="8"/>
  <c r="J303" i="8" s="1"/>
  <c r="F303" i="8"/>
  <c r="K264" i="8"/>
  <c r="K265" i="8" s="1"/>
  <c r="K273" i="8"/>
  <c r="K103" i="10" s="1"/>
  <c r="O267" i="8"/>
  <c r="L307" i="8"/>
  <c r="L309" i="8" s="1"/>
  <c r="L159" i="10" s="1"/>
  <c r="N186" i="8"/>
  <c r="N125" i="10" s="1"/>
  <c r="L225" i="8"/>
  <c r="L273" i="8"/>
  <c r="L103" i="10" s="1"/>
  <c r="L264" i="8"/>
  <c r="L265" i="8" s="1"/>
  <c r="O136" i="9"/>
  <c r="O17" i="10" s="1"/>
  <c r="O60" i="9"/>
  <c r="G170" i="8"/>
  <c r="M225" i="8"/>
  <c r="M273" i="8"/>
  <c r="M103" i="10" s="1"/>
  <c r="M264" i="8"/>
  <c r="M265" i="8" s="1"/>
  <c r="N16" i="9"/>
  <c r="N47" i="7" s="1"/>
  <c r="T136" i="9"/>
  <c r="T17" i="10" s="1"/>
  <c r="G310" i="8"/>
  <c r="G143" i="8"/>
  <c r="G145" i="8" s="1"/>
  <c r="G156" i="8" s="1"/>
  <c r="P186" i="8"/>
  <c r="P125" i="10" s="1"/>
  <c r="S252" i="8"/>
  <c r="M308" i="8"/>
  <c r="M154" i="10" s="1"/>
  <c r="P273" i="8"/>
  <c r="P103" i="10" s="1"/>
  <c r="Q273" i="8"/>
  <c r="Q103" i="10" s="1"/>
  <c r="AD90" i="8"/>
  <c r="G307" i="8"/>
  <c r="F308" i="8"/>
  <c r="F154" i="10" s="1"/>
  <c r="R186" i="8"/>
  <c r="R125" i="10" s="1"/>
  <c r="T201" i="8"/>
  <c r="T77" i="10" s="1"/>
  <c r="G214" i="8"/>
  <c r="G87" i="10" s="1"/>
  <c r="T246" i="8"/>
  <c r="H165" i="8"/>
  <c r="P145" i="9"/>
  <c r="T16" i="9"/>
  <c r="F117" i="16" s="1"/>
  <c r="P163" i="9"/>
  <c r="P15" i="9"/>
  <c r="P43" i="7" s="1"/>
  <c r="P16" i="9"/>
  <c r="P47" i="7" s="1"/>
  <c r="I58" i="9"/>
  <c r="I33" i="9"/>
  <c r="I41" i="9" s="1"/>
  <c r="J34" i="9"/>
  <c r="N168" i="9"/>
  <c r="P168" i="9"/>
  <c r="N82" i="9"/>
  <c r="N80" i="9"/>
  <c r="N78" i="9"/>
  <c r="N79" i="9"/>
  <c r="T188" i="8"/>
  <c r="T147" i="10" s="1"/>
  <c r="H303" i="8"/>
  <c r="I302" i="8"/>
  <c r="I303" i="8" s="1"/>
  <c r="S15" i="9"/>
  <c r="S43" i="7" s="1"/>
  <c r="S145" i="9"/>
  <c r="S31" i="7" s="1"/>
  <c r="S163" i="9"/>
  <c r="S16" i="9"/>
  <c r="S47" i="7" s="1"/>
  <c r="S14" i="9"/>
  <c r="S35" i="7" s="1"/>
  <c r="T148" i="9"/>
  <c r="T27" i="10"/>
  <c r="O59" i="9"/>
  <c r="I259" i="8"/>
  <c r="I260" i="8" s="1"/>
  <c r="T307" i="8"/>
  <c r="T309" i="8" s="1"/>
  <c r="T159" i="10" s="1"/>
  <c r="P308" i="8"/>
  <c r="P154" i="10" s="1"/>
  <c r="T154" i="10" s="1"/>
  <c r="P309" i="8"/>
  <c r="P159" i="10" s="1"/>
  <c r="N57" i="9"/>
  <c r="N50" i="9"/>
  <c r="N55" i="9"/>
  <c r="N85" i="10" s="1"/>
  <c r="N54" i="9"/>
  <c r="N84" i="10" s="1"/>
  <c r="O45" i="9"/>
  <c r="Y245" i="8"/>
  <c r="N264" i="8"/>
  <c r="N265" i="8" s="1"/>
  <c r="N302" i="8"/>
  <c r="N303" i="8" s="1"/>
  <c r="M303" i="8"/>
  <c r="P14" i="9"/>
  <c r="P35" i="7" s="1"/>
  <c r="F143" i="8"/>
  <c r="F145" i="8" s="1"/>
  <c r="F156" i="8" s="1"/>
  <c r="H252" i="8"/>
  <c r="L259" i="8"/>
  <c r="L260" i="8" s="1"/>
  <c r="T266" i="8"/>
  <c r="T283" i="8"/>
  <c r="Q55" i="9"/>
  <c r="Q85" i="10" s="1"/>
  <c r="Q57" i="9"/>
  <c r="Q65" i="9" s="1"/>
  <c r="Q54" i="9"/>
  <c r="Q84" i="10" s="1"/>
  <c r="Q53" i="9"/>
  <c r="Q83" i="10" s="1"/>
  <c r="J142" i="8"/>
  <c r="O240" i="8"/>
  <c r="O239" i="8"/>
  <c r="M259" i="8"/>
  <c r="M260" i="8" s="1"/>
  <c r="N145" i="8"/>
  <c r="N154" i="8"/>
  <c r="O154" i="8" s="1"/>
  <c r="O151" i="8"/>
  <c r="G201" i="8"/>
  <c r="G77" i="10" s="1"/>
  <c r="O145" i="8"/>
  <c r="S176" i="8"/>
  <c r="S165" i="8"/>
  <c r="R302" i="8"/>
  <c r="R303" i="8" s="1"/>
  <c r="I308" i="8"/>
  <c r="I154" i="10" s="1"/>
  <c r="I134" i="9"/>
  <c r="O151" i="9"/>
  <c r="P55" i="9"/>
  <c r="P85" i="10" s="1"/>
  <c r="P50" i="9"/>
  <c r="P54" i="9"/>
  <c r="P84" i="10" s="1"/>
  <c r="P57" i="9"/>
  <c r="P53" i="9"/>
  <c r="P83" i="10" s="1"/>
  <c r="AD155" i="9"/>
  <c r="I264" i="8"/>
  <c r="I265" i="8" s="1"/>
  <c r="K41" i="9"/>
  <c r="K43" i="9"/>
  <c r="K38" i="9"/>
  <c r="K57" i="9"/>
  <c r="M27" i="9"/>
  <c r="L43" i="9"/>
  <c r="L41" i="9"/>
  <c r="L38" i="9"/>
  <c r="Y153" i="9"/>
  <c r="T146" i="9"/>
  <c r="T34" i="7" s="1"/>
  <c r="T52" i="7" s="1"/>
  <c r="N27" i="9"/>
  <c r="N28" i="9"/>
  <c r="AA82" i="9"/>
  <c r="AA168" i="9"/>
  <c r="AA80" i="9"/>
  <c r="AA81" i="9"/>
  <c r="AA78" i="9"/>
  <c r="AD70" i="9"/>
  <c r="R201" i="8"/>
  <c r="R77" i="10" s="1"/>
  <c r="N43" i="9"/>
  <c r="N38" i="9"/>
  <c r="N42" i="9"/>
  <c r="J283" i="8"/>
  <c r="P27" i="9"/>
  <c r="O33" i="9"/>
  <c r="F79" i="9"/>
  <c r="F78" i="9"/>
  <c r="F82" i="9"/>
  <c r="F80" i="9"/>
  <c r="J70" i="9"/>
  <c r="J82" i="9" s="1"/>
  <c r="T124" i="8"/>
  <c r="T132" i="8" s="1"/>
  <c r="P165" i="8"/>
  <c r="I169" i="8"/>
  <c r="I137" i="8"/>
  <c r="N308" i="8"/>
  <c r="N154" i="10" s="1"/>
  <c r="Q165" i="8"/>
  <c r="H259" i="8"/>
  <c r="H260" i="8" s="1"/>
  <c r="F260" i="8"/>
  <c r="J27" i="10"/>
  <c r="R165" i="8"/>
  <c r="R176" i="8"/>
  <c r="O201" i="8"/>
  <c r="O77" i="10" s="1"/>
  <c r="R42" i="9"/>
  <c r="R41" i="9"/>
  <c r="R38" i="9"/>
  <c r="AG168" i="9"/>
  <c r="AG82" i="9"/>
  <c r="AG78" i="9"/>
  <c r="AG81" i="9"/>
  <c r="AG79" i="9"/>
  <c r="AD154" i="9"/>
  <c r="AE172" i="9"/>
  <c r="AG80" i="9"/>
  <c r="C30" i="10"/>
  <c r="C29" i="10"/>
  <c r="C28" i="10"/>
  <c r="I78" i="9"/>
  <c r="I168" i="9"/>
  <c r="I79" i="9"/>
  <c r="AE80" i="9"/>
  <c r="AE79" i="9"/>
  <c r="AE81" i="9"/>
  <c r="T154" i="9"/>
  <c r="I81" i="9"/>
  <c r="M43" i="9"/>
  <c r="O134" i="9"/>
  <c r="J136" i="9"/>
  <c r="J17" i="10" s="1"/>
  <c r="O27" i="10"/>
  <c r="S55" i="9"/>
  <c r="S85" i="10" s="1"/>
  <c r="S50" i="9"/>
  <c r="S57" i="9"/>
  <c r="S53" i="9"/>
  <c r="S83" i="10" s="1"/>
  <c r="C24" i="10"/>
  <c r="C25" i="10"/>
  <c r="C23" i="10"/>
  <c r="Z67" i="11"/>
  <c r="Z10" i="11"/>
  <c r="M82" i="9"/>
  <c r="M168" i="9"/>
  <c r="O155" i="9"/>
  <c r="I80" i="9"/>
  <c r="L27" i="14"/>
  <c r="C29" i="19"/>
  <c r="C29" i="18"/>
  <c r="C105" i="9"/>
  <c r="C31" i="19"/>
  <c r="C31" i="18"/>
  <c r="C119" i="9"/>
  <c r="M79" i="9"/>
  <c r="O147" i="9"/>
  <c r="O42" i="7" s="1"/>
  <c r="O64" i="7" s="1"/>
  <c r="F55" i="9"/>
  <c r="F85" i="10" s="1"/>
  <c r="R80" i="9"/>
  <c r="R81" i="9"/>
  <c r="R79" i="9"/>
  <c r="R78" i="9"/>
  <c r="M78" i="9"/>
  <c r="T135" i="9"/>
  <c r="T12" i="10" s="1"/>
  <c r="F15" i="9"/>
  <c r="F43" i="7" s="1"/>
  <c r="J135" i="9"/>
  <c r="J12" i="10" s="1"/>
  <c r="G57" i="9"/>
  <c r="G53" i="9"/>
  <c r="G83" i="10" s="1"/>
  <c r="F57" i="9"/>
  <c r="F64" i="9" s="1"/>
  <c r="S79" i="9"/>
  <c r="S82" i="9"/>
  <c r="S168" i="9"/>
  <c r="S81" i="9"/>
  <c r="S78" i="9"/>
  <c r="O135" i="9"/>
  <c r="O12" i="10" s="1"/>
  <c r="J32" i="10"/>
  <c r="H50" i="9"/>
  <c r="H57" i="9"/>
  <c r="H55" i="9"/>
  <c r="H85" i="10" s="1"/>
  <c r="J60" i="9"/>
  <c r="O58" i="9"/>
  <c r="R308" i="8"/>
  <c r="R154" i="10" s="1"/>
  <c r="H163" i="9"/>
  <c r="H31" i="7" s="1"/>
  <c r="M57" i="9"/>
  <c r="M65" i="9" s="1"/>
  <c r="H143" i="8"/>
  <c r="H145" i="8" s="1"/>
  <c r="H156" i="8" s="1"/>
  <c r="O22" i="10"/>
  <c r="T32" i="10"/>
  <c r="K53" i="9"/>
  <c r="K83" i="10" s="1"/>
  <c r="K54" i="9"/>
  <c r="K84" i="10" s="1"/>
  <c r="S54" i="9"/>
  <c r="S84" i="10" s="1"/>
  <c r="J140" i="8"/>
  <c r="F29" i="9"/>
  <c r="Y70" i="9"/>
  <c r="Y78" i="9" s="1"/>
  <c r="Z168" i="9"/>
  <c r="S308" i="8"/>
  <c r="S154" i="10" s="1"/>
  <c r="K145" i="9"/>
  <c r="K16" i="9"/>
  <c r="K47" i="7" s="1"/>
  <c r="O7" i="9"/>
  <c r="C26" i="19"/>
  <c r="C26" i="18"/>
  <c r="C91" i="9"/>
  <c r="C28" i="19"/>
  <c r="C28" i="18"/>
  <c r="F41" i="9"/>
  <c r="F42" i="9"/>
  <c r="T58" i="9"/>
  <c r="AD154" i="10"/>
  <c r="G163" i="9"/>
  <c r="G31" i="7" s="1"/>
  <c r="G14" i="9"/>
  <c r="C27" i="19"/>
  <c r="C27" i="18"/>
  <c r="C30" i="19"/>
  <c r="C30" i="18"/>
  <c r="C112" i="9"/>
  <c r="Q79" i="9"/>
  <c r="Q168" i="9"/>
  <c r="Q81" i="9"/>
  <c r="T70" i="9"/>
  <c r="AD151" i="9"/>
  <c r="I164" i="9"/>
  <c r="I34" i="7" s="1"/>
  <c r="I52" i="7" s="1"/>
  <c r="N146" i="9"/>
  <c r="K164" i="9"/>
  <c r="K52" i="7" s="1"/>
  <c r="I53" i="9"/>
  <c r="I83" i="10" s="1"/>
  <c r="O153" i="9"/>
  <c r="Q163" i="9"/>
  <c r="O146" i="9"/>
  <c r="Z81" i="9"/>
  <c r="Z80" i="9"/>
  <c r="S42" i="9"/>
  <c r="L57" i="9"/>
  <c r="L54" i="9"/>
  <c r="L84" i="10" s="1"/>
  <c r="L53" i="9"/>
  <c r="L83" i="10" s="1"/>
  <c r="G168" i="9"/>
  <c r="G79" i="9"/>
  <c r="G78" i="9"/>
  <c r="AB78" i="9"/>
  <c r="AB168" i="9"/>
  <c r="AB79" i="9"/>
  <c r="AD153" i="9"/>
  <c r="AE171" i="9"/>
  <c r="AB82" i="9"/>
  <c r="G15" i="9"/>
  <c r="G43" i="7" s="1"/>
  <c r="T33" i="9"/>
  <c r="O32" i="10"/>
  <c r="Q38" i="9"/>
  <c r="M55" i="9"/>
  <c r="M85" i="10" s="1"/>
  <c r="M53" i="9"/>
  <c r="M83" i="10" s="1"/>
  <c r="I55" i="9"/>
  <c r="I85" i="10" s="1"/>
  <c r="H168" i="9"/>
  <c r="H78" i="9"/>
  <c r="H81" i="9"/>
  <c r="AC78" i="9"/>
  <c r="AC79" i="9"/>
  <c r="AC168" i="9"/>
  <c r="AC82" i="9"/>
  <c r="C12" i="10"/>
  <c r="C17" i="10"/>
  <c r="C7" i="10"/>
  <c r="C32" i="10"/>
  <c r="AD159" i="10"/>
  <c r="L168" i="9"/>
  <c r="L82" i="9"/>
  <c r="L80" i="9"/>
  <c r="AF82" i="9"/>
  <c r="AF81" i="9"/>
  <c r="AF78" i="9"/>
  <c r="R145" i="9"/>
  <c r="Y152" i="9"/>
  <c r="T152" i="9"/>
  <c r="L78" i="9"/>
  <c r="O75" i="11"/>
  <c r="O77" i="11"/>
  <c r="O76" i="11"/>
  <c r="O74" i="11"/>
  <c r="AN77" i="11"/>
  <c r="AN76" i="11"/>
  <c r="AN74" i="11"/>
  <c r="R57" i="9"/>
  <c r="R65" i="9" s="1"/>
  <c r="AY77" i="11"/>
  <c r="AY76" i="11"/>
  <c r="AY75" i="11"/>
  <c r="BB69" i="11"/>
  <c r="AY74" i="11"/>
  <c r="AZ76" i="11"/>
  <c r="AZ75" i="11"/>
  <c r="AZ77" i="11"/>
  <c r="AZ74" i="11"/>
  <c r="Y6" i="15"/>
  <c r="S6" i="15"/>
  <c r="F10" i="14"/>
  <c r="AE6" i="15"/>
  <c r="D71" i="11"/>
  <c r="C35" i="13"/>
  <c r="AN75" i="11"/>
  <c r="T151" i="9"/>
  <c r="AC76" i="11"/>
  <c r="AC75" i="11"/>
  <c r="AC74" i="11"/>
  <c r="AF69" i="11"/>
  <c r="AC77" i="11"/>
  <c r="N110" i="14"/>
  <c r="D22" i="14"/>
  <c r="N188" i="14"/>
  <c r="D17" i="14"/>
  <c r="B11" i="14"/>
  <c r="O212" i="14"/>
  <c r="BJ74" i="11"/>
  <c r="BJ77" i="11"/>
  <c r="BJ76" i="11"/>
  <c r="BL76" i="11"/>
  <c r="BL74" i="11"/>
  <c r="BL77" i="11"/>
  <c r="AV69" i="11"/>
  <c r="AV12" i="11"/>
  <c r="BL75" i="11"/>
  <c r="Q77" i="11"/>
  <c r="Q76" i="11"/>
  <c r="Q75" i="11"/>
  <c r="Q74" i="11"/>
  <c r="AP75" i="11"/>
  <c r="AP77" i="11"/>
  <c r="AP76" i="11"/>
  <c r="G25" i="13"/>
  <c r="O7" i="13" s="1"/>
  <c r="S77" i="11"/>
  <c r="S75" i="11"/>
  <c r="T74" i="11"/>
  <c r="T76" i="11"/>
  <c r="T75" i="11"/>
  <c r="K8" i="15"/>
  <c r="I9" i="15"/>
  <c r="I12" i="15"/>
  <c r="X6" i="15"/>
  <c r="AD6" i="15"/>
  <c r="AL6" i="15" s="1"/>
  <c r="AR6" i="15" s="1"/>
  <c r="R6" i="15"/>
  <c r="AD75" i="11"/>
  <c r="AD74" i="11"/>
  <c r="BA77" i="11"/>
  <c r="BA75" i="11"/>
  <c r="K76" i="11"/>
  <c r="T77" i="11"/>
  <c r="G75" i="11"/>
  <c r="G74" i="11"/>
  <c r="G77" i="11"/>
  <c r="AE76" i="11"/>
  <c r="AE74" i="11"/>
  <c r="S76" i="11"/>
  <c r="H74" i="11"/>
  <c r="H77" i="11"/>
  <c r="BC77" i="11"/>
  <c r="BC75" i="11"/>
  <c r="AD77" i="11"/>
  <c r="I75" i="11"/>
  <c r="I77" i="11"/>
  <c r="AG76" i="11"/>
  <c r="AG74" i="11"/>
  <c r="BD76" i="11"/>
  <c r="BD75" i="11"/>
  <c r="BD74" i="11"/>
  <c r="AD76" i="11"/>
  <c r="AE77" i="11"/>
  <c r="F110" i="14"/>
  <c r="F112" i="14" s="1"/>
  <c r="D16" i="14"/>
  <c r="D21" i="14"/>
  <c r="F188" i="14"/>
  <c r="F190" i="14" s="1"/>
  <c r="J69" i="11"/>
  <c r="AH75" i="11"/>
  <c r="AH74" i="11"/>
  <c r="AH77" i="11"/>
  <c r="AG77" i="11"/>
  <c r="K75" i="11"/>
  <c r="K77" i="11"/>
  <c r="BF76" i="11"/>
  <c r="BF74" i="11"/>
  <c r="AE75" i="11"/>
  <c r="AH76" i="11"/>
  <c r="G37" i="13"/>
  <c r="L74" i="11"/>
  <c r="L77" i="11"/>
  <c r="L76" i="11"/>
  <c r="AJ75" i="11"/>
  <c r="AJ77" i="11"/>
  <c r="AG75" i="11"/>
  <c r="M77" i="11"/>
  <c r="M76" i="11"/>
  <c r="S74" i="11"/>
  <c r="AJ76" i="11"/>
  <c r="AL75" i="11"/>
  <c r="AL77" i="11"/>
  <c r="AL76" i="11"/>
  <c r="AM76" i="11"/>
  <c r="BI77" i="11"/>
  <c r="F21" i="12"/>
  <c r="G21" i="12" s="1"/>
  <c r="BE74" i="11"/>
  <c r="R75" i="11"/>
  <c r="AI77" i="11"/>
  <c r="E28" i="12"/>
  <c r="I20" i="14"/>
  <c r="N76" i="11"/>
  <c r="AO76" i="11"/>
  <c r="BK77" i="11"/>
  <c r="F18" i="12"/>
  <c r="G18" i="12" s="1"/>
  <c r="F28" i="12"/>
  <c r="G28" i="12" s="1"/>
  <c r="J136" i="14"/>
  <c r="V7" i="15"/>
  <c r="AH7" i="15"/>
  <c r="AB7" i="15"/>
  <c r="E93" i="17"/>
  <c r="BG74" i="11"/>
  <c r="AK77" i="11"/>
  <c r="K136" i="14"/>
  <c r="BH74" i="11"/>
  <c r="P76" i="11"/>
  <c r="G268" i="14"/>
  <c r="K268" i="14" s="1"/>
  <c r="F15" i="12"/>
  <c r="G15" i="12" s="1"/>
  <c r="F25" i="12"/>
  <c r="G25" i="12" s="1"/>
  <c r="B33" i="17"/>
  <c r="BI74" i="11"/>
  <c r="AM77" i="11"/>
  <c r="E22" i="12"/>
  <c r="B9" i="14"/>
  <c r="F15" i="14"/>
  <c r="R12" i="12"/>
  <c r="S12" i="12" s="1"/>
  <c r="T12" i="12" s="1"/>
  <c r="U12" i="12" s="1"/>
  <c r="F22" i="12"/>
  <c r="G22" i="12" s="1"/>
  <c r="K139" i="14"/>
  <c r="K138" i="14"/>
  <c r="K212" i="14"/>
  <c r="J138" i="14"/>
  <c r="J139" i="14"/>
  <c r="AK74" i="11"/>
  <c r="F19" i="12"/>
  <c r="G19" i="12" s="1"/>
  <c r="F29" i="12"/>
  <c r="G29" i="12" s="1"/>
  <c r="AF6" i="15"/>
  <c r="T6" i="15"/>
  <c r="C8" i="17"/>
  <c r="E6" i="17"/>
  <c r="B10" i="14"/>
  <c r="C12" i="17" a="1"/>
  <c r="B158" i="17"/>
  <c r="P157" i="17"/>
  <c r="F16" i="12"/>
  <c r="G16" i="12" s="1"/>
  <c r="F26" i="12"/>
  <c r="G26" i="12" s="1"/>
  <c r="B97" i="17"/>
  <c r="C24" i="17"/>
  <c r="E126" i="17"/>
  <c r="F23" i="12"/>
  <c r="G23" i="12" s="1"/>
  <c r="J98" i="14"/>
  <c r="R98" i="14" s="1"/>
  <c r="P79" i="17"/>
  <c r="B80" i="17"/>
  <c r="Q125" i="17"/>
  <c r="H10" i="14"/>
  <c r="P78" i="17"/>
  <c r="F20" i="12"/>
  <c r="G20" i="12" s="1"/>
  <c r="G266" i="14"/>
  <c r="K266" i="14" s="1"/>
  <c r="V6" i="15"/>
  <c r="B48" i="17"/>
  <c r="J40" i="18"/>
  <c r="J24" i="18"/>
  <c r="M10" i="18"/>
  <c r="O98" i="14"/>
  <c r="Z6" i="15"/>
  <c r="AA6" i="15"/>
  <c r="B128" i="17"/>
  <c r="R7" i="15"/>
  <c r="AD7" i="15"/>
  <c r="B111" i="17"/>
  <c r="P64" i="17"/>
  <c r="B143" i="17"/>
  <c r="B17" i="17"/>
  <c r="K40" i="19"/>
  <c r="K24" i="19"/>
  <c r="O10" i="19"/>
  <c r="M24" i="19"/>
  <c r="R111" i="14" l="1"/>
  <c r="R112" i="14" s="1"/>
  <c r="E109" i="17"/>
  <c r="Q109" i="17" s="1"/>
  <c r="Q108" i="17"/>
  <c r="E77" i="17"/>
  <c r="Q77" i="17" s="1"/>
  <c r="E61" i="17"/>
  <c r="E62" i="17" s="1"/>
  <c r="Q62" i="17" s="1"/>
  <c r="Q45" i="17"/>
  <c r="E45" i="17"/>
  <c r="E46" i="17" s="1"/>
  <c r="Q46" i="17" s="1"/>
  <c r="E29" i="17"/>
  <c r="Q29" i="17" s="1"/>
  <c r="Q28" i="17"/>
  <c r="E13" i="17"/>
  <c r="E19" i="17" s="1"/>
  <c r="Q12" i="17"/>
  <c r="G40" i="13"/>
  <c r="P90" i="14"/>
  <c r="G90" i="14"/>
  <c r="I90" i="14"/>
  <c r="H245" i="14"/>
  <c r="H229" i="14"/>
  <c r="O23" i="13"/>
  <c r="P23" i="13" s="1"/>
  <c r="M23" i="13"/>
  <c r="L23" i="13" s="1"/>
  <c r="N33" i="13"/>
  <c r="I153" i="14"/>
  <c r="J153" i="14" s="1"/>
  <c r="G153" i="14"/>
  <c r="F153" i="14" s="1"/>
  <c r="N112" i="14"/>
  <c r="J111" i="14"/>
  <c r="J112" i="14" s="1"/>
  <c r="N190" i="14"/>
  <c r="G265" i="14"/>
  <c r="K265" i="14" s="1"/>
  <c r="H169" i="14"/>
  <c r="AY49" i="11"/>
  <c r="AZ49" i="11"/>
  <c r="BA49" i="11"/>
  <c r="BB49" i="11"/>
  <c r="BC49" i="11"/>
  <c r="BD49" i="11"/>
  <c r="BE49" i="11"/>
  <c r="BF49" i="11"/>
  <c r="BG49" i="11"/>
  <c r="BH49" i="11"/>
  <c r="BI49" i="11"/>
  <c r="BJ49" i="11"/>
  <c r="BK49" i="11"/>
  <c r="BL49" i="11"/>
  <c r="BM49" i="11"/>
  <c r="BN49" i="11"/>
  <c r="AC49" i="11"/>
  <c r="AD49" i="11"/>
  <c r="AE49" i="11"/>
  <c r="AF49" i="11"/>
  <c r="AG49" i="11"/>
  <c r="AH49" i="11"/>
  <c r="AI49" i="11"/>
  <c r="AJ49" i="11"/>
  <c r="AK49" i="11"/>
  <c r="AL49" i="11"/>
  <c r="AM49" i="11"/>
  <c r="AN49" i="11"/>
  <c r="AO49" i="11"/>
  <c r="AP49" i="11"/>
  <c r="AQ49" i="11"/>
  <c r="AR49" i="11"/>
  <c r="AV72" i="11"/>
  <c r="AV32" i="11"/>
  <c r="AV15" i="11"/>
  <c r="Z72" i="11"/>
  <c r="Z15" i="11" s="1"/>
  <c r="Z32" i="11"/>
  <c r="D72" i="11"/>
  <c r="AV31" i="11"/>
  <c r="AV14" i="11"/>
  <c r="AV71" i="11"/>
  <c r="Z31" i="11"/>
  <c r="Z71" i="11"/>
  <c r="Z14" i="11" s="1"/>
  <c r="AV70" i="11"/>
  <c r="AV13" i="11"/>
  <c r="AV30" i="11"/>
  <c r="AY58" i="11"/>
  <c r="AY57" i="11"/>
  <c r="AY59" i="11"/>
  <c r="AY56" i="11"/>
  <c r="AZ56" i="11"/>
  <c r="AZ57" i="11"/>
  <c r="AZ59" i="11"/>
  <c r="AZ58" i="11"/>
  <c r="BA57" i="11"/>
  <c r="BA56" i="11"/>
  <c r="BA58" i="11"/>
  <c r="BA59" i="11"/>
  <c r="BB57" i="11"/>
  <c r="BB58" i="11"/>
  <c r="BB59" i="11"/>
  <c r="BB56" i="11"/>
  <c r="BC57" i="11"/>
  <c r="BC58" i="11"/>
  <c r="BC59" i="11"/>
  <c r="BC56" i="11"/>
  <c r="BD58" i="11"/>
  <c r="BD56" i="11"/>
  <c r="BD57" i="11"/>
  <c r="BD59" i="11"/>
  <c r="BE57" i="11"/>
  <c r="BE58" i="11"/>
  <c r="BE59" i="11"/>
  <c r="BE56" i="11"/>
  <c r="BF57" i="11"/>
  <c r="BF56" i="11"/>
  <c r="BF58" i="11"/>
  <c r="BF59" i="11"/>
  <c r="BG57" i="11"/>
  <c r="BG58" i="11"/>
  <c r="BG59" i="11"/>
  <c r="BG56" i="11"/>
  <c r="BH57" i="11"/>
  <c r="BH56" i="11"/>
  <c r="BH59" i="11"/>
  <c r="BH58" i="11"/>
  <c r="BI57" i="11"/>
  <c r="BI58" i="11"/>
  <c r="BI56" i="11"/>
  <c r="BI59" i="11"/>
  <c r="BJ57" i="11"/>
  <c r="BJ56" i="11"/>
  <c r="BJ58" i="11"/>
  <c r="BJ59" i="11"/>
  <c r="BK57" i="11"/>
  <c r="BK59" i="11"/>
  <c r="BK56" i="11"/>
  <c r="BK58" i="11"/>
  <c r="BL59" i="11"/>
  <c r="BL57" i="11"/>
  <c r="BL56" i="11"/>
  <c r="BL58" i="11"/>
  <c r="BM56" i="11"/>
  <c r="BM58" i="11"/>
  <c r="BM57" i="11"/>
  <c r="BM59" i="11"/>
  <c r="BN58" i="11"/>
  <c r="BN59" i="11"/>
  <c r="BN56" i="11"/>
  <c r="BN57" i="11"/>
  <c r="Z30" i="11"/>
  <c r="Z70" i="11"/>
  <c r="Z13" i="11" s="1"/>
  <c r="AC58" i="11"/>
  <c r="AC59" i="11"/>
  <c r="AC56" i="11"/>
  <c r="AC57" i="11"/>
  <c r="AD57" i="11"/>
  <c r="AD58" i="11"/>
  <c r="AD56" i="11"/>
  <c r="AD59" i="11"/>
  <c r="AE59" i="11"/>
  <c r="AE58" i="11"/>
  <c r="AE57" i="11"/>
  <c r="AE56" i="11"/>
  <c r="AF56" i="11"/>
  <c r="AF58" i="11"/>
  <c r="AF57" i="11"/>
  <c r="AF59" i="11"/>
  <c r="AG56" i="11"/>
  <c r="AG58" i="11"/>
  <c r="AG57" i="11"/>
  <c r="AG59" i="11"/>
  <c r="AH59" i="11"/>
  <c r="AH57" i="11"/>
  <c r="AH56" i="11"/>
  <c r="AH58" i="11"/>
  <c r="AI56" i="11"/>
  <c r="AI57" i="11"/>
  <c r="AI58" i="11"/>
  <c r="AI59" i="11"/>
  <c r="AJ58" i="11"/>
  <c r="AJ59" i="11"/>
  <c r="AJ56" i="11"/>
  <c r="AJ57" i="11"/>
  <c r="AK58" i="11"/>
  <c r="AK57" i="11"/>
  <c r="AK59" i="11"/>
  <c r="AK56" i="11"/>
  <c r="AL56" i="11"/>
  <c r="AL57" i="11"/>
  <c r="AL59" i="11"/>
  <c r="AL58" i="11"/>
  <c r="AM56" i="11"/>
  <c r="AM58" i="11"/>
  <c r="AM59" i="11"/>
  <c r="AM57" i="11"/>
  <c r="AN57" i="11"/>
  <c r="AN56" i="11"/>
  <c r="AN59" i="11"/>
  <c r="AN58" i="11"/>
  <c r="AO58" i="11"/>
  <c r="AO57" i="11"/>
  <c r="AO59" i="11"/>
  <c r="AO56" i="11"/>
  <c r="AP58" i="11"/>
  <c r="AP59" i="11"/>
  <c r="AP57" i="11"/>
  <c r="AP56" i="11"/>
  <c r="AQ56" i="11"/>
  <c r="AQ57" i="11"/>
  <c r="AQ59" i="11"/>
  <c r="AQ58" i="11"/>
  <c r="AR57" i="11"/>
  <c r="AR56" i="11"/>
  <c r="AR58" i="11"/>
  <c r="AR59" i="11"/>
  <c r="C34" i="13"/>
  <c r="D70" i="11"/>
  <c r="G56" i="11"/>
  <c r="G59" i="11"/>
  <c r="G57" i="11"/>
  <c r="G58" i="11"/>
  <c r="H57" i="11"/>
  <c r="H56" i="11"/>
  <c r="H59" i="11"/>
  <c r="H58" i="11"/>
  <c r="I57" i="11"/>
  <c r="I58" i="11"/>
  <c r="I56" i="11"/>
  <c r="I59" i="11"/>
  <c r="J57" i="11"/>
  <c r="J59" i="11"/>
  <c r="J58" i="11"/>
  <c r="J56" i="11"/>
  <c r="K59" i="11"/>
  <c r="K56" i="11"/>
  <c r="K57" i="11"/>
  <c r="K58" i="11"/>
  <c r="L58" i="11"/>
  <c r="L57" i="11"/>
  <c r="L56" i="11"/>
  <c r="L59" i="11"/>
  <c r="M56" i="11"/>
  <c r="M57" i="11"/>
  <c r="M59" i="11"/>
  <c r="M58" i="11"/>
  <c r="N59" i="11"/>
  <c r="N58" i="11"/>
  <c r="N56" i="11"/>
  <c r="N57" i="11"/>
  <c r="O59" i="11"/>
  <c r="O58" i="11"/>
  <c r="O57" i="11"/>
  <c r="O56" i="11"/>
  <c r="P59" i="11"/>
  <c r="P57" i="11"/>
  <c r="P56" i="11"/>
  <c r="P58" i="11"/>
  <c r="Q56" i="11"/>
  <c r="Q57" i="11"/>
  <c r="Q58" i="11"/>
  <c r="Q59" i="11"/>
  <c r="R57" i="11"/>
  <c r="R56" i="11"/>
  <c r="R58" i="11"/>
  <c r="R59" i="11"/>
  <c r="S56" i="11"/>
  <c r="S57" i="11"/>
  <c r="S59" i="11"/>
  <c r="S58" i="11"/>
  <c r="T59" i="11"/>
  <c r="T56" i="11"/>
  <c r="T58" i="11"/>
  <c r="T57" i="11"/>
  <c r="U58" i="11"/>
  <c r="U59" i="11"/>
  <c r="U57" i="11"/>
  <c r="U56" i="11"/>
  <c r="V58" i="11"/>
  <c r="V57" i="11"/>
  <c r="V56" i="11"/>
  <c r="V59" i="11"/>
  <c r="F143" i="14"/>
  <c r="AF11" i="9"/>
  <c r="AF38" i="7"/>
  <c r="AG38" i="7"/>
  <c r="AG11" i="9"/>
  <c r="AJ37" i="7"/>
  <c r="AE11" i="9"/>
  <c r="AE38" i="7"/>
  <c r="S50" i="10"/>
  <c r="T50" i="10" s="1"/>
  <c r="S221" i="8"/>
  <c r="Q30" i="8"/>
  <c r="Q32" i="8" s="1"/>
  <c r="O30" i="8"/>
  <c r="O32" i="8" s="1"/>
  <c r="N39" i="8"/>
  <c r="N59" i="8" s="1"/>
  <c r="N61" i="8" s="1"/>
  <c r="F30" i="8"/>
  <c r="F32" i="8" s="1"/>
  <c r="F39" i="8" s="1"/>
  <c r="S30" i="8"/>
  <c r="S32" i="8" s="1"/>
  <c r="S66" i="8" s="1"/>
  <c r="G183" i="8"/>
  <c r="G120" i="10" s="1"/>
  <c r="G30" i="8"/>
  <c r="G32" i="8" s="1"/>
  <c r="H188" i="8"/>
  <c r="H147" i="10" s="1"/>
  <c r="H30" i="8"/>
  <c r="H32" i="8" s="1"/>
  <c r="H183" i="8"/>
  <c r="H120" i="10" s="1"/>
  <c r="G188" i="8"/>
  <c r="G147" i="10" s="1"/>
  <c r="V65" i="3"/>
  <c r="V68" i="3" s="1"/>
  <c r="V93" i="3" s="1"/>
  <c r="F46" i="4" s="1"/>
  <c r="R226" i="8"/>
  <c r="Q221" i="8"/>
  <c r="F188" i="8"/>
  <c r="F147" i="10" s="1"/>
  <c r="T226" i="8"/>
  <c r="M226" i="8"/>
  <c r="T187" i="8"/>
  <c r="T142" i="10" s="1"/>
  <c r="T4" i="10"/>
  <c r="H226" i="8"/>
  <c r="T63" i="8"/>
  <c r="T286" i="8" s="1"/>
  <c r="J105" i="3"/>
  <c r="G221" i="8"/>
  <c r="L158" i="8"/>
  <c r="U105" i="3"/>
  <c r="E51" i="4" s="1"/>
  <c r="G226" i="8"/>
  <c r="L226" i="8"/>
  <c r="Q226" i="8"/>
  <c r="T51" i="3"/>
  <c r="T106" i="3" s="1"/>
  <c r="D52" i="4" s="1"/>
  <c r="V6" i="3"/>
  <c r="T28" i="7"/>
  <c r="T112" i="10"/>
  <c r="H46" i="3"/>
  <c r="H94" i="3" s="1"/>
  <c r="U38" i="3"/>
  <c r="U104" i="3" s="1"/>
  <c r="E50" i="4" s="1"/>
  <c r="T74" i="10"/>
  <c r="Z143" i="10"/>
  <c r="R172" i="8"/>
  <c r="T60" i="8"/>
  <c r="T50" i="9" s="1"/>
  <c r="S226" i="8"/>
  <c r="S228" i="8" s="1"/>
  <c r="G158" i="8"/>
  <c r="J170" i="8"/>
  <c r="J172" i="8" s="1"/>
  <c r="J187" i="8"/>
  <c r="J142" i="10" s="1"/>
  <c r="O170" i="8"/>
  <c r="O172" i="8" s="1"/>
  <c r="O176" i="8"/>
  <c r="P178" i="8" s="1"/>
  <c r="AD185" i="7"/>
  <c r="AE185" i="7" s="1"/>
  <c r="Q67" i="8"/>
  <c r="Q40" i="10" s="1"/>
  <c r="Q68" i="8"/>
  <c r="Q45" i="10" s="1"/>
  <c r="O69" i="8"/>
  <c r="O55" i="10" s="1"/>
  <c r="O68" i="8"/>
  <c r="O45" i="10" s="1"/>
  <c r="G202" i="8"/>
  <c r="G68" i="8"/>
  <c r="G45" i="10" s="1"/>
  <c r="F186" i="8"/>
  <c r="F125" i="10" s="1"/>
  <c r="F68" i="8"/>
  <c r="F45" i="10" s="1"/>
  <c r="F67" i="8"/>
  <c r="F40" i="10" s="1"/>
  <c r="S68" i="8"/>
  <c r="S45" i="10" s="1"/>
  <c r="H67" i="8"/>
  <c r="H40" i="10" s="1"/>
  <c r="H68" i="8"/>
  <c r="H45" i="10" s="1"/>
  <c r="Q178" i="8"/>
  <c r="Q299" i="8" s="1"/>
  <c r="R178" i="8"/>
  <c r="R299" i="8" s="1"/>
  <c r="K178" i="8"/>
  <c r="K299" i="8" s="1"/>
  <c r="AA143" i="10"/>
  <c r="AB143" i="10"/>
  <c r="AC142" i="10"/>
  <c r="AC187" i="8" s="1"/>
  <c r="V145" i="10"/>
  <c r="U145" i="10"/>
  <c r="W143" i="10"/>
  <c r="X143" i="10"/>
  <c r="G178" i="8"/>
  <c r="G299" i="8" s="1"/>
  <c r="K232" i="8"/>
  <c r="K130" i="10" s="1"/>
  <c r="U65" i="3"/>
  <c r="U68" i="3" s="1"/>
  <c r="U93" i="3" s="1"/>
  <c r="E46" i="4" s="1"/>
  <c r="Q158" i="8"/>
  <c r="M178" i="8"/>
  <c r="M110" i="8" s="1"/>
  <c r="M158" i="8"/>
  <c r="N178" i="8"/>
  <c r="N110" i="8" s="1"/>
  <c r="Q172" i="8"/>
  <c r="V44" i="3"/>
  <c r="W24" i="8"/>
  <c r="X25" i="8"/>
  <c r="I46" i="3"/>
  <c r="I94" i="3" s="1"/>
  <c r="G309" i="8"/>
  <c r="G159" i="10" s="1"/>
  <c r="H178" i="8"/>
  <c r="H299" i="8" s="1"/>
  <c r="F172" i="8"/>
  <c r="V38" i="3"/>
  <c r="V51" i="3"/>
  <c r="W207" i="8"/>
  <c r="V83" i="8"/>
  <c r="S172" i="8"/>
  <c r="AC186" i="8"/>
  <c r="G92" i="7"/>
  <c r="AD183" i="7"/>
  <c r="T30" i="9"/>
  <c r="T31" i="9"/>
  <c r="T29" i="9"/>
  <c r="O31" i="9"/>
  <c r="O29" i="9"/>
  <c r="O30" i="9"/>
  <c r="J31" i="9"/>
  <c r="J29" i="9"/>
  <c r="J30" i="9"/>
  <c r="O128" i="7"/>
  <c r="G80" i="7"/>
  <c r="O109" i="8"/>
  <c r="L128" i="7"/>
  <c r="L116" i="7"/>
  <c r="Q128" i="7"/>
  <c r="H80" i="7"/>
  <c r="L92" i="7"/>
  <c r="L104" i="7"/>
  <c r="M116" i="7"/>
  <c r="T128" i="7"/>
  <c r="T208" i="8"/>
  <c r="T214" i="8" s="1"/>
  <c r="T87" i="10" s="1"/>
  <c r="K210" i="7"/>
  <c r="O209" i="7"/>
  <c r="K214" i="7"/>
  <c r="O78" i="9"/>
  <c r="P214" i="7"/>
  <c r="P210" i="7"/>
  <c r="T209" i="7"/>
  <c r="L214" i="7"/>
  <c r="L210" i="7"/>
  <c r="M214" i="7"/>
  <c r="M210" i="7"/>
  <c r="I214" i="7"/>
  <c r="I210" i="7"/>
  <c r="F70" i="8"/>
  <c r="F60" i="10" s="1"/>
  <c r="R80" i="7"/>
  <c r="H214" i="7"/>
  <c r="H210" i="7"/>
  <c r="N210" i="7"/>
  <c r="N214" i="7"/>
  <c r="F214" i="7"/>
  <c r="J209" i="7"/>
  <c r="J214" i="7" s="1"/>
  <c r="C85" i="7"/>
  <c r="C159" i="7"/>
  <c r="R214" i="7"/>
  <c r="R210" i="7"/>
  <c r="Q214" i="7"/>
  <c r="Q210" i="7"/>
  <c r="O207" i="7"/>
  <c r="O133" i="7"/>
  <c r="H92" i="7"/>
  <c r="L80" i="7"/>
  <c r="M92" i="7"/>
  <c r="G214" i="7"/>
  <c r="G210" i="7"/>
  <c r="S214" i="7"/>
  <c r="S210" i="7"/>
  <c r="R128" i="7"/>
  <c r="R92" i="7"/>
  <c r="Q202" i="7"/>
  <c r="R198" i="7"/>
  <c r="Q92" i="7"/>
  <c r="T92" i="7"/>
  <c r="R162" i="7"/>
  <c r="Q166" i="7"/>
  <c r="Q80" i="7"/>
  <c r="T80" i="7"/>
  <c r="Q154" i="7"/>
  <c r="R150" i="7"/>
  <c r="S128" i="7"/>
  <c r="S202" i="7"/>
  <c r="S198" i="7"/>
  <c r="S116" i="7"/>
  <c r="S104" i="7"/>
  <c r="S166" i="7"/>
  <c r="S162" i="7"/>
  <c r="S92" i="7"/>
  <c r="S154" i="7"/>
  <c r="S150" i="7"/>
  <c r="S80" i="7"/>
  <c r="O92" i="7"/>
  <c r="M128" i="7"/>
  <c r="M80" i="7"/>
  <c r="L202" i="7"/>
  <c r="M198" i="7"/>
  <c r="L166" i="7"/>
  <c r="M162" i="7"/>
  <c r="L154" i="7"/>
  <c r="M150" i="7"/>
  <c r="N128" i="7"/>
  <c r="P128" i="7"/>
  <c r="N198" i="7"/>
  <c r="N202" i="7"/>
  <c r="O197" i="7"/>
  <c r="N92" i="7"/>
  <c r="P92" i="7"/>
  <c r="N166" i="7"/>
  <c r="N162" i="7"/>
  <c r="N80" i="7"/>
  <c r="P80" i="7"/>
  <c r="N154" i="7"/>
  <c r="N150" i="7"/>
  <c r="L150" i="7"/>
  <c r="K154" i="7"/>
  <c r="O149" i="7"/>
  <c r="H128" i="7"/>
  <c r="G128" i="7"/>
  <c r="H198" i="7"/>
  <c r="G202" i="7"/>
  <c r="G166" i="7"/>
  <c r="H162" i="7"/>
  <c r="H150" i="7"/>
  <c r="G154" i="7"/>
  <c r="J197" i="7"/>
  <c r="G198" i="7"/>
  <c r="F202" i="7"/>
  <c r="I202" i="7"/>
  <c r="I198" i="7"/>
  <c r="I128" i="7"/>
  <c r="K128" i="7"/>
  <c r="K116" i="7"/>
  <c r="I116" i="7"/>
  <c r="K92" i="7"/>
  <c r="I92" i="7"/>
  <c r="G162" i="7"/>
  <c r="J161" i="7"/>
  <c r="F166" i="7"/>
  <c r="I166" i="7"/>
  <c r="I162" i="7"/>
  <c r="G150" i="7"/>
  <c r="J149" i="7"/>
  <c r="F154" i="7"/>
  <c r="I154" i="7"/>
  <c r="I150" i="7"/>
  <c r="K150" i="7"/>
  <c r="K80" i="7"/>
  <c r="I80" i="7"/>
  <c r="AD171" i="7"/>
  <c r="AB172" i="7"/>
  <c r="AC172" i="7" s="1"/>
  <c r="AD173" i="7"/>
  <c r="AF86" i="7"/>
  <c r="AF134" i="7"/>
  <c r="AE133" i="7"/>
  <c r="AF110" i="7"/>
  <c r="AB184" i="7"/>
  <c r="AC184" i="7" s="1"/>
  <c r="AG122" i="7"/>
  <c r="T264" i="8"/>
  <c r="T265" i="8" s="1"/>
  <c r="T156" i="8"/>
  <c r="T158" i="8" s="1"/>
  <c r="S156" i="8"/>
  <c r="S158" i="8" s="1"/>
  <c r="W224" i="8"/>
  <c r="V142" i="8"/>
  <c r="L56" i="3" s="1"/>
  <c r="T165" i="8"/>
  <c r="T172" i="8" s="1"/>
  <c r="K55" i="3"/>
  <c r="V223" i="8"/>
  <c r="R158" i="8"/>
  <c r="I105" i="3"/>
  <c r="R221" i="8"/>
  <c r="I104" i="3"/>
  <c r="H104" i="3"/>
  <c r="H106" i="3"/>
  <c r="P158" i="8"/>
  <c r="G46" i="3"/>
  <c r="G94" i="3" s="1"/>
  <c r="Y206" i="8"/>
  <c r="T28" i="9"/>
  <c r="O28" i="9"/>
  <c r="O156" i="8"/>
  <c r="N156" i="8"/>
  <c r="P226" i="8"/>
  <c r="T308" i="8"/>
  <c r="N172" i="8"/>
  <c r="M172" i="8"/>
  <c r="M220" i="8"/>
  <c r="M221" i="8" s="1"/>
  <c r="L172" i="8"/>
  <c r="N91" i="16"/>
  <c r="V63" i="7"/>
  <c r="V51" i="7"/>
  <c r="W69" i="7"/>
  <c r="V45" i="7"/>
  <c r="I178" i="8"/>
  <c r="I110" i="8" s="1"/>
  <c r="H172" i="8"/>
  <c r="G64" i="9"/>
  <c r="F158" i="8"/>
  <c r="P172" i="8"/>
  <c r="K158" i="8"/>
  <c r="G172" i="8"/>
  <c r="S120" i="10"/>
  <c r="J99" i="3"/>
  <c r="S178" i="8"/>
  <c r="S110" i="8" s="1"/>
  <c r="G104" i="3"/>
  <c r="J60" i="8"/>
  <c r="J50" i="9" s="1"/>
  <c r="O186" i="8"/>
  <c r="O125" i="10" s="1"/>
  <c r="O91" i="16"/>
  <c r="G249" i="8"/>
  <c r="H186" i="8"/>
  <c r="H125" i="10" s="1"/>
  <c r="T54" i="9"/>
  <c r="T84" i="10" s="1"/>
  <c r="Q69" i="8"/>
  <c r="Q55" i="10" s="1"/>
  <c r="I57" i="9"/>
  <c r="T28" i="8"/>
  <c r="T30" i="8" s="1"/>
  <c r="T32" i="8" s="1"/>
  <c r="G67" i="8"/>
  <c r="G40" i="10" s="1"/>
  <c r="G70" i="8"/>
  <c r="G60" i="10" s="1"/>
  <c r="O42" i="9"/>
  <c r="G200" i="8"/>
  <c r="G94" i="10" s="1"/>
  <c r="S64" i="9"/>
  <c r="Q200" i="8"/>
  <c r="Q94" i="10" s="1"/>
  <c r="M64" i="9"/>
  <c r="H202" i="8"/>
  <c r="P65" i="9"/>
  <c r="Q182" i="8"/>
  <c r="Q115" i="10" s="1"/>
  <c r="J54" i="9"/>
  <c r="J84" i="10" s="1"/>
  <c r="H200" i="8"/>
  <c r="H94" i="10" s="1"/>
  <c r="O249" i="8"/>
  <c r="H69" i="8"/>
  <c r="H55" i="10" s="1"/>
  <c r="S69" i="8"/>
  <c r="S55" i="10" s="1"/>
  <c r="S202" i="8"/>
  <c r="H182" i="8"/>
  <c r="H115" i="10" s="1"/>
  <c r="T53" i="9"/>
  <c r="T83" i="10" s="1"/>
  <c r="Q186" i="8"/>
  <c r="Q125" i="10" s="1"/>
  <c r="Q70" i="8"/>
  <c r="Q60" i="10" s="1"/>
  <c r="Q202" i="8"/>
  <c r="H8" i="3"/>
  <c r="Q249" i="8"/>
  <c r="H249" i="8"/>
  <c r="J78" i="9"/>
  <c r="P63" i="9"/>
  <c r="S182" i="8"/>
  <c r="J98" i="3" s="1"/>
  <c r="J55" i="9"/>
  <c r="J85" i="10" s="1"/>
  <c r="S186" i="8"/>
  <c r="S125" i="10" s="1"/>
  <c r="S249" i="8"/>
  <c r="V249" i="8" s="1"/>
  <c r="W249" i="8" s="1"/>
  <c r="X249" i="8" s="1"/>
  <c r="Z249" i="8" s="1"/>
  <c r="H70" i="8"/>
  <c r="H60" i="10" s="1"/>
  <c r="C48" i="16"/>
  <c r="C51" i="16" s="1"/>
  <c r="J80" i="9"/>
  <c r="S67" i="8"/>
  <c r="S40" i="10" s="1"/>
  <c r="J8" i="3"/>
  <c r="S70" i="8"/>
  <c r="S60" i="10" s="1"/>
  <c r="N65" i="9"/>
  <c r="G182" i="8"/>
  <c r="G115" i="10" s="1"/>
  <c r="S63" i="9"/>
  <c r="S200" i="8"/>
  <c r="S94" i="10" s="1"/>
  <c r="F69" i="8"/>
  <c r="F55" i="10" s="1"/>
  <c r="F202" i="8"/>
  <c r="F299" i="8"/>
  <c r="F200" i="8"/>
  <c r="F94" i="10" s="1"/>
  <c r="O81" i="9"/>
  <c r="F63" i="9"/>
  <c r="F249" i="8"/>
  <c r="I28" i="8"/>
  <c r="K163" i="9"/>
  <c r="J7" i="9"/>
  <c r="I14" i="9"/>
  <c r="I30" i="7"/>
  <c r="N145" i="9"/>
  <c r="I16" i="9"/>
  <c r="I15" i="9"/>
  <c r="I43" i="7" s="1"/>
  <c r="G69" i="8"/>
  <c r="G55" i="10" s="1"/>
  <c r="G186" i="8"/>
  <c r="G125" i="10" s="1"/>
  <c r="I163" i="9"/>
  <c r="I31" i="7" s="1"/>
  <c r="C10" i="7"/>
  <c r="Y80" i="9"/>
  <c r="J28" i="9"/>
  <c r="O70" i="8"/>
  <c r="O60" i="10" s="1"/>
  <c r="O14" i="9"/>
  <c r="O35" i="7" s="1"/>
  <c r="O16" i="9"/>
  <c r="O47" i="7" s="1"/>
  <c r="O200" i="8"/>
  <c r="O94" i="10" s="1"/>
  <c r="Z291" i="8"/>
  <c r="Z92" i="8"/>
  <c r="E51" i="17"/>
  <c r="Q51" i="17" s="1"/>
  <c r="T145" i="9"/>
  <c r="T31" i="7" s="1"/>
  <c r="T14" i="9"/>
  <c r="T15" i="9"/>
  <c r="J124" i="8"/>
  <c r="J132" i="8" s="1"/>
  <c r="I132" i="8"/>
  <c r="B49" i="17"/>
  <c r="G39" i="13"/>
  <c r="D47" i="13" s="1"/>
  <c r="O54" i="9"/>
  <c r="O84" i="10" s="1"/>
  <c r="J46" i="3"/>
  <c r="J104" i="3"/>
  <c r="I220" i="8"/>
  <c r="I232" i="8"/>
  <c r="I130" i="10" s="1"/>
  <c r="C20" i="10"/>
  <c r="C19" i="10"/>
  <c r="C18" i="10"/>
  <c r="L65" i="9"/>
  <c r="S137" i="10"/>
  <c r="J100" i="3"/>
  <c r="H158" i="8"/>
  <c r="O79" i="9"/>
  <c r="O80" i="9"/>
  <c r="T137" i="10"/>
  <c r="V100" i="3"/>
  <c r="F70" i="4" s="1"/>
  <c r="H10" i="19"/>
  <c r="C10" i="19"/>
  <c r="H6" i="19"/>
  <c r="C40" i="19"/>
  <c r="C24" i="19"/>
  <c r="L10" i="19"/>
  <c r="O273" i="8"/>
  <c r="O264" i="8"/>
  <c r="O265" i="8" s="1"/>
  <c r="T273" i="8"/>
  <c r="AF77" i="11"/>
  <c r="AF75" i="11"/>
  <c r="AF74" i="11"/>
  <c r="AF76" i="11"/>
  <c r="H65" i="9"/>
  <c r="H63" i="9"/>
  <c r="N137" i="10"/>
  <c r="N185" i="8"/>
  <c r="O38" i="9"/>
  <c r="O41" i="9"/>
  <c r="Q64" i="9"/>
  <c r="Q63" i="9"/>
  <c r="R66" i="8"/>
  <c r="R39" i="8"/>
  <c r="R59" i="8" s="1"/>
  <c r="I11" i="3"/>
  <c r="T120" i="10"/>
  <c r="V99" i="3"/>
  <c r="F69" i="4" s="1"/>
  <c r="C10" i="18"/>
  <c r="C24" i="18"/>
  <c r="K10" i="18"/>
  <c r="C40" i="18"/>
  <c r="H6" i="18"/>
  <c r="O15" i="9"/>
  <c r="O43" i="7" s="1"/>
  <c r="O30" i="7"/>
  <c r="T27" i="9"/>
  <c r="J27" i="9"/>
  <c r="R115" i="10"/>
  <c r="I98" i="3"/>
  <c r="K66" i="8"/>
  <c r="K39" i="8"/>
  <c r="K59" i="8" s="1"/>
  <c r="K61" i="8" s="1"/>
  <c r="B159" i="17"/>
  <c r="P158" i="17"/>
  <c r="Q126" i="17"/>
  <c r="E127" i="17"/>
  <c r="O40" i="19"/>
  <c r="O24" i="19"/>
  <c r="B129" i="17"/>
  <c r="C15" i="10"/>
  <c r="C14" i="10"/>
  <c r="C13" i="10"/>
  <c r="T38" i="9"/>
  <c r="T41" i="9"/>
  <c r="T57" i="9"/>
  <c r="T63" i="9" s="1"/>
  <c r="N63" i="9"/>
  <c r="N64" i="9"/>
  <c r="T43" i="9"/>
  <c r="O137" i="10"/>
  <c r="U100" i="3"/>
  <c r="E70" i="4" s="1"/>
  <c r="J310" i="8"/>
  <c r="T54" i="3"/>
  <c r="M27" i="14"/>
  <c r="J137" i="8"/>
  <c r="J145" i="8" s="1"/>
  <c r="J156" i="8" s="1"/>
  <c r="I145" i="8"/>
  <c r="I156" i="8" s="1"/>
  <c r="H64" i="9"/>
  <c r="O57" i="9"/>
  <c r="O50" i="9"/>
  <c r="O55" i="9"/>
  <c r="O85" i="10" s="1"/>
  <c r="O53" i="9"/>
  <c r="O83" i="10" s="1"/>
  <c r="O43" i="9"/>
  <c r="Y82" i="9"/>
  <c r="N226" i="8"/>
  <c r="O120" i="10"/>
  <c r="U99" i="3"/>
  <c r="E69" i="4" s="1"/>
  <c r="T234" i="8"/>
  <c r="T160" i="8"/>
  <c r="R214" i="8"/>
  <c r="R87" i="10" s="1"/>
  <c r="R109" i="8"/>
  <c r="P66" i="8"/>
  <c r="P39" i="8"/>
  <c r="G11" i="3"/>
  <c r="G12" i="3" s="1"/>
  <c r="G76" i="3" s="1"/>
  <c r="O202" i="8"/>
  <c r="O182" i="8"/>
  <c r="O185" i="8" s="1"/>
  <c r="U8" i="3"/>
  <c r="O67" i="8"/>
  <c r="O40" i="10" s="1"/>
  <c r="M40" i="18"/>
  <c r="M24" i="18"/>
  <c r="T80" i="9"/>
  <c r="T78" i="9"/>
  <c r="T82" i="9"/>
  <c r="I170" i="8"/>
  <c r="I172" i="8" s="1"/>
  <c r="AD79" i="9"/>
  <c r="AD78" i="9"/>
  <c r="AD82" i="9"/>
  <c r="C34" i="10"/>
  <c r="C33" i="10"/>
  <c r="C35" i="10"/>
  <c r="T81" i="9"/>
  <c r="AD81" i="9"/>
  <c r="L308" i="8"/>
  <c r="L154" i="10" s="1"/>
  <c r="R137" i="10"/>
  <c r="R185" i="8"/>
  <c r="I100" i="3"/>
  <c r="P115" i="10"/>
  <c r="G98" i="3"/>
  <c r="O219" i="8"/>
  <c r="U43" i="3"/>
  <c r="U44" i="3" s="1"/>
  <c r="C9" i="10"/>
  <c r="C8" i="10"/>
  <c r="C10" i="10"/>
  <c r="AD80" i="9"/>
  <c r="L63" i="9"/>
  <c r="P64" i="9"/>
  <c r="J134" i="9"/>
  <c r="J58" i="9"/>
  <c r="O25" i="8"/>
  <c r="N24" i="8"/>
  <c r="J24" i="8"/>
  <c r="U4" i="3"/>
  <c r="H220" i="8"/>
  <c r="H221" i="8" s="1"/>
  <c r="H232" i="8"/>
  <c r="H130" i="10" s="1"/>
  <c r="B81" i="17"/>
  <c r="P80" i="17"/>
  <c r="Q93" i="17"/>
  <c r="E99" i="17"/>
  <c r="Q99" i="17" s="1"/>
  <c r="E94" i="17"/>
  <c r="T79" i="9"/>
  <c r="O27" i="9"/>
  <c r="AD24" i="8"/>
  <c r="Y25" i="8"/>
  <c r="W4" i="3"/>
  <c r="R120" i="10"/>
  <c r="I99" i="3"/>
  <c r="B112" i="17"/>
  <c r="I38" i="9"/>
  <c r="I43" i="9"/>
  <c r="J33" i="9"/>
  <c r="I42" i="9"/>
  <c r="AA92" i="8"/>
  <c r="AA291" i="8"/>
  <c r="R25" i="8"/>
  <c r="Q24" i="8"/>
  <c r="R64" i="9"/>
  <c r="J76" i="11"/>
  <c r="J74" i="11"/>
  <c r="J77" i="11"/>
  <c r="J75" i="11"/>
  <c r="Y79" i="9"/>
  <c r="Y81" i="9"/>
  <c r="AE168" i="9"/>
  <c r="M137" i="10"/>
  <c r="M185" i="8"/>
  <c r="K137" i="10"/>
  <c r="K185" i="8"/>
  <c r="AB245" i="8"/>
  <c r="AC239" i="8"/>
  <c r="S112" i="10"/>
  <c r="S4" i="10"/>
  <c r="S74" i="10"/>
  <c r="S164" i="10"/>
  <c r="S63" i="8"/>
  <c r="S28" i="7"/>
  <c r="S145" i="7" s="1"/>
  <c r="J6" i="3"/>
  <c r="I13" i="15"/>
  <c r="I16" i="15"/>
  <c r="T42" i="9"/>
  <c r="M63" i="9"/>
  <c r="I10" i="15"/>
  <c r="J9" i="15"/>
  <c r="K9" i="15" s="1"/>
  <c r="L64" i="9"/>
  <c r="F65" i="9"/>
  <c r="L137" i="10"/>
  <c r="L185" i="8"/>
  <c r="L221" i="8"/>
  <c r="M66" i="8"/>
  <c r="M39" i="8"/>
  <c r="Q137" i="10"/>
  <c r="H100" i="3"/>
  <c r="BK8" i="15"/>
  <c r="AK8" i="15"/>
  <c r="H240" i="8"/>
  <c r="H272" i="8"/>
  <c r="H167" i="10" s="1"/>
  <c r="P137" i="10"/>
  <c r="P185" i="8"/>
  <c r="G100" i="3"/>
  <c r="Q120" i="10"/>
  <c r="H99" i="3"/>
  <c r="G59" i="3"/>
  <c r="G70" i="3" s="1"/>
  <c r="G105" i="3"/>
  <c r="G106" i="3"/>
  <c r="P143" i="17"/>
  <c r="O143" i="17" s="1"/>
  <c r="B144" i="17"/>
  <c r="R191" i="14"/>
  <c r="J191" i="14"/>
  <c r="R189" i="14" a="1"/>
  <c r="R189" i="14" s="1"/>
  <c r="R190" i="14" s="1"/>
  <c r="J189" i="14" a="1"/>
  <c r="J189" i="14" s="1"/>
  <c r="J190" i="14" s="1"/>
  <c r="R113" i="14"/>
  <c r="R115" i="14" s="1"/>
  <c r="J113" i="14"/>
  <c r="BB74" i="11"/>
  <c r="BB76" i="11"/>
  <c r="BB75" i="11"/>
  <c r="BB77" i="11"/>
  <c r="J33" i="7"/>
  <c r="G65" i="9"/>
  <c r="G63" i="9"/>
  <c r="S65" i="9"/>
  <c r="J81" i="9"/>
  <c r="J79" i="9"/>
  <c r="K63" i="9"/>
  <c r="J241" i="8"/>
  <c r="J272" i="8" s="1"/>
  <c r="J167" i="10" s="1"/>
  <c r="P120" i="10"/>
  <c r="G99" i="3"/>
  <c r="Q214" i="8"/>
  <c r="Q87" i="10" s="1"/>
  <c r="Q109" i="8"/>
  <c r="I214" i="8"/>
  <c r="I87" i="10" s="1"/>
  <c r="I109" i="8"/>
  <c r="J109" i="8" s="1"/>
  <c r="AD209" i="8"/>
  <c r="AE209" i="8" s="1"/>
  <c r="AF209" i="8" s="1"/>
  <c r="AG209" i="8" s="1"/>
  <c r="L178" i="8"/>
  <c r="J246" i="8"/>
  <c r="O130" i="8"/>
  <c r="O132" i="8" s="1"/>
  <c r="N132" i="8"/>
  <c r="K170" i="8"/>
  <c r="K172" i="8" s="1"/>
  <c r="I137" i="10"/>
  <c r="AC267" i="8"/>
  <c r="J224" i="8"/>
  <c r="J225" i="8" s="1"/>
  <c r="K226" i="8" s="1"/>
  <c r="T56" i="3"/>
  <c r="T47" i="7"/>
  <c r="P232" i="8"/>
  <c r="P130" i="10" s="1"/>
  <c r="N232" i="8"/>
  <c r="N130" i="10" s="1"/>
  <c r="C13" i="17"/>
  <c r="C12" i="17"/>
  <c r="C15" i="17"/>
  <c r="O15" i="17" s="1"/>
  <c r="C17" i="17"/>
  <c r="C33" i="17" s="1"/>
  <c r="C16" i="17"/>
  <c r="O16" i="17" s="1"/>
  <c r="C14" i="17"/>
  <c r="O14" i="17" s="1"/>
  <c r="R63" i="9"/>
  <c r="J260" i="8"/>
  <c r="J261" i="8" s="1"/>
  <c r="K259" i="8" s="1"/>
  <c r="K64" i="9"/>
  <c r="K65" i="9"/>
  <c r="G308" i="8"/>
  <c r="G154" i="10" s="1"/>
  <c r="H307" i="8"/>
  <c r="T38" i="3"/>
  <c r="L232" i="8"/>
  <c r="L130" i="10" s="1"/>
  <c r="O214" i="8"/>
  <c r="O87" i="10" s="1"/>
  <c r="L66" i="8"/>
  <c r="L39" i="8"/>
  <c r="L59" i="8" s="1"/>
  <c r="L61" i="8" s="1"/>
  <c r="J219" i="8"/>
  <c r="J220" i="8" s="1"/>
  <c r="K221" i="8" s="1"/>
  <c r="T43" i="3"/>
  <c r="T44" i="3" s="1"/>
  <c r="AR8" i="11"/>
  <c r="AR47" i="11" s="1"/>
  <c r="BN8" i="11"/>
  <c r="BN47" i="11" s="1"/>
  <c r="J47" i="11"/>
  <c r="AN8" i="11"/>
  <c r="AN47" i="11" s="1"/>
  <c r="AL8" i="11"/>
  <c r="AL47" i="11" s="1"/>
  <c r="AJ8" i="11"/>
  <c r="AJ47" i="11" s="1"/>
  <c r="AH8" i="11"/>
  <c r="AH47" i="11" s="1"/>
  <c r="BL8" i="11"/>
  <c r="BL47" i="11" s="1"/>
  <c r="BJ8" i="11"/>
  <c r="BJ47" i="11" s="1"/>
  <c r="AP8" i="11"/>
  <c r="AP47" i="11" s="1"/>
  <c r="BH8" i="11"/>
  <c r="BH47" i="11" s="1"/>
  <c r="BD8" i="11"/>
  <c r="BD47" i="11" s="1"/>
  <c r="BF8" i="11"/>
  <c r="BF47" i="11" s="1"/>
  <c r="E115" i="17" l="1"/>
  <c r="Q115" i="17" s="1"/>
  <c r="E110" i="17"/>
  <c r="E111" i="17" s="1"/>
  <c r="E78" i="17"/>
  <c r="Q78" i="17" s="1"/>
  <c r="E83" i="17"/>
  <c r="Q83" i="17" s="1"/>
  <c r="E63" i="17"/>
  <c r="E64" i="17" s="1"/>
  <c r="E67" i="17"/>
  <c r="Q67" i="17" s="1"/>
  <c r="Q61" i="17"/>
  <c r="E35" i="17"/>
  <c r="Q35" i="17" s="1"/>
  <c r="E30" i="17"/>
  <c r="Q30" i="17" s="1"/>
  <c r="E14" i="17"/>
  <c r="Q13" i="17"/>
  <c r="C29" i="17"/>
  <c r="C45" i="17" s="1"/>
  <c r="C61" i="17" s="1"/>
  <c r="C77" i="17" s="1"/>
  <c r="O13" i="17"/>
  <c r="Q90" i="14"/>
  <c r="J90" i="14"/>
  <c r="R90" i="14" s="1"/>
  <c r="O90" i="14"/>
  <c r="F90" i="14"/>
  <c r="N90" i="14" s="1"/>
  <c r="P229" i="14"/>
  <c r="I229" i="14"/>
  <c r="G229" i="14"/>
  <c r="F219" i="14"/>
  <c r="P245" i="14"/>
  <c r="I245" i="14"/>
  <c r="G245" i="14"/>
  <c r="L219" i="14"/>
  <c r="AG149" i="9"/>
  <c r="AF149" i="9"/>
  <c r="AE149" i="9"/>
  <c r="J115" i="14"/>
  <c r="G169" i="14"/>
  <c r="P169" i="14"/>
  <c r="I169" i="14"/>
  <c r="L143" i="14"/>
  <c r="O48" i="17"/>
  <c r="J193" i="14"/>
  <c r="E222" i="14" s="1"/>
  <c r="C31" i="17"/>
  <c r="C47" i="17" s="1"/>
  <c r="C63" i="17" s="1"/>
  <c r="C79" i="17" s="1"/>
  <c r="C32" i="17"/>
  <c r="C30" i="17"/>
  <c r="R153" i="14"/>
  <c r="Q153" i="14"/>
  <c r="N153" i="14"/>
  <c r="O11" i="5"/>
  <c r="O153" i="14"/>
  <c r="AD184" i="7"/>
  <c r="P59" i="8"/>
  <c r="U51" i="10"/>
  <c r="U50" i="10"/>
  <c r="I50" i="10"/>
  <c r="J50" i="10" s="1"/>
  <c r="F59" i="8"/>
  <c r="F42" i="8"/>
  <c r="O178" i="8"/>
  <c r="O299" i="8" s="1"/>
  <c r="N42" i="8"/>
  <c r="N45" i="8" s="1"/>
  <c r="T73" i="8"/>
  <c r="G39" i="8"/>
  <c r="R174" i="8"/>
  <c r="H39" i="8"/>
  <c r="H59" i="8" s="1"/>
  <c r="N133" i="9"/>
  <c r="T66" i="8"/>
  <c r="Q39" i="8"/>
  <c r="Q59" i="8" s="1"/>
  <c r="T5" i="9"/>
  <c r="T204" i="8"/>
  <c r="T118" i="8"/>
  <c r="N174" i="9"/>
  <c r="M59" i="8"/>
  <c r="M61" i="8" s="1"/>
  <c r="I183" i="8"/>
  <c r="I120" i="10" s="1"/>
  <c r="I30" i="8"/>
  <c r="I32" i="8" s="1"/>
  <c r="G228" i="8"/>
  <c r="Q228" i="8"/>
  <c r="T275" i="8"/>
  <c r="M228" i="8"/>
  <c r="S174" i="8"/>
  <c r="G174" i="8"/>
  <c r="I188" i="8"/>
  <c r="I147" i="10" s="1"/>
  <c r="R228" i="8"/>
  <c r="H228" i="8"/>
  <c r="L228" i="8"/>
  <c r="H110" i="8"/>
  <c r="AA145" i="10"/>
  <c r="T105" i="3"/>
  <c r="D51" i="4" s="1"/>
  <c r="H174" i="8"/>
  <c r="P174" i="8"/>
  <c r="U46" i="3"/>
  <c r="U94" i="3" s="1"/>
  <c r="E47" i="4" s="1"/>
  <c r="T190" i="8"/>
  <c r="Z145" i="10"/>
  <c r="Z142" i="10"/>
  <c r="Z187" i="8" s="1"/>
  <c r="T216" i="8"/>
  <c r="V142" i="10"/>
  <c r="AC145" i="10"/>
  <c r="O158" i="8"/>
  <c r="T178" i="8"/>
  <c r="T299" i="8" s="1"/>
  <c r="M299" i="8"/>
  <c r="V104" i="3"/>
  <c r="F50" i="4" s="1"/>
  <c r="Q110" i="8"/>
  <c r="G110" i="8"/>
  <c r="V46" i="3"/>
  <c r="V94" i="3" s="1"/>
  <c r="F47" i="4" s="1"/>
  <c r="R110" i="8"/>
  <c r="F6" i="16"/>
  <c r="F30" i="16" s="1"/>
  <c r="V73" i="3"/>
  <c r="F19" i="4"/>
  <c r="F43" i="4" s="1"/>
  <c r="V32" i="3"/>
  <c r="K110" i="8"/>
  <c r="T49" i="7"/>
  <c r="T145" i="7"/>
  <c r="T68" i="8"/>
  <c r="T45" i="10" s="1"/>
  <c r="J28" i="8"/>
  <c r="J68" i="8" s="1"/>
  <c r="J45" i="10" s="1"/>
  <c r="I68" i="8"/>
  <c r="I45" i="10" s="1"/>
  <c r="M174" i="8"/>
  <c r="N299" i="8"/>
  <c r="Q174" i="8"/>
  <c r="N174" i="8"/>
  <c r="AC143" i="10"/>
  <c r="AB145" i="10"/>
  <c r="W142" i="10"/>
  <c r="W145" i="10"/>
  <c r="U142" i="10"/>
  <c r="AA142" i="10"/>
  <c r="AA187" i="8" s="1"/>
  <c r="U143" i="10"/>
  <c r="AB142" i="10"/>
  <c r="AB187" i="8" s="1"/>
  <c r="X145" i="10"/>
  <c r="V143" i="10"/>
  <c r="X142" i="10"/>
  <c r="X187" i="8" s="1"/>
  <c r="N221" i="8"/>
  <c r="N228" i="8" s="1"/>
  <c r="N158" i="8"/>
  <c r="T174" i="8"/>
  <c r="I97" i="3"/>
  <c r="O174" i="8"/>
  <c r="W83" i="8"/>
  <c r="X207" i="8"/>
  <c r="X83" i="8" s="1"/>
  <c r="Y207" i="8"/>
  <c r="Z207" i="8" s="1"/>
  <c r="V106" i="3"/>
  <c r="F52" i="4" s="1"/>
  <c r="M52" i="4" s="1"/>
  <c r="V105" i="3"/>
  <c r="F51" i="4" s="1"/>
  <c r="O226" i="8"/>
  <c r="X63" i="8"/>
  <c r="X112" i="10"/>
  <c r="X4" i="10"/>
  <c r="X28" i="7"/>
  <c r="X74" i="10"/>
  <c r="X164" i="10"/>
  <c r="V24" i="8"/>
  <c r="W25" i="8"/>
  <c r="AE186" i="8"/>
  <c r="T109" i="8"/>
  <c r="V209" i="7"/>
  <c r="T210" i="7"/>
  <c r="T214" i="7"/>
  <c r="O214" i="7"/>
  <c r="O210" i="7"/>
  <c r="V46" i="7"/>
  <c r="V127" i="7"/>
  <c r="V197" i="7"/>
  <c r="V115" i="7"/>
  <c r="V103" i="7"/>
  <c r="V91" i="7"/>
  <c r="V161" i="7"/>
  <c r="V79" i="7"/>
  <c r="V149" i="7"/>
  <c r="O196" i="7"/>
  <c r="P197" i="7" s="1"/>
  <c r="O202" i="7"/>
  <c r="O92" i="16"/>
  <c r="O148" i="7"/>
  <c r="O154" i="7"/>
  <c r="O198" i="7"/>
  <c r="J196" i="7"/>
  <c r="K197" i="7" s="1"/>
  <c r="J202" i="7"/>
  <c r="J166" i="7"/>
  <c r="J160" i="7"/>
  <c r="J79" i="7"/>
  <c r="O80" i="7" s="1"/>
  <c r="J147" i="7"/>
  <c r="J154" i="7" s="1"/>
  <c r="O150" i="7"/>
  <c r="AF133" i="7"/>
  <c r="AG134" i="7"/>
  <c r="AG133" i="7" s="1"/>
  <c r="AG86" i="7"/>
  <c r="AG110" i="7"/>
  <c r="AF185" i="7"/>
  <c r="AE183" i="7"/>
  <c r="AE173" i="7"/>
  <c r="AD172" i="7"/>
  <c r="W142" i="8"/>
  <c r="M56" i="3" s="1"/>
  <c r="X224" i="8"/>
  <c r="V141" i="8"/>
  <c r="L55" i="3" s="1"/>
  <c r="W223" i="8"/>
  <c r="V225" i="8"/>
  <c r="V226" i="8" s="1"/>
  <c r="S299" i="8"/>
  <c r="G97" i="3"/>
  <c r="J101" i="3"/>
  <c r="Q185" i="8"/>
  <c r="H11" i="3"/>
  <c r="H12" i="3" s="1"/>
  <c r="H76" i="3" s="1"/>
  <c r="Q66" i="8"/>
  <c r="W63" i="7"/>
  <c r="V41" i="7"/>
  <c r="V42" i="7" s="1"/>
  <c r="X69" i="7"/>
  <c r="X45" i="7" s="1"/>
  <c r="W45" i="7"/>
  <c r="W46" i="7" s="1"/>
  <c r="V33" i="7"/>
  <c r="W51" i="7"/>
  <c r="I299" i="8"/>
  <c r="I174" i="8"/>
  <c r="I63" i="9"/>
  <c r="I65" i="9"/>
  <c r="I64" i="9"/>
  <c r="T186" i="8"/>
  <c r="T125" i="10" s="1"/>
  <c r="T249" i="8"/>
  <c r="V8" i="3"/>
  <c r="V9" i="3" s="1"/>
  <c r="F22" i="4" s="1"/>
  <c r="T202" i="8"/>
  <c r="H98" i="3"/>
  <c r="H101" i="3" s="1"/>
  <c r="T67" i="8"/>
  <c r="T40" i="10" s="1"/>
  <c r="S185" i="8"/>
  <c r="T200" i="8"/>
  <c r="T94" i="10" s="1"/>
  <c r="H66" i="8"/>
  <c r="T182" i="8"/>
  <c r="T185" i="8" s="1"/>
  <c r="T70" i="8"/>
  <c r="T60" i="10" s="1"/>
  <c r="T69" i="8"/>
  <c r="T55" i="10" s="1"/>
  <c r="G66" i="8"/>
  <c r="H185" i="8"/>
  <c r="H97" i="3"/>
  <c r="G185" i="8"/>
  <c r="J11" i="3"/>
  <c r="J12" i="3" s="1"/>
  <c r="J76" i="3" s="1"/>
  <c r="S39" i="8"/>
  <c r="S59" i="8" s="1"/>
  <c r="S115" i="10"/>
  <c r="O145" i="9"/>
  <c r="J15" i="9"/>
  <c r="J43" i="7" s="1"/>
  <c r="J30" i="7"/>
  <c r="AI30" i="7" s="1"/>
  <c r="J16" i="9"/>
  <c r="J47" i="7" s="1"/>
  <c r="I249" i="8"/>
  <c r="I186" i="8"/>
  <c r="I125" i="10" s="1"/>
  <c r="I70" i="8"/>
  <c r="I60" i="10" s="1"/>
  <c r="I200" i="8"/>
  <c r="I94" i="10" s="1"/>
  <c r="F66" i="8"/>
  <c r="I69" i="8"/>
  <c r="I55" i="10" s="1"/>
  <c r="I67" i="8"/>
  <c r="I40" i="10" s="1"/>
  <c r="I182" i="8"/>
  <c r="I115" i="10" s="1"/>
  <c r="J14" i="9"/>
  <c r="J35" i="7" s="1"/>
  <c r="I202" i="8"/>
  <c r="E47" i="17"/>
  <c r="E48" i="17" s="1"/>
  <c r="F133" i="9"/>
  <c r="K174" i="8"/>
  <c r="L174" i="8"/>
  <c r="J42" i="9"/>
  <c r="J38" i="9"/>
  <c r="J57" i="9"/>
  <c r="J43" i="9"/>
  <c r="B160" i="17"/>
  <c r="P159" i="17"/>
  <c r="Y164" i="10"/>
  <c r="Y4" i="10"/>
  <c r="Y112" i="10"/>
  <c r="Y74" i="10"/>
  <c r="R25" i="4"/>
  <c r="Y28" i="7"/>
  <c r="Y145" i="7" s="1"/>
  <c r="W6" i="3"/>
  <c r="Y63" i="8"/>
  <c r="O64" i="17"/>
  <c r="I101" i="3"/>
  <c r="E146" i="14"/>
  <c r="H161" i="14" s="1"/>
  <c r="T104" i="3"/>
  <c r="D50" i="4" s="1"/>
  <c r="T46" i="3"/>
  <c r="T94" i="3" s="1"/>
  <c r="D47" i="4" s="1"/>
  <c r="O63" i="17"/>
  <c r="AC254" i="8"/>
  <c r="AC290" i="8"/>
  <c r="AC94" i="8"/>
  <c r="L299" i="8"/>
  <c r="L110" i="8"/>
  <c r="K146" i="14"/>
  <c r="H177" i="14" s="1"/>
  <c r="AD25" i="8"/>
  <c r="AE24" i="8"/>
  <c r="AC24" i="8"/>
  <c r="X4" i="3"/>
  <c r="E21" i="4"/>
  <c r="I158" i="8"/>
  <c r="BK9" i="15"/>
  <c r="AK9" i="15"/>
  <c r="J10" i="15"/>
  <c r="K10" i="15" s="1"/>
  <c r="I11" i="15"/>
  <c r="O62" i="17"/>
  <c r="O63" i="9"/>
  <c r="O115" i="10"/>
  <c r="U98" i="3"/>
  <c r="J158" i="8"/>
  <c r="L40" i="19"/>
  <c r="L24" i="19"/>
  <c r="P10" i="19"/>
  <c r="C93" i="17"/>
  <c r="C109" i="17" s="1"/>
  <c r="C125" i="17" s="1"/>
  <c r="I17" i="15"/>
  <c r="I20" i="15"/>
  <c r="H308" i="8"/>
  <c r="H154" i="10" s="1"/>
  <c r="J154" i="10" s="1"/>
  <c r="H309" i="8"/>
  <c r="H159" i="10" s="1"/>
  <c r="J137" i="10"/>
  <c r="T100" i="3"/>
  <c r="D70" i="4" s="1"/>
  <c r="M70" i="4" s="1"/>
  <c r="R193" i="14"/>
  <c r="I14" i="15"/>
  <c r="K40" i="18"/>
  <c r="K24" i="18"/>
  <c r="N10" i="18"/>
  <c r="I221" i="8"/>
  <c r="I228" i="8" s="1"/>
  <c r="J97" i="3"/>
  <c r="J94" i="3"/>
  <c r="J239" i="8"/>
  <c r="J240" i="8"/>
  <c r="B113" i="17"/>
  <c r="H40" i="19"/>
  <c r="H24" i="19"/>
  <c r="N25" i="8"/>
  <c r="M24" i="8"/>
  <c r="O64" i="9"/>
  <c r="K157" i="9"/>
  <c r="K133" i="9"/>
  <c r="O39" i="8"/>
  <c r="P174" i="9" s="1"/>
  <c r="K42" i="8"/>
  <c r="E95" i="17"/>
  <c r="Q94" i="17"/>
  <c r="J25" i="8"/>
  <c r="I24" i="8"/>
  <c r="T4" i="3"/>
  <c r="P157" i="9"/>
  <c r="P138" i="9"/>
  <c r="P133" i="9"/>
  <c r="P42" i="8"/>
  <c r="G15" i="3"/>
  <c r="O66" i="8"/>
  <c r="U11" i="3"/>
  <c r="O46" i="17"/>
  <c r="O74" i="10"/>
  <c r="O112" i="10"/>
  <c r="O4" i="10"/>
  <c r="O164" i="10"/>
  <c r="O63" i="8"/>
  <c r="U6" i="3"/>
  <c r="O28" i="7"/>
  <c r="O145" i="7" s="1"/>
  <c r="T64" i="9"/>
  <c r="T65" i="9"/>
  <c r="J51" i="7"/>
  <c r="AI33" i="7"/>
  <c r="AD239" i="8"/>
  <c r="O47" i="17"/>
  <c r="C28" i="17"/>
  <c r="O12" i="17"/>
  <c r="B145" i="17"/>
  <c r="P144" i="17"/>
  <c r="O144" i="17" s="1"/>
  <c r="Q127" i="17"/>
  <c r="E128" i="17"/>
  <c r="L138" i="9"/>
  <c r="L174" i="9"/>
  <c r="L133" i="9"/>
  <c r="L42" i="8"/>
  <c r="O65" i="9"/>
  <c r="E117" i="16"/>
  <c r="T43" i="7"/>
  <c r="I12" i="3"/>
  <c r="I76" i="3" s="1"/>
  <c r="D117" i="16"/>
  <c r="T35" i="7"/>
  <c r="M138" i="9"/>
  <c r="M174" i="9"/>
  <c r="M133" i="9"/>
  <c r="M42" i="8"/>
  <c r="AC245" i="8"/>
  <c r="AE239" i="8"/>
  <c r="R4" i="10"/>
  <c r="R74" i="10"/>
  <c r="R164" i="10"/>
  <c r="R112" i="10"/>
  <c r="R63" i="8"/>
  <c r="R28" i="7"/>
  <c r="R145" i="7" s="1"/>
  <c r="I6" i="3"/>
  <c r="J32" i="3"/>
  <c r="J73" i="3"/>
  <c r="AB92" i="8"/>
  <c r="AB291" i="8"/>
  <c r="O232" i="8"/>
  <c r="O130" i="10" s="1"/>
  <c r="T232" i="8"/>
  <c r="T130" i="10" s="1"/>
  <c r="O220" i="8"/>
  <c r="N138" i="9"/>
  <c r="R157" i="9"/>
  <c r="R133" i="9"/>
  <c r="R42" i="8"/>
  <c r="I15" i="3"/>
  <c r="S49" i="7"/>
  <c r="J41" i="9"/>
  <c r="G101" i="3"/>
  <c r="T93" i="3"/>
  <c r="D46" i="4" s="1"/>
  <c r="M46" i="4" s="1"/>
  <c r="P299" i="8"/>
  <c r="P110" i="8"/>
  <c r="Q25" i="8"/>
  <c r="P24" i="8"/>
  <c r="P25" i="8" s="1"/>
  <c r="O259" i="8"/>
  <c r="K260" i="8"/>
  <c r="O260" i="8" s="1"/>
  <c r="K228" i="8"/>
  <c r="S118" i="8"/>
  <c r="S204" i="8"/>
  <c r="S234" i="8"/>
  <c r="S160" i="8"/>
  <c r="S5" i="9"/>
  <c r="S216" i="8"/>
  <c r="S286" i="8"/>
  <c r="S73" i="8"/>
  <c r="S275" i="8"/>
  <c r="S190" i="8"/>
  <c r="AA249" i="8"/>
  <c r="J308" i="8"/>
  <c r="K307" i="8"/>
  <c r="J309" i="8"/>
  <c r="J159" i="10" s="1"/>
  <c r="K117" i="16" l="1"/>
  <c r="Q110" i="17"/>
  <c r="E79" i="17"/>
  <c r="Q79" i="17" s="1"/>
  <c r="Q63" i="17"/>
  <c r="E31" i="17"/>
  <c r="E32" i="17" s="1"/>
  <c r="E15" i="17"/>
  <c r="Q14" i="17"/>
  <c r="H237" i="14"/>
  <c r="O245" i="14"/>
  <c r="F245" i="14"/>
  <c r="N245" i="14" s="1"/>
  <c r="O14" i="5"/>
  <c r="Q245" i="14"/>
  <c r="J245" i="14"/>
  <c r="R245" i="14" s="1"/>
  <c r="O229" i="14"/>
  <c r="O16" i="5"/>
  <c r="F229" i="14"/>
  <c r="N229" i="14" s="1"/>
  <c r="Q229" i="14"/>
  <c r="J229" i="14"/>
  <c r="R229" i="14" s="1"/>
  <c r="AE184" i="7"/>
  <c r="N71" i="8"/>
  <c r="N69" i="10" s="1"/>
  <c r="Q169" i="14"/>
  <c r="J169" i="14"/>
  <c r="R169" i="14" s="1"/>
  <c r="O169" i="14"/>
  <c r="F169" i="14"/>
  <c r="N169" i="14" s="1"/>
  <c r="O9" i="5"/>
  <c r="C46" i="17"/>
  <c r="C48" i="17"/>
  <c r="F146" i="14"/>
  <c r="G161" i="14"/>
  <c r="I161" i="14"/>
  <c r="P161" i="14"/>
  <c r="L146" i="14"/>
  <c r="G177" i="14"/>
  <c r="I177" i="14"/>
  <c r="P177" i="14"/>
  <c r="V30" i="7"/>
  <c r="V39" i="7" s="1"/>
  <c r="T39" i="8"/>
  <c r="T42" i="8" s="1"/>
  <c r="T45" i="8" s="1"/>
  <c r="I31" i="14" s="1"/>
  <c r="AH117" i="10"/>
  <c r="AH118" i="10" s="1"/>
  <c r="M157" i="9"/>
  <c r="AG115" i="10"/>
  <c r="AG182" i="8" s="1"/>
  <c r="H42" i="8"/>
  <c r="H45" i="8" s="1"/>
  <c r="U97" i="3"/>
  <c r="E67" i="4" s="1"/>
  <c r="U45" i="10"/>
  <c r="R174" i="9"/>
  <c r="V50" i="10"/>
  <c r="V51" i="10"/>
  <c r="H133" i="9"/>
  <c r="R138" i="9"/>
  <c r="G59" i="8"/>
  <c r="G138" i="9"/>
  <c r="L157" i="9"/>
  <c r="H138" i="9"/>
  <c r="G42" i="8"/>
  <c r="G71" i="8" s="1"/>
  <c r="G69" i="10" s="1"/>
  <c r="G174" i="9"/>
  <c r="G133" i="9"/>
  <c r="H174" i="9"/>
  <c r="H15" i="3"/>
  <c r="H87" i="3" s="1"/>
  <c r="Q42" i="8"/>
  <c r="Q71" i="8" s="1"/>
  <c r="Q69" i="10" s="1"/>
  <c r="Q133" i="9"/>
  <c r="J30" i="8"/>
  <c r="J32" i="8" s="1"/>
  <c r="I39" i="8"/>
  <c r="Q138" i="9"/>
  <c r="Q157" i="9"/>
  <c r="M51" i="4"/>
  <c r="T11" i="3"/>
  <c r="D24" i="4" s="1"/>
  <c r="Q174" i="9"/>
  <c r="J110" i="8"/>
  <c r="J188" i="8"/>
  <c r="J147" i="10" s="1"/>
  <c r="J183" i="8"/>
  <c r="O110" i="8"/>
  <c r="T110" i="8"/>
  <c r="M47" i="4"/>
  <c r="M50" i="4"/>
  <c r="X138" i="10"/>
  <c r="X140" i="10"/>
  <c r="X137" i="10"/>
  <c r="X184" i="8" s="1"/>
  <c r="N100" i="3" s="1"/>
  <c r="Y83" i="8"/>
  <c r="W138" i="10"/>
  <c r="W140" i="10"/>
  <c r="W137" i="10"/>
  <c r="V138" i="10"/>
  <c r="V140" i="10"/>
  <c r="V137" i="10"/>
  <c r="U138" i="10"/>
  <c r="U140" i="10"/>
  <c r="U137" i="10"/>
  <c r="F50" i="16"/>
  <c r="F70" i="16" s="1"/>
  <c r="J90" i="16" s="1"/>
  <c r="O90" i="16" s="1"/>
  <c r="N30" i="16"/>
  <c r="N50" i="16" s="1"/>
  <c r="N70" i="16" s="1"/>
  <c r="AC138" i="10"/>
  <c r="AC140" i="10"/>
  <c r="AC137" i="10"/>
  <c r="AC184" i="8" s="1"/>
  <c r="R100" i="3" s="1"/>
  <c r="AA138" i="10"/>
  <c r="AA140" i="10"/>
  <c r="AA137" i="10"/>
  <c r="AA184" i="8" s="1"/>
  <c r="P100" i="3" s="1"/>
  <c r="Z138" i="10"/>
  <c r="Z140" i="10"/>
  <c r="Z137" i="10"/>
  <c r="Z184" i="8" s="1"/>
  <c r="O100" i="3" s="1"/>
  <c r="AB138" i="10"/>
  <c r="AB140" i="10"/>
  <c r="AB137" i="10"/>
  <c r="AB184" i="8" s="1"/>
  <c r="Q100" i="3" s="1"/>
  <c r="AC115" i="10"/>
  <c r="AC182" i="8" s="1"/>
  <c r="J249" i="8"/>
  <c r="X5" i="9"/>
  <c r="X190" i="8"/>
  <c r="X118" i="8"/>
  <c r="X73" i="8"/>
  <c r="X275" i="8"/>
  <c r="X216" i="8"/>
  <c r="X286" i="8"/>
  <c r="X234" i="8"/>
  <c r="X204" i="8"/>
  <c r="X160" i="8"/>
  <c r="X145" i="7"/>
  <c r="X49" i="7"/>
  <c r="W63" i="8"/>
  <c r="W112" i="10"/>
  <c r="W28" i="7"/>
  <c r="W74" i="10"/>
  <c r="W4" i="10"/>
  <c r="W164" i="10"/>
  <c r="V25" i="8"/>
  <c r="L6" i="3" s="1"/>
  <c r="Z83" i="8"/>
  <c r="AA207" i="8"/>
  <c r="AF186" i="8"/>
  <c r="AG186" i="8"/>
  <c r="V34" i="7"/>
  <c r="V207" i="7"/>
  <c r="V208" i="7" s="1"/>
  <c r="W209" i="7"/>
  <c r="V195" i="7"/>
  <c r="V196" i="7" s="1"/>
  <c r="W197" i="7"/>
  <c r="W127" i="7"/>
  <c r="V121" i="7"/>
  <c r="W115" i="7"/>
  <c r="V109" i="7"/>
  <c r="W103" i="7"/>
  <c r="V97" i="7"/>
  <c r="W161" i="7"/>
  <c r="V159" i="7"/>
  <c r="V160" i="7" s="1"/>
  <c r="W91" i="7"/>
  <c r="V85" i="7"/>
  <c r="V147" i="7"/>
  <c r="V148" i="7" s="1"/>
  <c r="W149" i="7"/>
  <c r="W79" i="7"/>
  <c r="Q198" i="7"/>
  <c r="P198" i="7"/>
  <c r="P202" i="7"/>
  <c r="T197" i="7"/>
  <c r="P149" i="7"/>
  <c r="K202" i="7"/>
  <c r="K198" i="7"/>
  <c r="L198" i="7"/>
  <c r="K161" i="7"/>
  <c r="AE171" i="7"/>
  <c r="AE172" i="7" s="1"/>
  <c r="AF173" i="7"/>
  <c r="AF183" i="7"/>
  <c r="AG185" i="7"/>
  <c r="AG183" i="7" s="1"/>
  <c r="X142" i="8"/>
  <c r="Y224" i="8"/>
  <c r="Z224" i="8" s="1"/>
  <c r="W225" i="8"/>
  <c r="W226" i="8" s="1"/>
  <c r="W141" i="8"/>
  <c r="M55" i="3" s="1"/>
  <c r="X223" i="8"/>
  <c r="V97" i="3"/>
  <c r="F67" i="4" s="1"/>
  <c r="V98" i="3"/>
  <c r="F68" i="4" s="1"/>
  <c r="V11" i="3"/>
  <c r="V12" i="3" s="1"/>
  <c r="T115" i="10"/>
  <c r="W33" i="7"/>
  <c r="X51" i="7"/>
  <c r="X33" i="7" s="1"/>
  <c r="X46" i="7"/>
  <c r="X63" i="7"/>
  <c r="X41" i="7" s="1"/>
  <c r="W41" i="7"/>
  <c r="W42" i="7" s="1"/>
  <c r="F21" i="4"/>
  <c r="S157" i="9"/>
  <c r="S42" i="8"/>
  <c r="S45" i="8" s="1"/>
  <c r="J15" i="3"/>
  <c r="J16" i="3" s="1"/>
  <c r="J78" i="3" s="1"/>
  <c r="S133" i="9"/>
  <c r="S138" i="9"/>
  <c r="S174" i="9"/>
  <c r="I185" i="8"/>
  <c r="J67" i="8"/>
  <c r="J40" i="10" s="1"/>
  <c r="J186" i="8"/>
  <c r="J125" i="10" s="1"/>
  <c r="J182" i="8"/>
  <c r="J299" i="8"/>
  <c r="T8" i="3"/>
  <c r="J200" i="8"/>
  <c r="J94" i="10" s="1"/>
  <c r="J202" i="8"/>
  <c r="J69" i="8"/>
  <c r="J55" i="10" s="1"/>
  <c r="J70" i="8"/>
  <c r="J60" i="10" s="1"/>
  <c r="Q47" i="17"/>
  <c r="F71" i="8"/>
  <c r="F69" i="10" s="1"/>
  <c r="F45" i="8"/>
  <c r="U101" i="3"/>
  <c r="E71" i="4" s="1"/>
  <c r="E68" i="4"/>
  <c r="Q64" i="17"/>
  <c r="I15" i="15"/>
  <c r="I18" i="15"/>
  <c r="Q112" i="10"/>
  <c r="Q164" i="10"/>
  <c r="Q4" i="10"/>
  <c r="Q74" i="10"/>
  <c r="Q63" i="8"/>
  <c r="Q28" i="7"/>
  <c r="Q145" i="7" s="1"/>
  <c r="H6" i="3"/>
  <c r="C95" i="17"/>
  <c r="C111" i="17" s="1"/>
  <c r="E24" i="4"/>
  <c r="U12" i="3"/>
  <c r="AD4" i="10"/>
  <c r="AD74" i="10"/>
  <c r="AD112" i="10"/>
  <c r="AD164" i="10"/>
  <c r="AD63" i="8"/>
  <c r="X6" i="3"/>
  <c r="AD28" i="7"/>
  <c r="AD145" i="7" s="1"/>
  <c r="AC291" i="8"/>
  <c r="AC92" i="8"/>
  <c r="AD92" i="8" s="1"/>
  <c r="O190" i="8"/>
  <c r="O234" i="8"/>
  <c r="O216" i="8"/>
  <c r="O118" i="8"/>
  <c r="O5" i="9"/>
  <c r="O204" i="8"/>
  <c r="O160" i="8"/>
  <c r="O286" i="8"/>
  <c r="O275" i="8"/>
  <c r="O73" i="8"/>
  <c r="R49" i="7"/>
  <c r="C141" i="17"/>
  <c r="P221" i="8"/>
  <c r="P228" i="8" s="1"/>
  <c r="O221" i="8"/>
  <c r="O228" i="8" s="1"/>
  <c r="T221" i="8"/>
  <c r="T228" i="8" s="1"/>
  <c r="K222" i="14"/>
  <c r="J11" i="15"/>
  <c r="J12" i="15" s="1"/>
  <c r="J64" i="9"/>
  <c r="J65" i="9"/>
  <c r="O49" i="7"/>
  <c r="E6" i="16"/>
  <c r="E30" i="16" s="1"/>
  <c r="U73" i="3"/>
  <c r="E19" i="4"/>
  <c r="E43" i="4" s="1"/>
  <c r="U32" i="3"/>
  <c r="K309" i="8"/>
  <c r="K159" i="10" s="1"/>
  <c r="O307" i="8"/>
  <c r="K308" i="8"/>
  <c r="K154" i="10" s="1"/>
  <c r="O154" i="10" s="1"/>
  <c r="J265" i="8"/>
  <c r="AK10" i="15"/>
  <c r="BK10" i="15"/>
  <c r="L45" i="8"/>
  <c r="L71" i="8"/>
  <c r="L69" i="10" s="1"/>
  <c r="AC25" i="8"/>
  <c r="AB24" i="8"/>
  <c r="AE25" i="8"/>
  <c r="AF24" i="8"/>
  <c r="Y4" i="3"/>
  <c r="N51" i="8"/>
  <c r="N54" i="8"/>
  <c r="N108" i="8"/>
  <c r="N112" i="8" s="1"/>
  <c r="N53" i="8"/>
  <c r="N237" i="8" s="1"/>
  <c r="N253" i="8"/>
  <c r="N255" i="8" s="1"/>
  <c r="I21" i="15"/>
  <c r="I24" i="15"/>
  <c r="AD245" i="8"/>
  <c r="I25" i="8"/>
  <c r="H24" i="8"/>
  <c r="M25" i="8"/>
  <c r="L24" i="8"/>
  <c r="P112" i="10"/>
  <c r="P4" i="10"/>
  <c r="P74" i="10"/>
  <c r="P164" i="10"/>
  <c r="P63" i="8"/>
  <c r="P28" i="7"/>
  <c r="P145" i="7" s="1"/>
  <c r="G6" i="3"/>
  <c r="G16" i="3"/>
  <c r="G78" i="3" s="1"/>
  <c r="G87" i="3"/>
  <c r="M71" i="8"/>
  <c r="M69" i="10" s="1"/>
  <c r="M45" i="8"/>
  <c r="R286" i="8"/>
  <c r="R118" i="8"/>
  <c r="R234" i="8"/>
  <c r="R204" i="8"/>
  <c r="R160" i="8"/>
  <c r="R5" i="9"/>
  <c r="R216" i="8"/>
  <c r="R190" i="8"/>
  <c r="R275" i="8"/>
  <c r="R73" i="8"/>
  <c r="J4" i="10"/>
  <c r="J164" i="10"/>
  <c r="J112" i="10"/>
  <c r="J74" i="10"/>
  <c r="J63" i="8"/>
  <c r="T6" i="3"/>
  <c r="J28" i="7"/>
  <c r="J145" i="7" s="1"/>
  <c r="N24" i="18"/>
  <c r="N40" i="18"/>
  <c r="P160" i="17"/>
  <c r="B161" i="17"/>
  <c r="P24" i="19"/>
  <c r="P40" i="19"/>
  <c r="AB249" i="8"/>
  <c r="Q48" i="17"/>
  <c r="Y275" i="8"/>
  <c r="Y286" i="8"/>
  <c r="Y5" i="9"/>
  <c r="Y216" i="8"/>
  <c r="Y190" i="8"/>
  <c r="Y73" i="8"/>
  <c r="Y234" i="8"/>
  <c r="Y118" i="8"/>
  <c r="Y160" i="8"/>
  <c r="Y204" i="8"/>
  <c r="N74" i="10"/>
  <c r="N112" i="10"/>
  <c r="N4" i="10"/>
  <c r="N164" i="10"/>
  <c r="N63" i="8"/>
  <c r="N28" i="7"/>
  <c r="N145" i="7" s="1"/>
  <c r="P45" i="8"/>
  <c r="P71" i="8"/>
  <c r="P69" i="10" s="1"/>
  <c r="I32" i="3"/>
  <c r="I73" i="3"/>
  <c r="C44" i="17"/>
  <c r="O28" i="17"/>
  <c r="E96" i="17"/>
  <c r="Q95" i="17"/>
  <c r="G6" i="16"/>
  <c r="G30" i="16" s="1"/>
  <c r="W73" i="3"/>
  <c r="W32" i="3"/>
  <c r="G19" i="4"/>
  <c r="G43" i="4" s="1"/>
  <c r="O133" i="9"/>
  <c r="U15" i="3"/>
  <c r="I16" i="3"/>
  <c r="I78" i="3" s="1"/>
  <c r="I87" i="3"/>
  <c r="J63" i="9"/>
  <c r="R71" i="8"/>
  <c r="R69" i="10" s="1"/>
  <c r="R45" i="8"/>
  <c r="M6" i="3"/>
  <c r="O261" i="8"/>
  <c r="P259" i="8" s="1"/>
  <c r="Y49" i="7"/>
  <c r="AE245" i="8"/>
  <c r="AF239" i="8"/>
  <c r="Q128" i="17"/>
  <c r="K71" i="8"/>
  <c r="K69" i="10" s="1"/>
  <c r="O42" i="8"/>
  <c r="O71" i="8" s="1"/>
  <c r="O69" i="10" s="1"/>
  <c r="K45" i="8"/>
  <c r="E112" i="17"/>
  <c r="Q111" i="17"/>
  <c r="E80" i="17" l="1"/>
  <c r="Q80" i="17" s="1"/>
  <c r="Q31" i="17"/>
  <c r="E16" i="17"/>
  <c r="Q16" i="17" s="1"/>
  <c r="Q15" i="17"/>
  <c r="AF184" i="7"/>
  <c r="AG184" i="7" s="1"/>
  <c r="H253" i="14"/>
  <c r="P237" i="14"/>
  <c r="I237" i="14"/>
  <c r="G237" i="14"/>
  <c r="F222" i="14"/>
  <c r="T157" i="9"/>
  <c r="C62" i="17"/>
  <c r="O45" i="17"/>
  <c r="C64" i="17"/>
  <c r="F161" i="14"/>
  <c r="N161" i="14" s="1"/>
  <c r="O10" i="5"/>
  <c r="O161" i="14"/>
  <c r="J161" i="14"/>
  <c r="R161" i="14" s="1"/>
  <c r="Q161" i="14"/>
  <c r="F177" i="14"/>
  <c r="N177" i="14" s="1"/>
  <c r="O8" i="5"/>
  <c r="O177" i="14"/>
  <c r="Q177" i="14"/>
  <c r="J177" i="14"/>
  <c r="R177" i="14" s="1"/>
  <c r="AH116" i="10"/>
  <c r="H71" i="8"/>
  <c r="H69" i="10" s="1"/>
  <c r="AA98" i="3"/>
  <c r="AG185" i="8"/>
  <c r="AF115" i="10"/>
  <c r="AF182" i="8" s="1"/>
  <c r="AE115" i="10"/>
  <c r="AE182" i="8" s="1"/>
  <c r="X30" i="7"/>
  <c r="X39" i="7" s="1"/>
  <c r="W30" i="7"/>
  <c r="W39" i="7" s="1"/>
  <c r="G45" i="8"/>
  <c r="G108" i="8" s="1"/>
  <c r="G112" i="8" s="1"/>
  <c r="G115" i="8" s="1"/>
  <c r="G116" i="8" s="1"/>
  <c r="Q45" i="8"/>
  <c r="Q253" i="8" s="1"/>
  <c r="Q255" i="8" s="1"/>
  <c r="H16" i="3"/>
  <c r="H78" i="3" s="1"/>
  <c r="I66" i="8"/>
  <c r="U13" i="3"/>
  <c r="E26" i="4" s="1"/>
  <c r="J66" i="8"/>
  <c r="N157" i="9"/>
  <c r="I59" i="8"/>
  <c r="W115" i="10"/>
  <c r="J120" i="10"/>
  <c r="T99" i="3"/>
  <c r="D69" i="4" s="1"/>
  <c r="M69" i="4" s="1"/>
  <c r="X115" i="10"/>
  <c r="X182" i="8" s="1"/>
  <c r="X185" i="8" s="1"/>
  <c r="V115" i="10"/>
  <c r="Z115" i="10"/>
  <c r="Z182" i="8" s="1"/>
  <c r="AB115" i="10"/>
  <c r="AB182" i="8" s="1"/>
  <c r="AC185" i="8"/>
  <c r="R98" i="3"/>
  <c r="R101" i="3" s="1"/>
  <c r="U115" i="10"/>
  <c r="AA115" i="10"/>
  <c r="AA182" i="8" s="1"/>
  <c r="AB207" i="8"/>
  <c r="AA83" i="8"/>
  <c r="W145" i="7"/>
  <c r="W49" i="7"/>
  <c r="U4" i="10"/>
  <c r="U164" i="10"/>
  <c r="U112" i="10"/>
  <c r="U74" i="10"/>
  <c r="V63" i="8"/>
  <c r="V164" i="10"/>
  <c r="V112" i="10"/>
  <c r="V28" i="7"/>
  <c r="V74" i="10"/>
  <c r="V4" i="10"/>
  <c r="W5" i="9"/>
  <c r="W234" i="8"/>
  <c r="W204" i="8"/>
  <c r="W73" i="8"/>
  <c r="W286" i="8"/>
  <c r="W275" i="8"/>
  <c r="W216" i="8"/>
  <c r="W160" i="8"/>
  <c r="W118" i="8"/>
  <c r="W190" i="8"/>
  <c r="W34" i="7"/>
  <c r="X209" i="7"/>
  <c r="Y209" i="7" s="1"/>
  <c r="W207" i="7"/>
  <c r="X127" i="7"/>
  <c r="W121" i="7"/>
  <c r="X197" i="7"/>
  <c r="W195" i="7"/>
  <c r="W196" i="7" s="1"/>
  <c r="X115" i="7"/>
  <c r="W109" i="7"/>
  <c r="X103" i="7"/>
  <c r="W97" i="7"/>
  <c r="X91" i="7"/>
  <c r="W85" i="7"/>
  <c r="W159" i="7"/>
  <c r="W160" i="7" s="1"/>
  <c r="X161" i="7"/>
  <c r="Y161" i="7" s="1"/>
  <c r="W147" i="7"/>
  <c r="W148" i="7" s="1"/>
  <c r="X149" i="7"/>
  <c r="Y149" i="7" s="1"/>
  <c r="X79" i="7"/>
  <c r="T196" i="7"/>
  <c r="T202" i="7"/>
  <c r="T198" i="7"/>
  <c r="P154" i="7"/>
  <c r="P150" i="7"/>
  <c r="Q150" i="7"/>
  <c r="T149" i="7"/>
  <c r="G61" i="8"/>
  <c r="G128" i="9" s="1"/>
  <c r="K162" i="7"/>
  <c r="K166" i="7"/>
  <c r="O161" i="7"/>
  <c r="L162" i="7"/>
  <c r="X34" i="7"/>
  <c r="AF171" i="7"/>
  <c r="AF172" i="7" s="1"/>
  <c r="AG173" i="7"/>
  <c r="AG171" i="7" s="1"/>
  <c r="V47" i="7"/>
  <c r="V31" i="7"/>
  <c r="Z142" i="8"/>
  <c r="O56" i="3" s="1"/>
  <c r="AA224" i="8"/>
  <c r="Y142" i="8"/>
  <c r="W56" i="3" s="1"/>
  <c r="N56" i="3"/>
  <c r="X225" i="8"/>
  <c r="X226" i="8" s="1"/>
  <c r="X141" i="8"/>
  <c r="Y223" i="8"/>
  <c r="V43" i="7"/>
  <c r="AC11" i="3"/>
  <c r="M24" i="4" s="1"/>
  <c r="F24" i="4"/>
  <c r="V101" i="3"/>
  <c r="F71" i="4" s="1"/>
  <c r="V13" i="3"/>
  <c r="F26" i="4" s="1"/>
  <c r="V35" i="7"/>
  <c r="X42" i="7"/>
  <c r="J39" i="8"/>
  <c r="K174" i="9" s="1"/>
  <c r="S71" i="8"/>
  <c r="S69" i="10" s="1"/>
  <c r="T71" i="8"/>
  <c r="T69" i="10" s="1"/>
  <c r="J87" i="3"/>
  <c r="I174" i="9"/>
  <c r="T133" i="9"/>
  <c r="I42" i="8"/>
  <c r="I133" i="9"/>
  <c r="V15" i="3"/>
  <c r="I138" i="9"/>
  <c r="K138" i="9"/>
  <c r="AC8" i="3"/>
  <c r="M21" i="4" s="1"/>
  <c r="U9" i="3"/>
  <c r="E22" i="4" s="1"/>
  <c r="T12" i="3"/>
  <c r="T76" i="3" s="1"/>
  <c r="D21" i="4"/>
  <c r="J185" i="8"/>
  <c r="J115" i="10"/>
  <c r="T98" i="3"/>
  <c r="T97" i="3"/>
  <c r="D67" i="4" s="1"/>
  <c r="M67" i="4" s="1"/>
  <c r="F54" i="8"/>
  <c r="F253" i="8"/>
  <c r="F255" i="8" s="1"/>
  <c r="F53" i="8"/>
  <c r="F237" i="8" s="1"/>
  <c r="F51" i="8"/>
  <c r="F108" i="8"/>
  <c r="F112" i="8" s="1"/>
  <c r="G50" i="16"/>
  <c r="O30" i="16"/>
  <c r="L108" i="8"/>
  <c r="L112" i="8" s="1"/>
  <c r="L51" i="8"/>
  <c r="L253" i="8"/>
  <c r="L255" i="8" s="1"/>
  <c r="L54" i="8"/>
  <c r="L53" i="8"/>
  <c r="L237" i="8" s="1"/>
  <c r="Q286" i="8"/>
  <c r="Q234" i="8"/>
  <c r="Q216" i="8"/>
  <c r="Q118" i="8"/>
  <c r="Q204" i="8"/>
  <c r="Q160" i="8"/>
  <c r="Q5" i="9"/>
  <c r="Q275" i="8"/>
  <c r="Q190" i="8"/>
  <c r="Q73" i="8"/>
  <c r="Q49" i="7"/>
  <c r="O309" i="8"/>
  <c r="O159" i="10" s="1"/>
  <c r="O308" i="8"/>
  <c r="AD49" i="7"/>
  <c r="AC249" i="8"/>
  <c r="H6" i="16"/>
  <c r="H30" i="16" s="1"/>
  <c r="X73" i="3"/>
  <c r="H19" i="4"/>
  <c r="H43" i="4" s="1"/>
  <c r="X32" i="3"/>
  <c r="N115" i="8"/>
  <c r="N116" i="8" s="1"/>
  <c r="N114" i="8"/>
  <c r="C157" i="17"/>
  <c r="O157" i="17" s="1"/>
  <c r="L32" i="3"/>
  <c r="L73" i="3"/>
  <c r="AD160" i="8"/>
  <c r="AD216" i="8"/>
  <c r="AD204" i="8"/>
  <c r="AD190" i="8"/>
  <c r="AD5" i="9"/>
  <c r="AD118" i="8"/>
  <c r="AD286" i="8"/>
  <c r="AD73" i="8"/>
  <c r="AD234" i="8"/>
  <c r="AD275" i="8"/>
  <c r="N49" i="7"/>
  <c r="K12" i="15"/>
  <c r="J13" i="15"/>
  <c r="K11" i="15"/>
  <c r="O44" i="17"/>
  <c r="C60" i="17"/>
  <c r="AF25" i="8"/>
  <c r="AG24" i="8"/>
  <c r="Z4" i="3"/>
  <c r="U76" i="3"/>
  <c r="E25" i="4"/>
  <c r="N6" i="3"/>
  <c r="Q112" i="17"/>
  <c r="N5" i="9"/>
  <c r="N190" i="8"/>
  <c r="N234" i="8"/>
  <c r="N216" i="8"/>
  <c r="N286" i="8"/>
  <c r="N73" i="8"/>
  <c r="N204" i="8"/>
  <c r="N160" i="8"/>
  <c r="N118" i="8"/>
  <c r="N275" i="8"/>
  <c r="I25" i="15"/>
  <c r="I28" i="15"/>
  <c r="AE164" i="10"/>
  <c r="AE112" i="10"/>
  <c r="AE4" i="10"/>
  <c r="AE74" i="10"/>
  <c r="Y6" i="3"/>
  <c r="AE28" i="7"/>
  <c r="AE145" i="7" s="1"/>
  <c r="AE63" i="8"/>
  <c r="E50" i="16"/>
  <c r="M30" i="16"/>
  <c r="K6" i="3"/>
  <c r="M108" i="8"/>
  <c r="M112" i="8" s="1"/>
  <c r="M51" i="8"/>
  <c r="M53" i="8"/>
  <c r="M237" i="8" s="1"/>
  <c r="M54" i="8"/>
  <c r="M253" i="8"/>
  <c r="M255" i="8" s="1"/>
  <c r="I22" i="15"/>
  <c r="AA24" i="8"/>
  <c r="AB25" i="8"/>
  <c r="K253" i="8"/>
  <c r="K108" i="8"/>
  <c r="K112" i="8" s="1"/>
  <c r="K51" i="8"/>
  <c r="K54" i="8"/>
  <c r="K53" i="8"/>
  <c r="K237" i="8" s="1"/>
  <c r="O45" i="8"/>
  <c r="H31" i="14" s="1"/>
  <c r="I32" i="14" s="1"/>
  <c r="G77" i="14"/>
  <c r="G16" i="13"/>
  <c r="G17" i="13" s="1"/>
  <c r="O6" i="13" s="1"/>
  <c r="F47" i="13"/>
  <c r="G47" i="13" s="1"/>
  <c r="G9" i="13"/>
  <c r="P260" i="8"/>
  <c r="T260" i="8" s="1"/>
  <c r="T259" i="8"/>
  <c r="S253" i="8"/>
  <c r="S255" i="8" s="1"/>
  <c r="S108" i="8"/>
  <c r="S112" i="8" s="1"/>
  <c r="S53" i="8"/>
  <c r="S237" i="8" s="1"/>
  <c r="S51" i="8"/>
  <c r="S54" i="8"/>
  <c r="J19" i="3"/>
  <c r="U87" i="3"/>
  <c r="E62" i="4" s="1"/>
  <c r="U16" i="3"/>
  <c r="P108" i="8"/>
  <c r="P112" i="8" s="1"/>
  <c r="P54" i="8"/>
  <c r="P253" i="8"/>
  <c r="P51" i="8"/>
  <c r="P53" i="8"/>
  <c r="P237" i="8" s="1"/>
  <c r="G19" i="3"/>
  <c r="J49" i="7"/>
  <c r="AC4" i="10"/>
  <c r="AC164" i="10"/>
  <c r="AC74" i="10"/>
  <c r="AC112" i="10"/>
  <c r="AC63" i="8"/>
  <c r="AC28" i="7"/>
  <c r="AC145" i="7" s="1"/>
  <c r="R6" i="3"/>
  <c r="L25" i="8"/>
  <c r="K24" i="8"/>
  <c r="K25" i="8" s="1"/>
  <c r="I19" i="15"/>
  <c r="D6" i="16"/>
  <c r="D30" i="16" s="1"/>
  <c r="T73" i="3"/>
  <c r="T32" i="3"/>
  <c r="G24" i="8"/>
  <c r="H25" i="8"/>
  <c r="N57" i="8"/>
  <c r="N56" i="8"/>
  <c r="H108" i="8"/>
  <c r="H112" i="8" s="1"/>
  <c r="H54" i="8"/>
  <c r="H53" i="8"/>
  <c r="H237" i="8" s="1"/>
  <c r="H253" i="8"/>
  <c r="H51" i="8"/>
  <c r="R253" i="8"/>
  <c r="R255" i="8" s="1"/>
  <c r="R54" i="8"/>
  <c r="R108" i="8"/>
  <c r="R112" i="8" s="1"/>
  <c r="R51" i="8"/>
  <c r="I19" i="3"/>
  <c r="R53" i="8"/>
  <c r="R237" i="8" s="1"/>
  <c r="E33" i="17"/>
  <c r="Q33" i="17" s="1"/>
  <c r="Q32" i="17"/>
  <c r="C127" i="17"/>
  <c r="AF245" i="8"/>
  <c r="AG239" i="8"/>
  <c r="P234" i="8"/>
  <c r="P216" i="8"/>
  <c r="P118" i="8"/>
  <c r="P204" i="8"/>
  <c r="P160" i="8"/>
  <c r="P5" i="9"/>
  <c r="P286" i="8"/>
  <c r="P190" i="8"/>
  <c r="P73" i="8"/>
  <c r="P275" i="8"/>
  <c r="Q96" i="17"/>
  <c r="M112" i="10"/>
  <c r="M164" i="10"/>
  <c r="M4" i="10"/>
  <c r="M74" i="10"/>
  <c r="M63" i="8"/>
  <c r="M28" i="7"/>
  <c r="M145" i="7" s="1"/>
  <c r="M32" i="3"/>
  <c r="M73" i="3"/>
  <c r="J5" i="9"/>
  <c r="J286" i="8"/>
  <c r="J160" i="8"/>
  <c r="J275" i="8"/>
  <c r="J73" i="8"/>
  <c r="J204" i="8"/>
  <c r="J216" i="8"/>
  <c r="J118" i="8"/>
  <c r="J190" i="8"/>
  <c r="J234" i="8"/>
  <c r="I4" i="10"/>
  <c r="I112" i="10"/>
  <c r="I164" i="10"/>
  <c r="I74" i="10"/>
  <c r="I63" i="8"/>
  <c r="I28" i="7"/>
  <c r="I145" i="7" s="1"/>
  <c r="V76" i="3"/>
  <c r="F25" i="4"/>
  <c r="G73" i="3"/>
  <c r="G32" i="3"/>
  <c r="AE291" i="8"/>
  <c r="AE92" i="8"/>
  <c r="P49" i="7"/>
  <c r="H32" i="3"/>
  <c r="H73" i="3"/>
  <c r="O237" i="14" l="1"/>
  <c r="O15" i="5"/>
  <c r="F237" i="14"/>
  <c r="N237" i="14" s="1"/>
  <c r="Q237" i="14"/>
  <c r="J237" i="14"/>
  <c r="R237" i="14" s="1"/>
  <c r="P253" i="14"/>
  <c r="I253" i="14"/>
  <c r="G253" i="14"/>
  <c r="L222" i="14"/>
  <c r="G114" i="8"/>
  <c r="G51" i="8"/>
  <c r="G56" i="8" s="1"/>
  <c r="C78" i="17"/>
  <c r="O61" i="17"/>
  <c r="C80" i="17"/>
  <c r="Q53" i="8"/>
  <c r="Q237" i="8" s="1"/>
  <c r="Q238" i="8" s="1"/>
  <c r="H19" i="3"/>
  <c r="Q51" i="8"/>
  <c r="Q56" i="8" s="1"/>
  <c r="Q54" i="8"/>
  <c r="Q108" i="8"/>
  <c r="Q112" i="8" s="1"/>
  <c r="Q114" i="8" s="1"/>
  <c r="Y98" i="3"/>
  <c r="AE185" i="8"/>
  <c r="Z98" i="3"/>
  <c r="AF185" i="8"/>
  <c r="G54" i="8"/>
  <c r="G53" i="8"/>
  <c r="G237" i="8" s="1"/>
  <c r="G238" i="8" s="1"/>
  <c r="K68" i="4"/>
  <c r="AA101" i="3"/>
  <c r="K71" i="4" s="1"/>
  <c r="G57" i="8"/>
  <c r="G253" i="8"/>
  <c r="G255" i="8" s="1"/>
  <c r="W51" i="10"/>
  <c r="W50" i="10"/>
  <c r="V45" i="10"/>
  <c r="N98" i="3"/>
  <c r="N101" i="3" s="1"/>
  <c r="AA185" i="8"/>
  <c r="P98" i="3"/>
  <c r="P101" i="3" s="1"/>
  <c r="Z185" i="8"/>
  <c r="O98" i="3"/>
  <c r="O101" i="3" s="1"/>
  <c r="Q98" i="3"/>
  <c r="Q101" i="3" s="1"/>
  <c r="AB185" i="8"/>
  <c r="V5" i="9"/>
  <c r="V118" i="8"/>
  <c r="V204" i="8"/>
  <c r="V216" i="8"/>
  <c r="V234" i="8"/>
  <c r="V190" i="8"/>
  <c r="V73" i="8"/>
  <c r="V275" i="8"/>
  <c r="V286" i="8"/>
  <c r="V160" i="8"/>
  <c r="V145" i="7"/>
  <c r="V49" i="7"/>
  <c r="AC207" i="8"/>
  <c r="AC83" i="8" s="1"/>
  <c r="AB83" i="8"/>
  <c r="X207" i="7"/>
  <c r="Y207" i="7" s="1"/>
  <c r="Y208" i="7" s="1"/>
  <c r="Z209" i="7"/>
  <c r="W208" i="7"/>
  <c r="Z197" i="7"/>
  <c r="X195" i="7"/>
  <c r="Y195" i="7" s="1"/>
  <c r="Y197" i="7"/>
  <c r="Z127" i="7"/>
  <c r="X121" i="7"/>
  <c r="Y121" i="7" s="1"/>
  <c r="Y127" i="7" s="1"/>
  <c r="Z115" i="7"/>
  <c r="X109" i="7"/>
  <c r="Y109" i="7" s="1"/>
  <c r="Y115" i="7" s="1"/>
  <c r="Z103" i="7"/>
  <c r="X97" i="7"/>
  <c r="Y97" i="7" s="1"/>
  <c r="Y103" i="7" s="1"/>
  <c r="Z161" i="7"/>
  <c r="X159" i="7"/>
  <c r="Y159" i="7" s="1"/>
  <c r="Z91" i="7"/>
  <c r="X85" i="7"/>
  <c r="Y85" i="7" s="1"/>
  <c r="Y91" i="7" s="1"/>
  <c r="Z79" i="7"/>
  <c r="Y79" i="7"/>
  <c r="X147" i="7"/>
  <c r="Y147" i="7" s="1"/>
  <c r="Z149" i="7"/>
  <c r="T150" i="7"/>
  <c r="T154" i="7"/>
  <c r="T148" i="7"/>
  <c r="O166" i="7"/>
  <c r="O162" i="7"/>
  <c r="O160" i="7"/>
  <c r="O157" i="9"/>
  <c r="AG172" i="7"/>
  <c r="AB224" i="8"/>
  <c r="AA142" i="8"/>
  <c r="P56" i="3" s="1"/>
  <c r="Z223" i="8"/>
  <c r="Y225" i="8"/>
  <c r="Y226" i="8" s="1"/>
  <c r="Y141" i="8"/>
  <c r="W55" i="3" s="1"/>
  <c r="N55" i="3"/>
  <c r="X47" i="7"/>
  <c r="X31" i="7"/>
  <c r="W31" i="7"/>
  <c r="X43" i="7"/>
  <c r="W35" i="7"/>
  <c r="W47" i="7"/>
  <c r="W43" i="7"/>
  <c r="X35" i="7"/>
  <c r="T15" i="3"/>
  <c r="U17" i="3" s="1"/>
  <c r="E30" i="4" s="1"/>
  <c r="J133" i="9"/>
  <c r="T261" i="8"/>
  <c r="J42" i="8"/>
  <c r="J71" i="8" s="1"/>
  <c r="J69" i="10" s="1"/>
  <c r="I45" i="8"/>
  <c r="I71" i="8"/>
  <c r="I69" i="10" s="1"/>
  <c r="Y255" i="8"/>
  <c r="V17" i="3"/>
  <c r="F30" i="4" s="1"/>
  <c r="V16" i="3"/>
  <c r="F7" i="16" s="1"/>
  <c r="V87" i="3"/>
  <c r="F62" i="4" s="1"/>
  <c r="T101" i="3"/>
  <c r="D71" i="4" s="1"/>
  <c r="M71" i="4" s="1"/>
  <c r="D68" i="4"/>
  <c r="M68" i="4" s="1"/>
  <c r="F115" i="8"/>
  <c r="F116" i="8" s="1"/>
  <c r="F114" i="8"/>
  <c r="F56" i="8"/>
  <c r="F61" i="8"/>
  <c r="F128" i="9" s="1"/>
  <c r="F57" i="8"/>
  <c r="F238" i="8"/>
  <c r="G20" i="3"/>
  <c r="G79" i="3" s="1"/>
  <c r="G80" i="3"/>
  <c r="G81" i="3"/>
  <c r="G82" i="3"/>
  <c r="AC275" i="8"/>
  <c r="AC286" i="8"/>
  <c r="AC216" i="8"/>
  <c r="AC204" i="8"/>
  <c r="AC190" i="8"/>
  <c r="AC5" i="9"/>
  <c r="AC234" i="8"/>
  <c r="AC118" i="8"/>
  <c r="AC160" i="8"/>
  <c r="AC73" i="8"/>
  <c r="P238" i="8"/>
  <c r="P56" i="8"/>
  <c r="P57" i="8"/>
  <c r="G23" i="3" s="1"/>
  <c r="N73" i="3"/>
  <c r="N32" i="3"/>
  <c r="L112" i="10"/>
  <c r="L164" i="10"/>
  <c r="L74" i="10"/>
  <c r="L4" i="10"/>
  <c r="L63" i="8"/>
  <c r="L28" i="7"/>
  <c r="L145" i="7" s="1"/>
  <c r="T253" i="8"/>
  <c r="P255" i="8"/>
  <c r="T255" i="8" s="1"/>
  <c r="I23" i="15"/>
  <c r="K73" i="3"/>
  <c r="K32" i="3"/>
  <c r="H164" i="10"/>
  <c r="H112" i="10"/>
  <c r="H74" i="10"/>
  <c r="H4" i="10"/>
  <c r="H63" i="8"/>
  <c r="H28" i="7"/>
  <c r="H145" i="7" s="1"/>
  <c r="H255" i="8"/>
  <c r="N128" i="9"/>
  <c r="F24" i="8"/>
  <c r="F25" i="8" s="1"/>
  <c r="G25" i="8"/>
  <c r="K112" i="10"/>
  <c r="K74" i="10"/>
  <c r="K4" i="10"/>
  <c r="K164" i="10"/>
  <c r="K63" i="8"/>
  <c r="K28" i="7"/>
  <c r="K145" i="7" s="1"/>
  <c r="T108" i="8"/>
  <c r="T112" i="8" s="1"/>
  <c r="T54" i="8"/>
  <c r="T53" i="8"/>
  <c r="T237" i="8" s="1"/>
  <c r="T238" i="8" s="1"/>
  <c r="V19" i="3"/>
  <c r="K13" i="15"/>
  <c r="J14" i="15"/>
  <c r="Z24" i="8"/>
  <c r="Z25" i="8" s="1"/>
  <c r="AA25" i="8"/>
  <c r="H115" i="8"/>
  <c r="H116" i="8" s="1"/>
  <c r="H114" i="8"/>
  <c r="N238" i="8"/>
  <c r="M57" i="8"/>
  <c r="M56" i="8"/>
  <c r="G70" i="16"/>
  <c r="C76" i="17"/>
  <c r="O60" i="17"/>
  <c r="I5" i="9"/>
  <c r="I286" i="8"/>
  <c r="I204" i="8"/>
  <c r="I190" i="8"/>
  <c r="I275" i="8"/>
  <c r="I160" i="8"/>
  <c r="I216" i="8"/>
  <c r="I118" i="8"/>
  <c r="I234" i="8"/>
  <c r="I73" i="8"/>
  <c r="M5" i="9"/>
  <c r="M286" i="8"/>
  <c r="M160" i="8"/>
  <c r="M190" i="8"/>
  <c r="M234" i="8"/>
  <c r="M73" i="8"/>
  <c r="M204" i="8"/>
  <c r="M216" i="8"/>
  <c r="M275" i="8"/>
  <c r="M118" i="8"/>
  <c r="R114" i="8"/>
  <c r="R115" i="8"/>
  <c r="R116" i="8" s="1"/>
  <c r="K115" i="8"/>
  <c r="K116" i="8" s="1"/>
  <c r="K114" i="8"/>
  <c r="M50" i="16"/>
  <c r="M49" i="7"/>
  <c r="I6" i="16"/>
  <c r="I30" i="16" s="1"/>
  <c r="I19" i="4"/>
  <c r="I43" i="4" s="1"/>
  <c r="Y32" i="3"/>
  <c r="Y73" i="3"/>
  <c r="L115" i="8"/>
  <c r="L116" i="8" s="1"/>
  <c r="L114" i="8"/>
  <c r="AC49" i="7"/>
  <c r="M114" i="8"/>
  <c r="M115" i="8"/>
  <c r="M116" i="8" s="1"/>
  <c r="Q61" i="8"/>
  <c r="H50" i="16"/>
  <c r="P30" i="16"/>
  <c r="AB164" i="10"/>
  <c r="AB74" i="10"/>
  <c r="AB4" i="10"/>
  <c r="AB112" i="10"/>
  <c r="AB63" i="8"/>
  <c r="Q6" i="3"/>
  <c r="AB28" i="7"/>
  <c r="AB145" i="7" s="1"/>
  <c r="I49" i="7"/>
  <c r="K57" i="8"/>
  <c r="K56" i="8"/>
  <c r="O51" i="8"/>
  <c r="O253" i="8"/>
  <c r="K255" i="8"/>
  <c r="O255" i="8" s="1"/>
  <c r="AG245" i="8"/>
  <c r="R73" i="3"/>
  <c r="R32" i="3"/>
  <c r="H56" i="8"/>
  <c r="H57" i="8"/>
  <c r="O108" i="8"/>
  <c r="O112" i="8" s="1"/>
  <c r="O54" i="8"/>
  <c r="O53" i="8"/>
  <c r="O237" i="8" s="1"/>
  <c r="O238" i="8" s="1"/>
  <c r="U19" i="3"/>
  <c r="O50" i="16"/>
  <c r="I80" i="3"/>
  <c r="I20" i="3"/>
  <c r="I79" i="3" s="1"/>
  <c r="I81" i="3"/>
  <c r="I82" i="3"/>
  <c r="R57" i="8"/>
  <c r="I23" i="3" s="1"/>
  <c r="R61" i="8"/>
  <c r="R56" i="8"/>
  <c r="E7" i="16"/>
  <c r="U78" i="3"/>
  <c r="H80" i="3"/>
  <c r="H20" i="3"/>
  <c r="H79" i="3" s="1"/>
  <c r="H81" i="3"/>
  <c r="H82" i="3"/>
  <c r="AF291" i="8"/>
  <c r="AF92" i="8"/>
  <c r="J20" i="3"/>
  <c r="J79" i="3" s="1"/>
  <c r="J81" i="3"/>
  <c r="J82" i="3"/>
  <c r="J80" i="3"/>
  <c r="AE249" i="8"/>
  <c r="I29" i="15"/>
  <c r="I32" i="15"/>
  <c r="D50" i="16"/>
  <c r="L30" i="16"/>
  <c r="E70" i="16"/>
  <c r="S57" i="8"/>
  <c r="J23" i="3" s="1"/>
  <c r="S56" i="8"/>
  <c r="S61" i="8"/>
  <c r="AG25" i="8"/>
  <c r="AA4" i="3"/>
  <c r="AK12" i="15"/>
  <c r="BK12" i="15"/>
  <c r="I26" i="15"/>
  <c r="AE160" i="8"/>
  <c r="AE286" i="8"/>
  <c r="AE234" i="8"/>
  <c r="AE204" i="8"/>
  <c r="AE190" i="8"/>
  <c r="AE5" i="9"/>
  <c r="AE118" i="8"/>
  <c r="AE216" i="8"/>
  <c r="AE73" i="8"/>
  <c r="AE275" i="8"/>
  <c r="AF164" i="10"/>
  <c r="AF74" i="10"/>
  <c r="AF112" i="10"/>
  <c r="AF4" i="10"/>
  <c r="AF63" i="8"/>
  <c r="AF28" i="7"/>
  <c r="AF145" i="7" s="1"/>
  <c r="Z6" i="3"/>
  <c r="AK11" i="15"/>
  <c r="BK11" i="15"/>
  <c r="P115" i="8"/>
  <c r="P116" i="8" s="1"/>
  <c r="P114" i="8"/>
  <c r="C143" i="17"/>
  <c r="C159" i="17" s="1"/>
  <c r="S114" i="8"/>
  <c r="S115" i="8"/>
  <c r="S116" i="8" s="1"/>
  <c r="AE49" i="7"/>
  <c r="L57" i="8"/>
  <c r="L56" i="8"/>
  <c r="J253" i="14" l="1"/>
  <c r="R253" i="14" s="1"/>
  <c r="Q253" i="14"/>
  <c r="O253" i="14"/>
  <c r="F253" i="14"/>
  <c r="N253" i="14" s="1"/>
  <c r="O13" i="5"/>
  <c r="R238" i="8"/>
  <c r="S238" i="8"/>
  <c r="Q57" i="8"/>
  <c r="H23" i="3" s="1"/>
  <c r="Q115" i="8"/>
  <c r="Q116" i="8" s="1"/>
  <c r="H238" i="8"/>
  <c r="T51" i="8"/>
  <c r="T56" i="8" s="1"/>
  <c r="C94" i="17"/>
  <c r="C110" i="17" s="1"/>
  <c r="O78" i="17"/>
  <c r="C96" i="17"/>
  <c r="C112" i="17" s="1"/>
  <c r="J68" i="4"/>
  <c r="Z101" i="3"/>
  <c r="J71" i="4" s="1"/>
  <c r="Y101" i="3"/>
  <c r="I71" i="4" s="1"/>
  <c r="I68" i="4"/>
  <c r="AD207" i="8"/>
  <c r="AE207" i="8" s="1"/>
  <c r="AF207" i="8" s="1"/>
  <c r="V68" i="8"/>
  <c r="AD83" i="8"/>
  <c r="AE83" i="8"/>
  <c r="X208" i="7"/>
  <c r="AA209" i="7"/>
  <c r="Z207" i="7"/>
  <c r="X196" i="7"/>
  <c r="Y196" i="7"/>
  <c r="AA127" i="7"/>
  <c r="Z121" i="7"/>
  <c r="Z195" i="7"/>
  <c r="AA197" i="7"/>
  <c r="AA115" i="7"/>
  <c r="Z109" i="7"/>
  <c r="AA103" i="7"/>
  <c r="Z97" i="7"/>
  <c r="AA91" i="7"/>
  <c r="Z85" i="7"/>
  <c r="AA161" i="7"/>
  <c r="Z159" i="7"/>
  <c r="X160" i="7"/>
  <c r="AA149" i="7"/>
  <c r="Z147" i="7"/>
  <c r="Y148" i="7"/>
  <c r="AA79" i="7"/>
  <c r="X148" i="7"/>
  <c r="P161" i="7"/>
  <c r="T87" i="3"/>
  <c r="D62" i="4" s="1"/>
  <c r="M62" i="4" s="1"/>
  <c r="AC15" i="3"/>
  <c r="AC224" i="8"/>
  <c r="AB142" i="8"/>
  <c r="Q56" i="3" s="1"/>
  <c r="Y259" i="8"/>
  <c r="Z225" i="8"/>
  <c r="Z226" i="8" s="1"/>
  <c r="Z141" i="8"/>
  <c r="O55" i="3" s="1"/>
  <c r="AA223" i="8"/>
  <c r="T16" i="3"/>
  <c r="D7" i="16" s="1"/>
  <c r="V78" i="3"/>
  <c r="J45" i="8"/>
  <c r="G31" i="14" s="1"/>
  <c r="H32" i="14" s="1"/>
  <c r="I253" i="8"/>
  <c r="I53" i="8"/>
  <c r="I237" i="8" s="1"/>
  <c r="I51" i="8"/>
  <c r="I108" i="8"/>
  <c r="I112" i="8" s="1"/>
  <c r="I54" i="8"/>
  <c r="G176" i="9"/>
  <c r="I33" i="15"/>
  <c r="I36" i="15"/>
  <c r="K49" i="7"/>
  <c r="AG112" i="10"/>
  <c r="AG164" i="10"/>
  <c r="AG74" i="10"/>
  <c r="AG4" i="10"/>
  <c r="AG63" i="8"/>
  <c r="AG28" i="7"/>
  <c r="AG145" i="7" s="1"/>
  <c r="AA6" i="3"/>
  <c r="O115" i="8"/>
  <c r="O116" i="8" s="1"/>
  <c r="O114" i="8"/>
  <c r="E39" i="4"/>
  <c r="AB49" i="7"/>
  <c r="K5" i="9"/>
  <c r="K286" i="8"/>
  <c r="K160" i="8"/>
  <c r="K234" i="8"/>
  <c r="K275" i="8"/>
  <c r="K73" i="8"/>
  <c r="K204" i="8"/>
  <c r="K216" i="8"/>
  <c r="K190" i="8"/>
  <c r="K118" i="8"/>
  <c r="Q32" i="3"/>
  <c r="Q73" i="3"/>
  <c r="M70" i="16"/>
  <c r="AB5" i="9"/>
  <c r="AB275" i="8"/>
  <c r="AB286" i="8"/>
  <c r="AB216" i="8"/>
  <c r="AB118" i="8"/>
  <c r="AB190" i="8"/>
  <c r="AB234" i="8"/>
  <c r="AB204" i="8"/>
  <c r="AB160" i="8"/>
  <c r="AB73" i="8"/>
  <c r="M176" i="9"/>
  <c r="M128" i="9"/>
  <c r="D70" i="16"/>
  <c r="F164" i="10"/>
  <c r="F112" i="10"/>
  <c r="F74" i="10"/>
  <c r="F275" i="8"/>
  <c r="F216" i="8"/>
  <c r="F204" i="8"/>
  <c r="F190" i="8"/>
  <c r="F234" i="8"/>
  <c r="F63" i="8"/>
  <c r="F5" i="9" s="1"/>
  <c r="F286" i="8"/>
  <c r="F118" i="8"/>
  <c r="F4" i="10"/>
  <c r="F73" i="8"/>
  <c r="F160" i="8"/>
  <c r="F28" i="7"/>
  <c r="K14" i="19" a="1"/>
  <c r="K14" i="19" s="1"/>
  <c r="J14" i="18" a="1"/>
  <c r="J14" i="18" s="1"/>
  <c r="K17" i="19" a="1"/>
  <c r="K17" i="19" s="1"/>
  <c r="K12" i="19" a="1"/>
  <c r="K12" i="19" s="1"/>
  <c r="V57" i="3" a="1"/>
  <c r="V57" i="3" s="1"/>
  <c r="V59" i="3" s="1"/>
  <c r="V70" i="3" s="1"/>
  <c r="K36" i="19" a="1"/>
  <c r="K36" i="19" s="1"/>
  <c r="K15" i="19" a="1"/>
  <c r="K15" i="19" s="1"/>
  <c r="J13" i="18" a="1"/>
  <c r="J13" i="18" s="1"/>
  <c r="K19" i="19" a="1"/>
  <c r="K19" i="19" s="1"/>
  <c r="J34" i="18" a="1"/>
  <c r="J34" i="18" s="1"/>
  <c r="J17" i="18" a="1"/>
  <c r="J17" i="18" s="1"/>
  <c r="J19" i="18" a="1"/>
  <c r="J19" i="18" s="1"/>
  <c r="J12" i="18" a="1"/>
  <c r="J12" i="18" s="1"/>
  <c r="K33" i="19" a="1"/>
  <c r="K33" i="19" s="1"/>
  <c r="K13" i="19" a="1"/>
  <c r="K13" i="19" s="1"/>
  <c r="J15" i="18" a="1"/>
  <c r="J15" i="18" s="1"/>
  <c r="K21" i="19" a="1"/>
  <c r="K21" i="19" s="1"/>
  <c r="J21" i="18" a="1"/>
  <c r="J21" i="18" s="1"/>
  <c r="J28" i="18" a="1"/>
  <c r="J28" i="18" s="1"/>
  <c r="J35" i="18" a="1"/>
  <c r="J35" i="18" s="1"/>
  <c r="K27" i="19" a="1"/>
  <c r="K27" i="19" s="1"/>
  <c r="K28" i="19" a="1"/>
  <c r="K28" i="19" s="1"/>
  <c r="J31" i="18" a="1"/>
  <c r="J31" i="18" s="1"/>
  <c r="F71" i="16" a="1"/>
  <c r="F71" i="16" s="1"/>
  <c r="J44" i="18" a="1"/>
  <c r="J44" i="18" s="1"/>
  <c r="K42" i="19" a="1"/>
  <c r="K42" i="19" s="1"/>
  <c r="I31" i="19" a="1"/>
  <c r="I31" i="19" s="1"/>
  <c r="K29" i="19" a="1"/>
  <c r="K29" i="19" s="1"/>
  <c r="J29" i="18" a="1"/>
  <c r="J29" i="18" s="1"/>
  <c r="K43" i="19" a="1"/>
  <c r="K43" i="19" s="1"/>
  <c r="J36" i="18" a="1"/>
  <c r="J36" i="18" s="1"/>
  <c r="J37" i="18" a="1"/>
  <c r="J37" i="18" s="1"/>
  <c r="J32" i="18" a="1"/>
  <c r="J32" i="18" s="1"/>
  <c r="K30" i="19" a="1"/>
  <c r="K30" i="19" s="1"/>
  <c r="K31" i="19" a="1"/>
  <c r="K31" i="19" s="1"/>
  <c r="J27" i="18" a="1"/>
  <c r="J27" i="18" s="1"/>
  <c r="J43" i="18" a="1"/>
  <c r="J43" i="18" s="1"/>
  <c r="J30" i="18" a="1"/>
  <c r="J30" i="18" s="1"/>
  <c r="J42" i="18" a="1"/>
  <c r="J42" i="18" s="1"/>
  <c r="K26" i="19" a="1"/>
  <c r="K26" i="19" s="1"/>
  <c r="J26" i="18" a="1"/>
  <c r="J26" i="18" s="1"/>
  <c r="K35" i="19" a="1"/>
  <c r="K35" i="19" s="1"/>
  <c r="K44" i="19" a="1"/>
  <c r="K44" i="19" s="1"/>
  <c r="J33" i="18" a="1"/>
  <c r="J33" i="18" s="1"/>
  <c r="K32" i="19" a="1"/>
  <c r="K32" i="19" s="1"/>
  <c r="K37" i="19" a="1"/>
  <c r="K37" i="19" s="1"/>
  <c r="K34" i="19" a="1"/>
  <c r="K34" i="19" s="1"/>
  <c r="I29" i="19" a="1"/>
  <c r="I29" i="19" s="1"/>
  <c r="L12" i="19" a="1"/>
  <c r="L12" i="19" s="1"/>
  <c r="H37" i="18" a="1"/>
  <c r="H37" i="18" s="1"/>
  <c r="H29" i="19" a="1"/>
  <c r="H29" i="19" s="1"/>
  <c r="H37" i="19" a="1"/>
  <c r="H37" i="19" s="1"/>
  <c r="H33" i="18" a="1"/>
  <c r="H33" i="18" s="1"/>
  <c r="L17" i="19" a="1"/>
  <c r="L17" i="19" s="1"/>
  <c r="I30" i="19" a="1"/>
  <c r="I30" i="19" s="1"/>
  <c r="H36" i="19" a="1"/>
  <c r="H36" i="19" s="1"/>
  <c r="K17" i="18" a="1"/>
  <c r="K17" i="18" s="1"/>
  <c r="H34" i="19" a="1"/>
  <c r="H34" i="19" s="1"/>
  <c r="H35" i="18" a="1"/>
  <c r="H35" i="18" s="1"/>
  <c r="I35" i="19" a="1"/>
  <c r="I35" i="19" s="1"/>
  <c r="L14" i="19" a="1"/>
  <c r="L14" i="19" s="1"/>
  <c r="H34" i="18" a="1"/>
  <c r="H34" i="18" s="1"/>
  <c r="K19" i="18" a="1"/>
  <c r="K19" i="18" s="1"/>
  <c r="J31" i="19" a="1"/>
  <c r="J31" i="19" s="1"/>
  <c r="I36" i="19" a="1"/>
  <c r="I36" i="19" s="1"/>
  <c r="H32" i="19" a="1"/>
  <c r="H32" i="19" s="1"/>
  <c r="H27" i="19" a="1"/>
  <c r="H27" i="19" s="1"/>
  <c r="L19" i="19" a="1"/>
  <c r="L19" i="19" s="1"/>
  <c r="H36" i="18" a="1"/>
  <c r="H36" i="18" s="1"/>
  <c r="I27" i="19" a="1"/>
  <c r="I27" i="19" s="1"/>
  <c r="K13" i="18" a="1"/>
  <c r="K13" i="18" s="1"/>
  <c r="I28" i="19" a="1"/>
  <c r="I28" i="19" s="1"/>
  <c r="L13" i="19" a="1"/>
  <c r="L13" i="19" s="1"/>
  <c r="H32" i="18" a="1"/>
  <c r="H32" i="18" s="1"/>
  <c r="H28" i="18" a="1"/>
  <c r="H28" i="18" s="1"/>
  <c r="I37" i="19" a="1"/>
  <c r="I37" i="19" s="1"/>
  <c r="H33" i="19" a="1"/>
  <c r="H33" i="19" s="1"/>
  <c r="L21" i="19" a="1"/>
  <c r="L21" i="19" s="1"/>
  <c r="K15" i="18" a="1"/>
  <c r="K15" i="18" s="1"/>
  <c r="H29" i="18" a="1"/>
  <c r="H29" i="18" s="1"/>
  <c r="H27" i="18" a="1"/>
  <c r="H27" i="18" s="1"/>
  <c r="H30" i="18" a="1"/>
  <c r="H30" i="18" s="1"/>
  <c r="K21" i="18" a="1"/>
  <c r="K21" i="18" s="1"/>
  <c r="H28" i="19" a="1"/>
  <c r="H28" i="19" s="1"/>
  <c r="I32" i="19" a="1"/>
  <c r="I32" i="19" s="1"/>
  <c r="K14" i="18" a="1"/>
  <c r="K14" i="18" s="1"/>
  <c r="I33" i="19" a="1"/>
  <c r="I33" i="19" s="1"/>
  <c r="I31" i="18" a="1"/>
  <c r="I31" i="18" s="1"/>
  <c r="I26" i="19" a="1"/>
  <c r="I26" i="19" s="1"/>
  <c r="H26" i="19" a="1"/>
  <c r="H26" i="19" s="1"/>
  <c r="K12" i="18" a="1"/>
  <c r="K12" i="18" s="1"/>
  <c r="H35" i="19" a="1"/>
  <c r="H35" i="19" s="1"/>
  <c r="H31" i="18" a="1"/>
  <c r="H31" i="18" s="1"/>
  <c r="H31" i="19" a="1"/>
  <c r="H31" i="19" s="1"/>
  <c r="I34" i="19" a="1"/>
  <c r="I34" i="19" s="1"/>
  <c r="L15" i="19" a="1"/>
  <c r="L15" i="19" s="1"/>
  <c r="H30" i="19" a="1"/>
  <c r="H30" i="19" s="1"/>
  <c r="H26" i="18" a="1"/>
  <c r="H26" i="18" s="1"/>
  <c r="L43" i="19" a="1"/>
  <c r="L43" i="19" s="1"/>
  <c r="K33" i="18" a="1"/>
  <c r="K33" i="18" s="1"/>
  <c r="L26" i="19" a="1"/>
  <c r="L26" i="19" s="1"/>
  <c r="K35" i="18" a="1"/>
  <c r="K35" i="18" s="1"/>
  <c r="L42" i="19" a="1"/>
  <c r="L42" i="19" s="1"/>
  <c r="K34" i="18" a="1"/>
  <c r="K34" i="18" s="1"/>
  <c r="K36" i="18" a="1"/>
  <c r="K36" i="18" s="1"/>
  <c r="L32" i="19" a="1"/>
  <c r="L32" i="19" s="1"/>
  <c r="K32" i="18" a="1"/>
  <c r="K32" i="18" s="1"/>
  <c r="L37" i="19" a="1"/>
  <c r="L37" i="19" s="1"/>
  <c r="J57" i="3" a="1"/>
  <c r="J57" i="3" s="1"/>
  <c r="J59" i="3" s="1"/>
  <c r="J70" i="3" s="1"/>
  <c r="K37" i="18" a="1"/>
  <c r="K37" i="18" s="1"/>
  <c r="L33" i="19" a="1"/>
  <c r="L33" i="19" s="1"/>
  <c r="L27" i="19" a="1"/>
  <c r="L27" i="19" s="1"/>
  <c r="L30" i="19" a="1"/>
  <c r="L30" i="19" s="1"/>
  <c r="K42" i="18" a="1"/>
  <c r="K42" i="18" s="1"/>
  <c r="K31" i="18" a="1"/>
  <c r="K31" i="18" s="1"/>
  <c r="L35" i="19" a="1"/>
  <c r="L35" i="19" s="1"/>
  <c r="L36" i="19" a="1"/>
  <c r="L36" i="19" s="1"/>
  <c r="L31" i="19" a="1"/>
  <c r="L31" i="19" s="1"/>
  <c r="L44" i="19" a="1"/>
  <c r="L44" i="19" s="1"/>
  <c r="K29" i="18" a="1"/>
  <c r="K29" i="18" s="1"/>
  <c r="L34" i="19" a="1"/>
  <c r="L34" i="19" s="1"/>
  <c r="K30" i="18" a="1"/>
  <c r="K30" i="18" s="1"/>
  <c r="K43" i="18" a="1"/>
  <c r="K43" i="18" s="1"/>
  <c r="K28" i="18" a="1"/>
  <c r="K28" i="18" s="1"/>
  <c r="K26" i="18" a="1"/>
  <c r="K26" i="18" s="1"/>
  <c r="L28" i="19" a="1"/>
  <c r="L28" i="19" s="1"/>
  <c r="K27" i="18" a="1"/>
  <c r="K27" i="18" s="1"/>
  <c r="K44" i="18" a="1"/>
  <c r="K44" i="18" s="1"/>
  <c r="L29" i="19" a="1"/>
  <c r="L29" i="19" s="1"/>
  <c r="U57" i="3" a="1"/>
  <c r="U57" i="3" s="1"/>
  <c r="U59" i="3" s="1"/>
  <c r="U70" i="3" s="1"/>
  <c r="I57" i="3" a="1"/>
  <c r="I57" i="3" s="1"/>
  <c r="I59" i="3" s="1"/>
  <c r="I70" i="3" s="1"/>
  <c r="T115" i="8"/>
  <c r="T116" i="8" s="1"/>
  <c r="T114" i="8"/>
  <c r="F39" i="4"/>
  <c r="N176" i="9"/>
  <c r="L50" i="16"/>
  <c r="O56" i="8"/>
  <c r="O57" i="8"/>
  <c r="U23" i="3" s="1"/>
  <c r="P50" i="16"/>
  <c r="T57" i="3" a="1"/>
  <c r="T57" i="3" s="1"/>
  <c r="T59" i="3" s="1"/>
  <c r="T70" i="3" s="1"/>
  <c r="H61" i="8"/>
  <c r="AG291" i="8"/>
  <c r="AG92" i="8"/>
  <c r="Q159" i="9"/>
  <c r="Q128" i="9"/>
  <c r="H27" i="3"/>
  <c r="H70" i="16"/>
  <c r="C92" i="17"/>
  <c r="O76" i="17"/>
  <c r="AA164" i="10"/>
  <c r="AA4" i="10"/>
  <c r="AA74" i="10"/>
  <c r="AA112" i="10"/>
  <c r="AA63" i="8"/>
  <c r="P6" i="3"/>
  <c r="AA28" i="7"/>
  <c r="AA145" i="7" s="1"/>
  <c r="H49" i="7"/>
  <c r="L49" i="7"/>
  <c r="V82" i="3"/>
  <c r="F57" i="4" s="1"/>
  <c r="V81" i="3"/>
  <c r="F56" i="4" s="1"/>
  <c r="V80" i="3"/>
  <c r="F55" i="4" s="1"/>
  <c r="F32" i="4"/>
  <c r="V21" i="3"/>
  <c r="F34" i="4" s="1"/>
  <c r="V20" i="3"/>
  <c r="S159" i="9"/>
  <c r="S128" i="9"/>
  <c r="S176" i="9"/>
  <c r="J27" i="3"/>
  <c r="O59" i="8"/>
  <c r="L176" i="9"/>
  <c r="Q30" i="16"/>
  <c r="I50" i="16"/>
  <c r="Z164" i="10"/>
  <c r="Z112" i="10"/>
  <c r="Z4" i="10"/>
  <c r="Z74" i="10"/>
  <c r="Z63" i="8"/>
  <c r="Z28" i="7"/>
  <c r="Z145" i="7" s="1"/>
  <c r="O6" i="3"/>
  <c r="H5" i="9"/>
  <c r="H204" i="8"/>
  <c r="H190" i="8"/>
  <c r="H275" i="8"/>
  <c r="H160" i="8"/>
  <c r="H286" i="8"/>
  <c r="H118" i="8"/>
  <c r="H216" i="8"/>
  <c r="H73" i="8"/>
  <c r="H234" i="8"/>
  <c r="L5" i="9"/>
  <c r="L286" i="8"/>
  <c r="L160" i="8"/>
  <c r="L190" i="8"/>
  <c r="L275" i="8"/>
  <c r="L234" i="8"/>
  <c r="L73" i="8"/>
  <c r="L204" i="8"/>
  <c r="L118" i="8"/>
  <c r="L216" i="8"/>
  <c r="P61" i="8"/>
  <c r="T59" i="8"/>
  <c r="I90" i="16"/>
  <c r="E71" i="16" a="1"/>
  <c r="E71" i="16" s="1"/>
  <c r="J19" i="4"/>
  <c r="J43" i="4" s="1"/>
  <c r="Z32" i="3"/>
  <c r="Z73" i="3"/>
  <c r="L159" i="9"/>
  <c r="L128" i="9"/>
  <c r="AF49" i="7"/>
  <c r="AF249" i="8"/>
  <c r="T57" i="8"/>
  <c r="V23" i="3" s="1"/>
  <c r="R159" i="9"/>
  <c r="R128" i="9"/>
  <c r="R176" i="9"/>
  <c r="I27" i="3"/>
  <c r="H57" i="3" a="1"/>
  <c r="H57" i="3" s="1"/>
  <c r="H59" i="3" s="1"/>
  <c r="H70" i="3" s="1"/>
  <c r="I30" i="15"/>
  <c r="AF160" i="8"/>
  <c r="AF286" i="8"/>
  <c r="AF190" i="8"/>
  <c r="AF5" i="9"/>
  <c r="AF204" i="8"/>
  <c r="AF216" i="8"/>
  <c r="AF73" i="8"/>
  <c r="AF234" i="8"/>
  <c r="AF275" i="8"/>
  <c r="AF118" i="8"/>
  <c r="O70" i="16"/>
  <c r="K14" i="15"/>
  <c r="J15" i="15"/>
  <c r="U82" i="3"/>
  <c r="E57" i="4" s="1"/>
  <c r="U81" i="3"/>
  <c r="E56" i="4" s="1"/>
  <c r="U80" i="3"/>
  <c r="E55" i="4" s="1"/>
  <c r="E32" i="4"/>
  <c r="U20" i="3"/>
  <c r="I27" i="15"/>
  <c r="G164" i="10"/>
  <c r="G4" i="10"/>
  <c r="G112" i="10"/>
  <c r="G74" i="10"/>
  <c r="G63" i="8"/>
  <c r="G28" i="7"/>
  <c r="G145" i="7" s="1"/>
  <c r="K90" i="16"/>
  <c r="P90" i="16"/>
  <c r="BK13" i="15"/>
  <c r="AK13" i="15"/>
  <c r="C126" i="17" l="1"/>
  <c r="C128" i="17"/>
  <c r="C144" i="17" s="1"/>
  <c r="C160" i="17" s="1"/>
  <c r="W45" i="10"/>
  <c r="X51" i="10"/>
  <c r="X50" i="10"/>
  <c r="AG207" i="8"/>
  <c r="AG83" i="8" s="1"/>
  <c r="AF83" i="8"/>
  <c r="L31" i="16" a="1"/>
  <c r="L31" i="16" s="1"/>
  <c r="D51" i="16" a="1"/>
  <c r="D51" i="16" s="1"/>
  <c r="F145" i="7"/>
  <c r="AA207" i="7"/>
  <c r="AB209" i="7"/>
  <c r="Z208" i="7"/>
  <c r="AA195" i="7"/>
  <c r="AB197" i="7"/>
  <c r="AB127" i="7"/>
  <c r="AA121" i="7"/>
  <c r="Z196" i="7"/>
  <c r="AB115" i="7"/>
  <c r="AA109" i="7"/>
  <c r="AB103" i="7"/>
  <c r="AA97" i="7"/>
  <c r="Z160" i="7"/>
  <c r="AA159" i="7"/>
  <c r="AB161" i="7"/>
  <c r="AB91" i="7"/>
  <c r="AA85" i="7"/>
  <c r="AB79" i="7"/>
  <c r="Z148" i="7"/>
  <c r="AB149" i="7"/>
  <c r="AA147" i="7"/>
  <c r="Q162" i="7"/>
  <c r="P162" i="7"/>
  <c r="P166" i="7"/>
  <c r="T161" i="7"/>
  <c r="AC142" i="8"/>
  <c r="AD224" i="8"/>
  <c r="AE224" i="8" s="1"/>
  <c r="AA141" i="8"/>
  <c r="P55" i="3" s="1"/>
  <c r="AB223" i="8"/>
  <c r="AA225" i="8"/>
  <c r="AA226" i="8" s="1"/>
  <c r="T78" i="3"/>
  <c r="I57" i="8"/>
  <c r="J51" i="8"/>
  <c r="I56" i="8"/>
  <c r="I238" i="8"/>
  <c r="M238" i="8"/>
  <c r="L238" i="8"/>
  <c r="K238" i="8"/>
  <c r="J54" i="8"/>
  <c r="J53" i="8"/>
  <c r="J237" i="8" s="1"/>
  <c r="J238" i="8" s="1"/>
  <c r="J108" i="8"/>
  <c r="J112" i="8" s="1"/>
  <c r="D71" i="16" s="1" a="1"/>
  <c r="D71" i="16" s="1"/>
  <c r="E72" i="16" s="1"/>
  <c r="T19" i="3"/>
  <c r="I255" i="8"/>
  <c r="J255" i="8" s="1"/>
  <c r="J253" i="8"/>
  <c r="I115" i="8"/>
  <c r="I116" i="8" s="1"/>
  <c r="I114" i="8"/>
  <c r="K20" i="18"/>
  <c r="F72" i="16"/>
  <c r="N71" i="16" a="1"/>
  <c r="N71" i="16" s="1"/>
  <c r="BK14" i="15"/>
  <c r="AK14" i="15"/>
  <c r="L37" i="18"/>
  <c r="N37" i="18"/>
  <c r="M37" i="18"/>
  <c r="P176" i="9"/>
  <c r="P159" i="9"/>
  <c r="P128" i="9"/>
  <c r="T61" i="8"/>
  <c r="G27" i="3"/>
  <c r="P29" i="19"/>
  <c r="O29" i="19"/>
  <c r="AG160" i="8"/>
  <c r="AG286" i="8"/>
  <c r="AG190" i="8"/>
  <c r="AG5" i="9"/>
  <c r="AG204" i="8"/>
  <c r="AG73" i="8"/>
  <c r="AG234" i="8"/>
  <c r="AG275" i="8"/>
  <c r="AG216" i="8"/>
  <c r="AG118" i="8"/>
  <c r="O73" i="3"/>
  <c r="O32" i="3"/>
  <c r="N32" i="18"/>
  <c r="M32" i="18"/>
  <c r="L32" i="18"/>
  <c r="P31" i="19"/>
  <c r="O31" i="19"/>
  <c r="H128" i="9"/>
  <c r="H176" i="9"/>
  <c r="P33" i="19"/>
  <c r="O33" i="19"/>
  <c r="K20" i="19"/>
  <c r="AG49" i="7"/>
  <c r="N30" i="19"/>
  <c r="M30" i="19"/>
  <c r="N28" i="18"/>
  <c r="M28" i="18"/>
  <c r="L28" i="18"/>
  <c r="N34" i="18"/>
  <c r="M34" i="18"/>
  <c r="L34" i="18"/>
  <c r="M159" i="9"/>
  <c r="Z49" i="7"/>
  <c r="Q90" i="16"/>
  <c r="L90" i="16"/>
  <c r="P70" i="16"/>
  <c r="P32" i="19"/>
  <c r="O32" i="19"/>
  <c r="P35" i="19"/>
  <c r="O35" i="19"/>
  <c r="M51" i="16" a="1"/>
  <c r="M51" i="16" s="1"/>
  <c r="C108" i="17"/>
  <c r="O92" i="17"/>
  <c r="N26" i="18"/>
  <c r="M26" i="18"/>
  <c r="L26" i="18"/>
  <c r="P37" i="19"/>
  <c r="O37" i="19"/>
  <c r="J28" i="3"/>
  <c r="J77" i="3" s="1"/>
  <c r="J88" i="3"/>
  <c r="J89" i="3"/>
  <c r="J92" i="3"/>
  <c r="Z5" i="9"/>
  <c r="Z275" i="8"/>
  <c r="Z286" i="8"/>
  <c r="Z216" i="8"/>
  <c r="Z190" i="8"/>
  <c r="Z234" i="8"/>
  <c r="Z73" i="8"/>
  <c r="Z160" i="8"/>
  <c r="Z204" i="8"/>
  <c r="Z118" i="8"/>
  <c r="AA49" i="7"/>
  <c r="E36" i="4"/>
  <c r="N28" i="19"/>
  <c r="M28" i="19"/>
  <c r="M71" i="16" a="1"/>
  <c r="M71" i="16" s="1"/>
  <c r="I28" i="3"/>
  <c r="I77" i="3" s="1"/>
  <c r="I88" i="3"/>
  <c r="I89" i="3"/>
  <c r="I92" i="3"/>
  <c r="P28" i="19"/>
  <c r="O28" i="19"/>
  <c r="AA275" i="8"/>
  <c r="AA5" i="9"/>
  <c r="AA286" i="8"/>
  <c r="AA216" i="8"/>
  <c r="AA118" i="8"/>
  <c r="AA190" i="8"/>
  <c r="AA204" i="8"/>
  <c r="AA234" i="8"/>
  <c r="AA160" i="8"/>
  <c r="AA73" i="8"/>
  <c r="L31" i="18"/>
  <c r="N31" i="18"/>
  <c r="M31" i="18"/>
  <c r="N27" i="18"/>
  <c r="L27" i="18"/>
  <c r="M27" i="18"/>
  <c r="P27" i="19"/>
  <c r="O27" i="19"/>
  <c r="N36" i="19"/>
  <c r="M36" i="19"/>
  <c r="N30" i="18"/>
  <c r="M30" i="18"/>
  <c r="L30" i="18"/>
  <c r="I70" i="16"/>
  <c r="F9" i="16"/>
  <c r="V79" i="3"/>
  <c r="F33" i="4"/>
  <c r="N36" i="18"/>
  <c r="M36" i="18"/>
  <c r="L36" i="18"/>
  <c r="P30" i="19"/>
  <c r="O30" i="19"/>
  <c r="P34" i="19"/>
  <c r="O34" i="19"/>
  <c r="Q176" i="9"/>
  <c r="F40" i="4"/>
  <c r="L20" i="19"/>
  <c r="L35" i="18"/>
  <c r="N35" i="18"/>
  <c r="M35" i="18"/>
  <c r="L70" i="16"/>
  <c r="L51" i="16" a="1"/>
  <c r="L51" i="16" s="1"/>
  <c r="N35" i="19"/>
  <c r="M35" i="19"/>
  <c r="N29" i="18"/>
  <c r="L29" i="18"/>
  <c r="M29" i="18"/>
  <c r="P73" i="3"/>
  <c r="P32" i="3"/>
  <c r="F36" i="4"/>
  <c r="V24" i="3"/>
  <c r="F37" i="4" s="1"/>
  <c r="N27" i="19"/>
  <c r="M27" i="19"/>
  <c r="L33" i="18"/>
  <c r="M33" i="18"/>
  <c r="N33" i="18"/>
  <c r="N34" i="19"/>
  <c r="M34" i="19"/>
  <c r="I31" i="15"/>
  <c r="G49" i="7"/>
  <c r="G275" i="8"/>
  <c r="G5" i="9"/>
  <c r="G286" i="8"/>
  <c r="G204" i="8"/>
  <c r="G190" i="8"/>
  <c r="G234" i="8"/>
  <c r="G216" i="8"/>
  <c r="G118" i="8"/>
  <c r="G73" i="8"/>
  <c r="G160" i="8"/>
  <c r="K159" i="9"/>
  <c r="K128" i="9"/>
  <c r="O61" i="8"/>
  <c r="N32" i="19"/>
  <c r="M32" i="19"/>
  <c r="N37" i="19"/>
  <c r="M37" i="19"/>
  <c r="H90" i="16"/>
  <c r="I37" i="15"/>
  <c r="I40" i="15"/>
  <c r="F49" i="7"/>
  <c r="F31" i="16" a="1"/>
  <c r="F31" i="16" s="1"/>
  <c r="F51" i="16" a="1"/>
  <c r="F51" i="16" s="1"/>
  <c r="N31" i="16" a="1"/>
  <c r="N31" i="16" s="1"/>
  <c r="J91" i="16" a="1"/>
  <c r="J91" i="16" s="1"/>
  <c r="N51" i="16" a="1"/>
  <c r="N51" i="16" s="1"/>
  <c r="E31" i="16" a="1"/>
  <c r="E31" i="16" s="1"/>
  <c r="D31" i="16" a="1"/>
  <c r="D31" i="16" s="1"/>
  <c r="E51" i="16" a="1"/>
  <c r="E51" i="16" s="1"/>
  <c r="M31" i="16" a="1"/>
  <c r="M31" i="16" s="1"/>
  <c r="Q50" i="16"/>
  <c r="AG249" i="8"/>
  <c r="N26" i="19"/>
  <c r="M26" i="19"/>
  <c r="I34" i="15"/>
  <c r="E9" i="16"/>
  <c r="U79" i="3"/>
  <c r="E33" i="4"/>
  <c r="I91" i="16" a="1"/>
  <c r="I91" i="16" s="1"/>
  <c r="J20" i="18"/>
  <c r="K19" i="4"/>
  <c r="K43" i="4" s="1"/>
  <c r="R26" i="4"/>
  <c r="AA32" i="3"/>
  <c r="AA73" i="3"/>
  <c r="N31" i="19"/>
  <c r="M31" i="19"/>
  <c r="H28" i="3"/>
  <c r="H77" i="3" s="1"/>
  <c r="H89" i="3"/>
  <c r="H92" i="3"/>
  <c r="H88" i="3"/>
  <c r="J16" i="15"/>
  <c r="K15" i="15"/>
  <c r="P26" i="19"/>
  <c r="O26" i="19"/>
  <c r="N33" i="19"/>
  <c r="M33" i="19"/>
  <c r="P36" i="19"/>
  <c r="O36" i="19"/>
  <c r="N29" i="19"/>
  <c r="M29" i="19"/>
  <c r="C142" i="17" l="1"/>
  <c r="W68" i="8"/>
  <c r="Y50" i="10"/>
  <c r="M32" i="16"/>
  <c r="E52" i="16"/>
  <c r="AA208" i="7"/>
  <c r="AC209" i="7"/>
  <c r="AC207" i="7" s="1"/>
  <c r="AB207" i="7"/>
  <c r="AA196" i="7"/>
  <c r="AA160" i="7"/>
  <c r="AC127" i="7"/>
  <c r="AC121" i="7" s="1"/>
  <c r="AB121" i="7"/>
  <c r="AC197" i="7"/>
  <c r="AC195" i="7" s="1"/>
  <c r="AB195" i="7"/>
  <c r="AC115" i="7"/>
  <c r="AC109" i="7" s="1"/>
  <c r="AB109" i="7"/>
  <c r="AC103" i="7"/>
  <c r="AC97" i="7" s="1"/>
  <c r="AB97" i="7"/>
  <c r="AB159" i="7"/>
  <c r="AC161" i="7"/>
  <c r="AC159" i="7" s="1"/>
  <c r="AC91" i="7"/>
  <c r="AC85" i="7" s="1"/>
  <c r="AB85" i="7"/>
  <c r="AA148" i="7"/>
  <c r="AB147" i="7"/>
  <c r="AC149" i="7"/>
  <c r="AC147" i="7" s="1"/>
  <c r="AC79" i="7"/>
  <c r="T166" i="7"/>
  <c r="T162" i="7"/>
  <c r="T160" i="7"/>
  <c r="Y160" i="7" s="1"/>
  <c r="AE142" i="8"/>
  <c r="Y56" i="3" s="1"/>
  <c r="AF224" i="8"/>
  <c r="AD142" i="8"/>
  <c r="X56" i="3" s="1"/>
  <c r="R56" i="3"/>
  <c r="AB225" i="8"/>
  <c r="AB226" i="8" s="1"/>
  <c r="AB141" i="8"/>
  <c r="Q55" i="3" s="1"/>
  <c r="AC223" i="8"/>
  <c r="J115" i="8"/>
  <c r="J116" i="8" s="1"/>
  <c r="J114" i="8"/>
  <c r="D39" i="4"/>
  <c r="J57" i="8"/>
  <c r="T23" i="3" s="1"/>
  <c r="J56" i="8"/>
  <c r="T20" i="3"/>
  <c r="T82" i="3"/>
  <c r="D57" i="4" s="1"/>
  <c r="M57" i="4" s="1"/>
  <c r="T80" i="3"/>
  <c r="D55" i="4" s="1"/>
  <c r="M55" i="4" s="1"/>
  <c r="D32" i="4"/>
  <c r="U21" i="3"/>
  <c r="E34" i="4" s="1"/>
  <c r="AC19" i="3"/>
  <c r="M32" i="4" s="1"/>
  <c r="T81" i="3"/>
  <c r="D56" i="4" s="1"/>
  <c r="M56" i="4" s="1"/>
  <c r="I61" i="8"/>
  <c r="J59" i="8"/>
  <c r="N52" i="16"/>
  <c r="F32" i="16"/>
  <c r="G28" i="3"/>
  <c r="G77" i="3" s="1"/>
  <c r="G89" i="3"/>
  <c r="G88" i="3"/>
  <c r="G92" i="3"/>
  <c r="H14" i="18" a="1"/>
  <c r="H14" i="18" s="1"/>
  <c r="H14" i="19" a="1"/>
  <c r="H14" i="19" s="1"/>
  <c r="I14" i="19" a="1"/>
  <c r="I14" i="19" s="1"/>
  <c r="T128" i="9"/>
  <c r="T159" i="9"/>
  <c r="V27" i="3"/>
  <c r="Z66" i="8"/>
  <c r="I35" i="15"/>
  <c r="O128" i="9"/>
  <c r="U27" i="3"/>
  <c r="I41" i="15"/>
  <c r="I44" i="15"/>
  <c r="I38" i="15"/>
  <c r="K16" i="15"/>
  <c r="J17" i="15"/>
  <c r="N72" i="16"/>
  <c r="O108" i="17"/>
  <c r="C124" i="17"/>
  <c r="J92" i="16"/>
  <c r="M90" i="16"/>
  <c r="Q70" i="16"/>
  <c r="BK15" i="15"/>
  <c r="AK15" i="15"/>
  <c r="E32" i="16"/>
  <c r="G90" i="16"/>
  <c r="F90" i="16" s="1"/>
  <c r="E90" i="16" s="1"/>
  <c r="D90" i="16" s="1"/>
  <c r="N90" i="16"/>
  <c r="H91" i="16" a="1"/>
  <c r="H91" i="16" s="1"/>
  <c r="H92" i="16" s="1"/>
  <c r="N32" i="16"/>
  <c r="F52" i="16"/>
  <c r="C158" i="17" l="1"/>
  <c r="Z50" i="10"/>
  <c r="X45" i="10"/>
  <c r="X68" i="8" s="1"/>
  <c r="AD207" i="7"/>
  <c r="AD161" i="7"/>
  <c r="AE161" i="7" s="1"/>
  <c r="AF161" i="7" s="1"/>
  <c r="AD209" i="7"/>
  <c r="AE209" i="7" s="1"/>
  <c r="AD97" i="7"/>
  <c r="AD103" i="7" s="1"/>
  <c r="AE103" i="7" s="1"/>
  <c r="AE97" i="7" s="1"/>
  <c r="AB208" i="7"/>
  <c r="AC208" i="7" s="1"/>
  <c r="AD109" i="7"/>
  <c r="AD115" i="7" s="1"/>
  <c r="AE115" i="7" s="1"/>
  <c r="AF115" i="7" s="1"/>
  <c r="AD195" i="7"/>
  <c r="AD197" i="7"/>
  <c r="AE197" i="7" s="1"/>
  <c r="AD149" i="7"/>
  <c r="AE149" i="7" s="1"/>
  <c r="AB196" i="7"/>
  <c r="AC196" i="7" s="1"/>
  <c r="AD79" i="7"/>
  <c r="AE79" i="7" s="1"/>
  <c r="AF79" i="7" s="1"/>
  <c r="AD121" i="7"/>
  <c r="AD127" i="7" s="1"/>
  <c r="AE127" i="7" s="1"/>
  <c r="AD159" i="7"/>
  <c r="AB160" i="7"/>
  <c r="AC160" i="7" s="1"/>
  <c r="AD85" i="7"/>
  <c r="AD91" i="7" s="1"/>
  <c r="AE91" i="7" s="1"/>
  <c r="AB148" i="7"/>
  <c r="AC148" i="7" s="1"/>
  <c r="AD147" i="7"/>
  <c r="AF142" i="8"/>
  <c r="Z56" i="3" s="1"/>
  <c r="AG224" i="8"/>
  <c r="AG142" i="8" s="1"/>
  <c r="AA56" i="3" s="1"/>
  <c r="AC141" i="8"/>
  <c r="AD223" i="8"/>
  <c r="AC225" i="8"/>
  <c r="AC226" i="8" s="1"/>
  <c r="L71" i="16" a="1"/>
  <c r="L71" i="16" s="1"/>
  <c r="M72" i="16" s="1"/>
  <c r="D9" i="16"/>
  <c r="T79" i="3"/>
  <c r="N159" i="9"/>
  <c r="I128" i="9"/>
  <c r="J61" i="8"/>
  <c r="K176" i="9"/>
  <c r="I176" i="9"/>
  <c r="D36" i="4"/>
  <c r="AC23" i="3"/>
  <c r="M36" i="4" s="1"/>
  <c r="U24" i="3"/>
  <c r="E37" i="4" s="1"/>
  <c r="E40" i="4"/>
  <c r="M39" i="4"/>
  <c r="AA66" i="8"/>
  <c r="K17" i="15"/>
  <c r="J18" i="15"/>
  <c r="M14" i="18"/>
  <c r="L14" i="18"/>
  <c r="N14" i="18"/>
  <c r="AK16" i="15"/>
  <c r="BK16" i="15"/>
  <c r="I42" i="15"/>
  <c r="P14" i="19"/>
  <c r="O14" i="19"/>
  <c r="N14" i="19"/>
  <c r="M14" i="19"/>
  <c r="I39" i="15"/>
  <c r="V89" i="3"/>
  <c r="F64" i="4" s="1"/>
  <c r="V88" i="3"/>
  <c r="F63" i="4" s="1"/>
  <c r="V29" i="3"/>
  <c r="V28" i="3"/>
  <c r="F28" i="4"/>
  <c r="V92" i="3"/>
  <c r="F45" i="4" s="1"/>
  <c r="I92" i="16"/>
  <c r="I48" i="15"/>
  <c r="I45" i="15"/>
  <c r="C140" i="17"/>
  <c r="O124" i="17"/>
  <c r="U89" i="3"/>
  <c r="E64" i="4" s="1"/>
  <c r="U88" i="3"/>
  <c r="E63" i="4" s="1"/>
  <c r="U28" i="3"/>
  <c r="E28" i="4"/>
  <c r="U92" i="3"/>
  <c r="E45" i="4" s="1"/>
  <c r="O159" i="17" l="1"/>
  <c r="O160" i="17"/>
  <c r="O158" i="17"/>
  <c r="AE159" i="7"/>
  <c r="AD160" i="7"/>
  <c r="AD208" i="7"/>
  <c r="AF103" i="7"/>
  <c r="AG103" i="7" s="1"/>
  <c r="AG97" i="7" s="1"/>
  <c r="AD196" i="7"/>
  <c r="AD148" i="7"/>
  <c r="AE109" i="7"/>
  <c r="AE207" i="7"/>
  <c r="AF209" i="7"/>
  <c r="AF197" i="7"/>
  <c r="AE195" i="7"/>
  <c r="AF127" i="7"/>
  <c r="AE121" i="7"/>
  <c r="AG115" i="7"/>
  <c r="AG109" i="7" s="1"/>
  <c r="AF109" i="7"/>
  <c r="AF159" i="7"/>
  <c r="AG161" i="7"/>
  <c r="AG159" i="7" s="1"/>
  <c r="AF91" i="7"/>
  <c r="AE85" i="7"/>
  <c r="AF149" i="7"/>
  <c r="AE147" i="7"/>
  <c r="AG79" i="7"/>
  <c r="AE223" i="8"/>
  <c r="AD225" i="8"/>
  <c r="AD226" i="8" s="1"/>
  <c r="AD141" i="8"/>
  <c r="X55" i="3" s="1"/>
  <c r="R55" i="3"/>
  <c r="T27" i="3"/>
  <c r="O159" i="9"/>
  <c r="J128" i="9"/>
  <c r="F8" i="16"/>
  <c r="V77" i="3"/>
  <c r="F29" i="4"/>
  <c r="I43" i="15"/>
  <c r="AC66" i="8"/>
  <c r="E8" i="16"/>
  <c r="U77" i="3"/>
  <c r="E29" i="4"/>
  <c r="K18" i="15"/>
  <c r="J19" i="15"/>
  <c r="BK17" i="15"/>
  <c r="AK17" i="15"/>
  <c r="I52" i="15"/>
  <c r="I49" i="15"/>
  <c r="AB66" i="8"/>
  <c r="I46" i="15"/>
  <c r="C156" i="17"/>
  <c r="O156" i="17" s="1"/>
  <c r="AA50" i="10" l="1"/>
  <c r="AE160" i="7"/>
  <c r="AF160" i="7" s="1"/>
  <c r="AG160" i="7" s="1"/>
  <c r="AF97" i="7"/>
  <c r="AE208" i="7"/>
  <c r="AE148" i="7"/>
  <c r="AE196" i="7"/>
  <c r="AF207" i="7"/>
  <c r="AG209" i="7"/>
  <c r="AG207" i="7" s="1"/>
  <c r="AG127" i="7"/>
  <c r="AG121" i="7" s="1"/>
  <c r="AF121" i="7"/>
  <c r="AG197" i="7"/>
  <c r="AG195" i="7" s="1"/>
  <c r="AF195" i="7"/>
  <c r="AG91" i="7"/>
  <c r="AG85" i="7" s="1"/>
  <c r="AF85" i="7"/>
  <c r="AF147" i="7"/>
  <c r="AG149" i="7"/>
  <c r="AG147" i="7" s="1"/>
  <c r="AF223" i="8"/>
  <c r="AE141" i="8"/>
  <c r="Y55" i="3" s="1"/>
  <c r="AE225" i="8"/>
  <c r="AE226" i="8" s="1"/>
  <c r="T28" i="3"/>
  <c r="T92" i="3"/>
  <c r="D45" i="4" s="1"/>
  <c r="M45" i="4" s="1"/>
  <c r="D28" i="4"/>
  <c r="T89" i="3"/>
  <c r="D64" i="4" s="1"/>
  <c r="M64" i="4" s="1"/>
  <c r="T88" i="3"/>
  <c r="D63" i="4" s="1"/>
  <c r="M63" i="4" s="1"/>
  <c r="U29" i="3"/>
  <c r="AC27" i="3"/>
  <c r="M28" i="4" s="1"/>
  <c r="I47" i="15"/>
  <c r="I50" i="15"/>
  <c r="J20" i="15"/>
  <c r="K19" i="15"/>
  <c r="I56" i="15"/>
  <c r="I53" i="15"/>
  <c r="AK18" i="15"/>
  <c r="BK18" i="15"/>
  <c r="AF208" i="7" l="1"/>
  <c r="AG208" i="7" s="1"/>
  <c r="AF148" i="7"/>
  <c r="AG148" i="7" s="1"/>
  <c r="AF196" i="7"/>
  <c r="AG196" i="7" s="1"/>
  <c r="AG223" i="8"/>
  <c r="AF141" i="8"/>
  <c r="Z55" i="3" s="1"/>
  <c r="AF225" i="8"/>
  <c r="AF226" i="8" s="1"/>
  <c r="T77" i="3"/>
  <c r="D8" i="16"/>
  <c r="I57" i="15"/>
  <c r="I60" i="15"/>
  <c r="I51" i="15"/>
  <c r="BK19" i="15"/>
  <c r="AK19" i="15"/>
  <c r="I54" i="15"/>
  <c r="K20" i="15"/>
  <c r="J21" i="15"/>
  <c r="AB50" i="10" l="1"/>
  <c r="AG225" i="8"/>
  <c r="AG226" i="8" s="1"/>
  <c r="AG141" i="8"/>
  <c r="AA55" i="3" s="1"/>
  <c r="I64" i="15"/>
  <c r="I61" i="15"/>
  <c r="I58" i="15"/>
  <c r="K21" i="15"/>
  <c r="J22" i="15"/>
  <c r="AK20" i="15"/>
  <c r="BK20" i="15"/>
  <c r="I55" i="15"/>
  <c r="I59" i="15" l="1"/>
  <c r="I62" i="15"/>
  <c r="K22" i="15"/>
  <c r="J23" i="15"/>
  <c r="BK21" i="15"/>
  <c r="AK21" i="15"/>
  <c r="I65" i="15"/>
  <c r="I68" i="15"/>
  <c r="AC50" i="10" l="1"/>
  <c r="BK22" i="15"/>
  <c r="AK22" i="15"/>
  <c r="J24" i="15"/>
  <c r="K23" i="15"/>
  <c r="I63" i="15"/>
  <c r="I69" i="15"/>
  <c r="I72" i="15"/>
  <c r="I66" i="15"/>
  <c r="AD50" i="10" l="1"/>
  <c r="AK23" i="15"/>
  <c r="BK23" i="15"/>
  <c r="I67" i="15"/>
  <c r="I76" i="15"/>
  <c r="I73" i="15"/>
  <c r="K24" i="15"/>
  <c r="J25" i="15"/>
  <c r="I70" i="15"/>
  <c r="AE51" i="10" l="1"/>
  <c r="AE50" i="10" s="1"/>
  <c r="I74" i="15"/>
  <c r="K25" i="15"/>
  <c r="J26" i="15"/>
  <c r="I80" i="15"/>
  <c r="I77" i="15"/>
  <c r="I71" i="15"/>
  <c r="BK24" i="15"/>
  <c r="AK24" i="15"/>
  <c r="I81" i="15" l="1"/>
  <c r="I84" i="15"/>
  <c r="BK25" i="15"/>
  <c r="AK25" i="15"/>
  <c r="K26" i="15"/>
  <c r="J27" i="15"/>
  <c r="I78" i="15"/>
  <c r="I75" i="15"/>
  <c r="AF51" i="10" l="1"/>
  <c r="AF50" i="10"/>
  <c r="J28" i="15"/>
  <c r="K27" i="15"/>
  <c r="I79" i="15"/>
  <c r="BK26" i="15"/>
  <c r="AK26" i="15"/>
  <c r="I85" i="15"/>
  <c r="I82" i="15"/>
  <c r="I86" i="15" l="1"/>
  <c r="I89" i="15"/>
  <c r="BK27" i="15"/>
  <c r="AK27" i="15"/>
  <c r="I83" i="15"/>
  <c r="K28" i="15"/>
  <c r="J29" i="15"/>
  <c r="I90" i="15" l="1"/>
  <c r="I87" i="15"/>
  <c r="AG51" i="10"/>
  <c r="AG50" i="10"/>
  <c r="K29" i="15"/>
  <c r="J30" i="15"/>
  <c r="BK28" i="15"/>
  <c r="AK28" i="15"/>
  <c r="I88" i="15" l="1"/>
  <c r="I91" i="15"/>
  <c r="AH52" i="10"/>
  <c r="K30" i="15"/>
  <c r="J31" i="15"/>
  <c r="BK29" i="15"/>
  <c r="AK29" i="15"/>
  <c r="I92" i="15" l="1"/>
  <c r="AH53" i="10"/>
  <c r="AH51" i="10"/>
  <c r="J32" i="15"/>
  <c r="K31" i="15"/>
  <c r="BK30" i="15"/>
  <c r="AK30" i="15"/>
  <c r="AH50" i="10" l="1"/>
  <c r="I93" i="15"/>
  <c r="BK31" i="15"/>
  <c r="AK31" i="15"/>
  <c r="K32" i="15"/>
  <c r="J33" i="15"/>
  <c r="K33" i="15" l="1"/>
  <c r="J34" i="15"/>
  <c r="BK32" i="15"/>
  <c r="AK32" i="15"/>
  <c r="K34" i="15" l="1"/>
  <c r="J35" i="15"/>
  <c r="BK33" i="15"/>
  <c r="AK33" i="15"/>
  <c r="J36" i="15" l="1"/>
  <c r="K35" i="15"/>
  <c r="AK34" i="15"/>
  <c r="BK34" i="15"/>
  <c r="BK35" i="15" l="1"/>
  <c r="AK35" i="15"/>
  <c r="K36" i="15"/>
  <c r="J37" i="15"/>
  <c r="K37" i="15" l="1"/>
  <c r="J38" i="15"/>
  <c r="BK36" i="15"/>
  <c r="AK36" i="15"/>
  <c r="K38" i="15" l="1"/>
  <c r="J39" i="15"/>
  <c r="BK37" i="15"/>
  <c r="AK37" i="15"/>
  <c r="J40" i="15" l="1"/>
  <c r="K39" i="15"/>
  <c r="BK38" i="15"/>
  <c r="AK38" i="15"/>
  <c r="BK39" i="15" l="1"/>
  <c r="AK39" i="15"/>
  <c r="K40" i="15"/>
  <c r="J41" i="15"/>
  <c r="K41" i="15" l="1"/>
  <c r="J42" i="15"/>
  <c r="AK40" i="15"/>
  <c r="BK40" i="15"/>
  <c r="K42" i="15" l="1"/>
  <c r="J43" i="15"/>
  <c r="BK41" i="15"/>
  <c r="AK41" i="15"/>
  <c r="J44" i="15" l="1"/>
  <c r="K43" i="15"/>
  <c r="BK42" i="15"/>
  <c r="AK42" i="15"/>
  <c r="BK43" i="15" l="1"/>
  <c r="AK43" i="15"/>
  <c r="K44" i="15"/>
  <c r="J45" i="15"/>
  <c r="K45" i="15" l="1"/>
  <c r="J46" i="15"/>
  <c r="AK44" i="15"/>
  <c r="BK44" i="15"/>
  <c r="K46" i="15" l="1"/>
  <c r="J47" i="15"/>
  <c r="BK45" i="15"/>
  <c r="AK45" i="15"/>
  <c r="J48" i="15" l="1"/>
  <c r="K47" i="15"/>
  <c r="BK46" i="15"/>
  <c r="AK46" i="15"/>
  <c r="AK47" i="15" l="1"/>
  <c r="BK47" i="15"/>
  <c r="K48" i="15"/>
  <c r="J49" i="15"/>
  <c r="K49" i="15" l="1"/>
  <c r="J50" i="15"/>
  <c r="AK48" i="15"/>
  <c r="BK48" i="15"/>
  <c r="K50" i="15" l="1"/>
  <c r="J51" i="15"/>
  <c r="AK49" i="15"/>
  <c r="BK49" i="15"/>
  <c r="J52" i="15" l="1"/>
  <c r="K51" i="15"/>
  <c r="BK50" i="15"/>
  <c r="AK50" i="15"/>
  <c r="AK51" i="15" l="1"/>
  <c r="BK51" i="15"/>
  <c r="K52" i="15"/>
  <c r="J53" i="15"/>
  <c r="K53" i="15" l="1"/>
  <c r="J54" i="15"/>
  <c r="AK52" i="15"/>
  <c r="BK52" i="15"/>
  <c r="K54" i="15" l="1"/>
  <c r="J55" i="15"/>
  <c r="BK53" i="15"/>
  <c r="AK53" i="15"/>
  <c r="J56" i="15" l="1"/>
  <c r="K55" i="15"/>
  <c r="AK54" i="15"/>
  <c r="BK54" i="15"/>
  <c r="AK55" i="15" l="1"/>
  <c r="BK55" i="15"/>
  <c r="K56" i="15"/>
  <c r="J57" i="15"/>
  <c r="K57" i="15" l="1"/>
  <c r="J58" i="15"/>
  <c r="BK56" i="15"/>
  <c r="AK56" i="15"/>
  <c r="K58" i="15" l="1"/>
  <c r="J59" i="15"/>
  <c r="BK57" i="15"/>
  <c r="AK57" i="15"/>
  <c r="J60" i="15" l="1"/>
  <c r="K59" i="15"/>
  <c r="AK58" i="15"/>
  <c r="BK58" i="15"/>
  <c r="AK59" i="15" l="1"/>
  <c r="BK59" i="15"/>
  <c r="K60" i="15"/>
  <c r="J61" i="15"/>
  <c r="K61" i="15" l="1"/>
  <c r="J62" i="15"/>
  <c r="AK60" i="15"/>
  <c r="BK60" i="15"/>
  <c r="K62" i="15" l="1"/>
  <c r="J63" i="15"/>
  <c r="AK61" i="15"/>
  <c r="BK61" i="15"/>
  <c r="J64" i="15" l="1"/>
  <c r="K63" i="15"/>
  <c r="BK62" i="15"/>
  <c r="AK62" i="15"/>
  <c r="BK63" i="15" l="1"/>
  <c r="AK63" i="15"/>
  <c r="K64" i="15"/>
  <c r="J65" i="15"/>
  <c r="K65" i="15" l="1"/>
  <c r="J66" i="15"/>
  <c r="BK64" i="15"/>
  <c r="AK64" i="15"/>
  <c r="K66" i="15" l="1"/>
  <c r="J67" i="15"/>
  <c r="BK65" i="15"/>
  <c r="AK65" i="15"/>
  <c r="J68" i="15" l="1"/>
  <c r="K67" i="15"/>
  <c r="BK66" i="15"/>
  <c r="AK66" i="15"/>
  <c r="AK67" i="15" l="1"/>
  <c r="BK67" i="15"/>
  <c r="K68" i="15"/>
  <c r="J69" i="15"/>
  <c r="K69" i="15" l="1"/>
  <c r="J70" i="15"/>
  <c r="BK68" i="15"/>
  <c r="AK68" i="15"/>
  <c r="K70" i="15" l="1"/>
  <c r="J71" i="15"/>
  <c r="BK69" i="15"/>
  <c r="AK69" i="15"/>
  <c r="J72" i="15" l="1"/>
  <c r="K71" i="15"/>
  <c r="BK70" i="15"/>
  <c r="AK70" i="15"/>
  <c r="AK71" i="15" l="1"/>
  <c r="BK71" i="15"/>
  <c r="K72" i="15"/>
  <c r="J73" i="15"/>
  <c r="K73" i="15" l="1"/>
  <c r="J74" i="15"/>
  <c r="BK72" i="15"/>
  <c r="AK72" i="15"/>
  <c r="K74" i="15" l="1"/>
  <c r="J75" i="15"/>
  <c r="AK73" i="15"/>
  <c r="BK73" i="15"/>
  <c r="J76" i="15" l="1"/>
  <c r="K75" i="15"/>
  <c r="AK74" i="15"/>
  <c r="BK74" i="15"/>
  <c r="BK75" i="15" l="1"/>
  <c r="AK75" i="15"/>
  <c r="K76" i="15"/>
  <c r="J77" i="15"/>
  <c r="K77" i="15" l="1"/>
  <c r="J78" i="15"/>
  <c r="BK76" i="15"/>
  <c r="AK76" i="15"/>
  <c r="K78" i="15" l="1"/>
  <c r="J79" i="15"/>
  <c r="BK77" i="15"/>
  <c r="AK77" i="15"/>
  <c r="J80" i="15" l="1"/>
  <c r="K79" i="15"/>
  <c r="BK78" i="15"/>
  <c r="AK78" i="15"/>
  <c r="BK79" i="15" l="1"/>
  <c r="AK79" i="15"/>
  <c r="K80" i="15"/>
  <c r="J81" i="15"/>
  <c r="K81" i="15" l="1"/>
  <c r="J82" i="15"/>
  <c r="AK80" i="15"/>
  <c r="BK80" i="15"/>
  <c r="K82" i="15" l="1"/>
  <c r="J83" i="15"/>
  <c r="AK81" i="15"/>
  <c r="BK81" i="15"/>
  <c r="J84" i="15" l="1"/>
  <c r="K83" i="15"/>
  <c r="BK82" i="15"/>
  <c r="AK82" i="15"/>
  <c r="BK83" i="15" l="1"/>
  <c r="AK83" i="15"/>
  <c r="K84" i="15"/>
  <c r="J85" i="15"/>
  <c r="K85" i="15" l="1"/>
  <c r="J86" i="15"/>
  <c r="BK84" i="15"/>
  <c r="AK84" i="15"/>
  <c r="Y154" i="10"/>
  <c r="Y159" i="10"/>
  <c r="Y167" i="10"/>
  <c r="V41" i="8"/>
  <c r="W41" i="8"/>
  <c r="V66" i="8"/>
  <c r="W66" i="8"/>
  <c r="V67" i="8"/>
  <c r="W67" i="8"/>
  <c r="V69" i="8"/>
  <c r="W69" i="8"/>
  <c r="V70" i="8"/>
  <c r="W70" i="8"/>
  <c r="V71" i="8"/>
  <c r="W71" i="8"/>
  <c r="V84" i="8"/>
  <c r="W84" i="8"/>
  <c r="V95" i="8"/>
  <c r="W95" i="8"/>
  <c r="V98" i="8"/>
  <c r="W98" i="8"/>
  <c r="V153" i="8"/>
  <c r="K98" i="3"/>
  <c r="V182" i="8"/>
  <c r="L98" i="3" s="1"/>
  <c r="W182" i="8"/>
  <c r="M98" i="3" s="1"/>
  <c r="K99" i="3"/>
  <c r="V183" i="8"/>
  <c r="L99" i="3" s="1"/>
  <c r="W183" i="8"/>
  <c r="K100" i="3"/>
  <c r="V184" i="8"/>
  <c r="L100" i="3" s="1"/>
  <c r="W184" i="8"/>
  <c r="M100" i="3" s="1"/>
  <c r="V186" i="8"/>
  <c r="W186" i="8"/>
  <c r="V187" i="8"/>
  <c r="W187" i="8"/>
  <c r="V188" i="8"/>
  <c r="W188" i="8"/>
  <c r="V195" i="8"/>
  <c r="W195" i="8"/>
  <c r="V200" i="8"/>
  <c r="W200" i="8"/>
  <c r="V201" i="8"/>
  <c r="W201" i="8"/>
  <c r="V214" i="8"/>
  <c r="W214" i="8"/>
  <c r="V218" i="8"/>
  <c r="V232" i="8"/>
  <c r="W232" i="8"/>
  <c r="V260" i="8"/>
  <c r="W260" i="8"/>
  <c r="K63" i="3"/>
  <c r="V272" i="8"/>
  <c r="V241" i="8" s="1"/>
  <c r="V289" i="8" s="1"/>
  <c r="W272" i="8"/>
  <c r="W241" i="8" s="1"/>
  <c r="V273" i="8"/>
  <c r="V267" i="8" s="1"/>
  <c r="K34" i="14" s="1"/>
  <c r="K37" i="14" s="1"/>
  <c r="W273" i="8"/>
  <c r="W267" i="8" s="1"/>
  <c r="V90" i="8"/>
  <c r="W90" i="8"/>
  <c r="V91" i="8"/>
  <c r="W91" i="8"/>
  <c r="V53" i="9"/>
  <c r="W53" i="9"/>
  <c r="V54" i="9"/>
  <c r="W54" i="9"/>
  <c r="V55" i="9"/>
  <c r="W55" i="9"/>
  <c r="K86" i="15" l="1"/>
  <c r="J87" i="15"/>
  <c r="W290" i="8"/>
  <c r="L34" i="14"/>
  <c r="L37" i="14" s="1"/>
  <c r="Z267" i="8"/>
  <c r="Z254" i="8" s="1"/>
  <c r="J34" i="14"/>
  <c r="J37" i="14" s="1"/>
  <c r="W93" i="8"/>
  <c r="W289" i="8"/>
  <c r="AA267" i="8"/>
  <c r="AA254" i="8" s="1"/>
  <c r="V290" i="8"/>
  <c r="K67" i="3"/>
  <c r="V219" i="8"/>
  <c r="V220" i="8" s="1"/>
  <c r="Y98" i="8"/>
  <c r="Y110" i="10" s="1"/>
  <c r="Y84" i="8"/>
  <c r="Y99" i="10" s="1"/>
  <c r="W185" i="8"/>
  <c r="Y241" i="8"/>
  <c r="W240" i="8"/>
  <c r="W279" i="8" s="1"/>
  <c r="V240" i="8"/>
  <c r="V279" i="8" s="1"/>
  <c r="Y195" i="8"/>
  <c r="Y267" i="8"/>
  <c r="K43" i="3"/>
  <c r="Y41" i="8"/>
  <c r="M99" i="3"/>
  <c r="M101" i="3" s="1"/>
  <c r="L101" i="3"/>
  <c r="Y91" i="8"/>
  <c r="V307" i="8"/>
  <c r="V310" i="8" s="1"/>
  <c r="Y90" i="8"/>
  <c r="V128" i="8"/>
  <c r="L42" i="3" s="1"/>
  <c r="W218" i="8"/>
  <c r="K42" i="3"/>
  <c r="V93" i="8"/>
  <c r="V149" i="8"/>
  <c r="K101" i="3"/>
  <c r="Y95" i="8"/>
  <c r="Y108" i="10" s="1"/>
  <c r="W153" i="8"/>
  <c r="L67" i="3"/>
  <c r="W94" i="8"/>
  <c r="AB267" i="8"/>
  <c r="W254" i="8"/>
  <c r="V94" i="8"/>
  <c r="V254" i="8"/>
  <c r="Y272" i="8"/>
  <c r="V185" i="8"/>
  <c r="Y260" i="8"/>
  <c r="Y261" i="8" s="1"/>
  <c r="K87" i="15" l="1"/>
  <c r="J88" i="15"/>
  <c r="AK86" i="15"/>
  <c r="BK86" i="15"/>
  <c r="W219" i="8"/>
  <c r="W129" i="8" s="1"/>
  <c r="M43" i="3" s="1"/>
  <c r="Y273" i="8"/>
  <c r="N34" i="14"/>
  <c r="N37" i="14" s="1"/>
  <c r="Z94" i="8"/>
  <c r="Z290" i="8"/>
  <c r="AA290" i="8"/>
  <c r="AD267" i="8"/>
  <c r="O34" i="14" s="1"/>
  <c r="O37" i="14" s="1"/>
  <c r="AA94" i="8"/>
  <c r="W307" i="8"/>
  <c r="W310" i="8" s="1"/>
  <c r="V318" i="8"/>
  <c r="V320" i="8" s="1"/>
  <c r="V129" i="8"/>
  <c r="L43" i="3" s="1"/>
  <c r="Y254" i="8"/>
  <c r="Y94" i="8"/>
  <c r="V221" i="8"/>
  <c r="V228" i="8" s="1"/>
  <c r="V79" i="8" s="1"/>
  <c r="K54" i="3"/>
  <c r="V206" i="8"/>
  <c r="K41" i="3"/>
  <c r="V259" i="8"/>
  <c r="V261" i="8" s="1"/>
  <c r="K64" i="3"/>
  <c r="Y67" i="10"/>
  <c r="AB94" i="8"/>
  <c r="AB290" i="8"/>
  <c r="AB254" i="8"/>
  <c r="AD254" i="8" s="1"/>
  <c r="Y239" i="8"/>
  <c r="Y240" i="8"/>
  <c r="AD259" i="8"/>
  <c r="AD261" i="8" s="1"/>
  <c r="AE259" i="8" s="1"/>
  <c r="AE261" i="8" s="1"/>
  <c r="Z259" i="8"/>
  <c r="Z261" i="8" s="1"/>
  <c r="X153" i="8"/>
  <c r="M67" i="3"/>
  <c r="Y93" i="8"/>
  <c r="W149" i="8"/>
  <c r="L63" i="3"/>
  <c r="X218" i="8"/>
  <c r="W128" i="8"/>
  <c r="M42" i="3" s="1"/>
  <c r="J89" i="15" l="1"/>
  <c r="K88" i="15"/>
  <c r="X219" i="8"/>
  <c r="X220" i="8" s="1"/>
  <c r="W220" i="8"/>
  <c r="W221" i="8" s="1"/>
  <c r="W228" i="8" s="1"/>
  <c r="W79" i="8" s="1"/>
  <c r="AE267" i="8"/>
  <c r="P34" i="14" s="1"/>
  <c r="P37" i="14" s="1"/>
  <c r="AD273" i="8"/>
  <c r="AD94" i="8"/>
  <c r="X307" i="8"/>
  <c r="X310" i="8" s="1"/>
  <c r="X318" i="8" s="1"/>
  <c r="X320" i="8" s="1"/>
  <c r="W318" i="8"/>
  <c r="W320" i="8" s="1"/>
  <c r="X128" i="8"/>
  <c r="Y218" i="8"/>
  <c r="X149" i="8"/>
  <c r="M63" i="3"/>
  <c r="Y153" i="8"/>
  <c r="N67" i="3"/>
  <c r="V150" i="8"/>
  <c r="L64" i="3" s="1"/>
  <c r="W259" i="8"/>
  <c r="W261" i="8" s="1"/>
  <c r="Z150" i="8"/>
  <c r="O64" i="3" s="1"/>
  <c r="AA259" i="8"/>
  <c r="AA261" i="8" s="1"/>
  <c r="AF259" i="8"/>
  <c r="AF261" i="8" s="1"/>
  <c r="AE150" i="8"/>
  <c r="Y64" i="3" s="1"/>
  <c r="V208" i="8"/>
  <c r="Y279" i="8"/>
  <c r="V140" i="8"/>
  <c r="Y219" i="8" l="1"/>
  <c r="X221" i="8"/>
  <c r="X228" i="8" s="1"/>
  <c r="X79" i="8" s="1"/>
  <c r="Y79" i="8" s="1"/>
  <c r="X129" i="8"/>
  <c r="N43" i="3" s="1"/>
  <c r="K89" i="15"/>
  <c r="J90" i="15"/>
  <c r="AE254" i="8"/>
  <c r="AE290" i="8"/>
  <c r="AE94" i="8"/>
  <c r="AF267" i="8"/>
  <c r="Q34" i="14" s="1"/>
  <c r="Q37" i="14" s="1"/>
  <c r="Z219" i="8"/>
  <c r="Y232" i="8"/>
  <c r="Y130" i="10" s="1"/>
  <c r="W140" i="8"/>
  <c r="M54" i="3" s="1"/>
  <c r="L54" i="3"/>
  <c r="V277" i="8"/>
  <c r="V280" i="8" s="1"/>
  <c r="AG259" i="8"/>
  <c r="AG261" i="8" s="1"/>
  <c r="AG150" i="8" s="1"/>
  <c r="AA64" i="3" s="1"/>
  <c r="AF150" i="8"/>
  <c r="Z64" i="3" s="1"/>
  <c r="Y149" i="8"/>
  <c r="N63" i="3"/>
  <c r="W150" i="8"/>
  <c r="M64" i="3" s="1"/>
  <c r="X259" i="8"/>
  <c r="X261" i="8" s="1"/>
  <c r="X150" i="8" s="1"/>
  <c r="Y220" i="8"/>
  <c r="Y221" i="8" s="1"/>
  <c r="Y228" i="8" s="1"/>
  <c r="Z218" i="8"/>
  <c r="Z153" i="8"/>
  <c r="W67" i="3"/>
  <c r="V210" i="8"/>
  <c r="AA150" i="8"/>
  <c r="P64" i="3" s="1"/>
  <c r="AB259" i="8"/>
  <c r="AB261" i="8" s="1"/>
  <c r="N42" i="3"/>
  <c r="Y128" i="8"/>
  <c r="W42" i="3" s="1"/>
  <c r="Y129" i="8" l="1"/>
  <c r="W43" i="3" s="1"/>
  <c r="K90" i="15"/>
  <c r="J91" i="15"/>
  <c r="AF254" i="8"/>
  <c r="AF290" i="8"/>
  <c r="AF94" i="8"/>
  <c r="AG267" i="8"/>
  <c r="R34" i="14" s="1"/>
  <c r="R37" i="14" s="1"/>
  <c r="R51" i="14" s="1"/>
  <c r="Z129" i="8"/>
  <c r="O43" i="3" s="1"/>
  <c r="AA219" i="8"/>
  <c r="N64" i="3"/>
  <c r="Y150" i="8"/>
  <c r="W64" i="3" s="1"/>
  <c r="W63" i="3"/>
  <c r="AB150" i="8"/>
  <c r="Q64" i="3" s="1"/>
  <c r="AC259" i="8"/>
  <c r="AC261" i="8" s="1"/>
  <c r="AC150" i="8" s="1"/>
  <c r="W277" i="8"/>
  <c r="W280" i="8" s="1"/>
  <c r="V282" i="8"/>
  <c r="AA153" i="8"/>
  <c r="O67" i="3"/>
  <c r="AA218" i="8"/>
  <c r="Z220" i="8"/>
  <c r="Z221" i="8" s="1"/>
  <c r="Z228" i="8" s="1"/>
  <c r="Z79" i="8" s="1"/>
  <c r="Z128" i="8"/>
  <c r="O42" i="3" s="1"/>
  <c r="Z307" i="8"/>
  <c r="Z310" i="8" s="1"/>
  <c r="X140" i="8"/>
  <c r="W206" i="8"/>
  <c r="V127" i="8"/>
  <c r="L41" i="3" s="1"/>
  <c r="K91" i="15" l="1"/>
  <c r="J92" i="15"/>
  <c r="AG254" i="8"/>
  <c r="AG290" i="8"/>
  <c r="AG94" i="8"/>
  <c r="AB219" i="8"/>
  <c r="AA129" i="8"/>
  <c r="P43" i="3" s="1"/>
  <c r="AB218" i="8"/>
  <c r="AA128" i="8"/>
  <c r="P42" i="3" s="1"/>
  <c r="AA220" i="8"/>
  <c r="AA221" i="8" s="1"/>
  <c r="AA228" i="8" s="1"/>
  <c r="AA79" i="8" s="1"/>
  <c r="V266" i="8"/>
  <c r="V264" i="8" s="1"/>
  <c r="V265" i="8" s="1"/>
  <c r="V284" i="8"/>
  <c r="X277" i="8"/>
  <c r="X280" i="8" s="1"/>
  <c r="W282" i="8"/>
  <c r="R64" i="3"/>
  <c r="AD150" i="8"/>
  <c r="X64" i="3" s="1"/>
  <c r="W208" i="8"/>
  <c r="Y140" i="8"/>
  <c r="W54" i="3" s="1"/>
  <c r="N54" i="3"/>
  <c r="Z140" i="8"/>
  <c r="O54" i="3" s="1"/>
  <c r="AA307" i="8"/>
  <c r="AA310" i="8" s="1"/>
  <c r="Z318" i="8"/>
  <c r="Z320" i="8" s="1"/>
  <c r="P67" i="3"/>
  <c r="AB153" i="8"/>
  <c r="K92" i="15" l="1"/>
  <c r="J93" i="15"/>
  <c r="AB129" i="8"/>
  <c r="Q43" i="3" s="1"/>
  <c r="AC219" i="8"/>
  <c r="W266" i="8"/>
  <c r="W264" i="8" s="1"/>
  <c r="W265" i="8" s="1"/>
  <c r="W284" i="8"/>
  <c r="X282" i="8"/>
  <c r="Y282" i="8" s="1"/>
  <c r="Y266" i="8" s="1"/>
  <c r="Y264" i="8" s="1"/>
  <c r="Y265" i="8" s="1"/>
  <c r="Y280" i="8"/>
  <c r="AC218" i="8"/>
  <c r="AB128" i="8"/>
  <c r="Q42" i="3" s="1"/>
  <c r="AB220" i="8"/>
  <c r="AB221" i="8" s="1"/>
  <c r="AB228" i="8" s="1"/>
  <c r="AB79" i="8" s="1"/>
  <c r="AA140" i="8"/>
  <c r="P54" i="3" s="1"/>
  <c r="AB307" i="8"/>
  <c r="AB310" i="8" s="1"/>
  <c r="AA318" i="8"/>
  <c r="AA320" i="8" s="1"/>
  <c r="W210" i="8"/>
  <c r="AC153" i="8"/>
  <c r="Q67" i="3"/>
  <c r="AC169" i="10" l="1"/>
  <c r="AB169" i="10"/>
  <c r="AA169" i="10"/>
  <c r="Z169" i="10"/>
  <c r="AD219" i="8"/>
  <c r="AC129" i="8"/>
  <c r="AB140" i="8"/>
  <c r="Q54" i="3" s="1"/>
  <c r="AC307" i="8"/>
  <c r="AC310" i="8" s="1"/>
  <c r="AB318" i="8"/>
  <c r="AB320" i="8" s="1"/>
  <c r="AC128" i="8"/>
  <c r="AC220" i="8"/>
  <c r="AC221" i="8" s="1"/>
  <c r="AC228" i="8" s="1"/>
  <c r="AC79" i="8" s="1"/>
  <c r="AD79" i="8" s="1"/>
  <c r="AD218" i="8"/>
  <c r="X266" i="8"/>
  <c r="X264" i="8" s="1"/>
  <c r="X265" i="8" s="1"/>
  <c r="F34" i="2" s="1"/>
  <c r="X284" i="8"/>
  <c r="F35" i="2" s="1"/>
  <c r="AD153" i="8"/>
  <c r="R67" i="3"/>
  <c r="W127" i="8"/>
  <c r="M41" i="3" s="1"/>
  <c r="X206" i="8"/>
  <c r="AD277" i="8"/>
  <c r="Z277" i="8"/>
  <c r="AA168" i="10" l="1"/>
  <c r="AA170" i="10"/>
  <c r="AB170" i="10"/>
  <c r="AB168" i="10"/>
  <c r="Z170" i="10"/>
  <c r="Z168" i="10"/>
  <c r="AC170" i="10"/>
  <c r="AC168" i="10"/>
  <c r="AC167" i="10" s="1"/>
  <c r="AC272" i="8" s="1"/>
  <c r="AC241" i="8" s="1"/>
  <c r="AB59" i="14"/>
  <c r="R59" i="14" s="1"/>
  <c r="K59" i="14"/>
  <c r="AD129" i="8"/>
  <c r="X43" i="3" s="1"/>
  <c r="R43" i="3"/>
  <c r="AE219" i="8"/>
  <c r="AD232" i="8"/>
  <c r="AD130" i="10" s="1"/>
  <c r="M7" i="13"/>
  <c r="R127" i="14"/>
  <c r="R274" i="14"/>
  <c r="N127" i="14"/>
  <c r="AB63" i="14"/>
  <c r="C7" i="14"/>
  <c r="E7" i="14" s="1"/>
  <c r="N205" i="14"/>
  <c r="R205" i="14" s="1"/>
  <c r="AC140" i="8"/>
  <c r="AE307" i="8"/>
  <c r="AE310" i="8" s="1"/>
  <c r="AC318" i="8"/>
  <c r="AC320" i="8" s="1"/>
  <c r="X208" i="8"/>
  <c r="Y208" i="8" s="1"/>
  <c r="AE153" i="8"/>
  <c r="X67" i="3"/>
  <c r="AE218" i="8"/>
  <c r="AD220" i="8"/>
  <c r="AD221" i="8" s="1"/>
  <c r="AD228" i="8" s="1"/>
  <c r="AD128" i="8"/>
  <c r="X42" i="3" s="1"/>
  <c r="R42" i="3"/>
  <c r="Y284" i="8"/>
  <c r="Y283" i="8" s="1"/>
  <c r="Z167" i="10" l="1"/>
  <c r="Z272" i="8" s="1"/>
  <c r="AB167" i="10"/>
  <c r="AB272" i="8" s="1"/>
  <c r="AB241" i="8" s="1"/>
  <c r="AB93" i="8" s="1"/>
  <c r="AA167" i="10"/>
  <c r="AA272" i="8" s="1"/>
  <c r="AA241" i="8" s="1"/>
  <c r="AA289" i="8" s="1"/>
  <c r="AC289" i="8"/>
  <c r="AC93" i="8"/>
  <c r="AC240" i="8"/>
  <c r="AC279" i="8" s="1"/>
  <c r="N120" i="14"/>
  <c r="R267" i="14"/>
  <c r="AE129" i="8"/>
  <c r="Y43" i="3" s="1"/>
  <c r="AF219" i="8"/>
  <c r="Y67" i="3"/>
  <c r="AF153" i="8"/>
  <c r="X210" i="8"/>
  <c r="Y214" i="8" s="1"/>
  <c r="Y87" i="10" s="1"/>
  <c r="AF307" i="8"/>
  <c r="AF310" i="8" s="1"/>
  <c r="AE140" i="8"/>
  <c r="Y54" i="3" s="1"/>
  <c r="AE318" i="8"/>
  <c r="AE320" i="8" s="1"/>
  <c r="AE128" i="8"/>
  <c r="Y42" i="3" s="1"/>
  <c r="AF218" i="8"/>
  <c r="AE220" i="8"/>
  <c r="AE221" i="8" s="1"/>
  <c r="AE228" i="8" s="1"/>
  <c r="AE79" i="8" s="1"/>
  <c r="R54" i="3"/>
  <c r="AD140" i="8"/>
  <c r="X54" i="3" s="1"/>
  <c r="AB240" i="8" l="1"/>
  <c r="AB279" i="8" s="1"/>
  <c r="AB289" i="8"/>
  <c r="AA240" i="8"/>
  <c r="AA279" i="8" s="1"/>
  <c r="AA93" i="8"/>
  <c r="AD167" i="10"/>
  <c r="Z241" i="8"/>
  <c r="AD272" i="8"/>
  <c r="N198" i="14"/>
  <c r="R198" i="14" s="1"/>
  <c r="R120" i="14"/>
  <c r="AF129" i="8"/>
  <c r="Z43" i="3" s="1"/>
  <c r="AG219" i="8"/>
  <c r="AG129" i="8" s="1"/>
  <c r="AA43" i="3" s="1"/>
  <c r="AG307" i="8"/>
  <c r="AG310" i="8" s="1"/>
  <c r="AF140" i="8"/>
  <c r="Z54" i="3" s="1"/>
  <c r="AF318" i="8"/>
  <c r="AF320" i="8" s="1"/>
  <c r="Z67" i="3"/>
  <c r="AG153" i="8"/>
  <c r="AA67" i="3" s="1"/>
  <c r="AF128" i="8"/>
  <c r="Z42" i="3" s="1"/>
  <c r="AF220" i="8"/>
  <c r="AF221" i="8" s="1"/>
  <c r="AF228" i="8" s="1"/>
  <c r="AF79" i="8" s="1"/>
  <c r="AG218" i="8"/>
  <c r="Y210" i="8"/>
  <c r="Z206" i="8" s="1"/>
  <c r="X127" i="8"/>
  <c r="Z93" i="8" l="1"/>
  <c r="AD93" i="8" s="1"/>
  <c r="Z240" i="8"/>
  <c r="Z289" i="8"/>
  <c r="Z149" i="8"/>
  <c r="AD241" i="8"/>
  <c r="Y127" i="8"/>
  <c r="W41" i="3" s="1"/>
  <c r="N41" i="3"/>
  <c r="Z208" i="8"/>
  <c r="AD206" i="8"/>
  <c r="AG220" i="8"/>
  <c r="AG221" i="8" s="1"/>
  <c r="AG228" i="8" s="1"/>
  <c r="AG79" i="8" s="1"/>
  <c r="AG128" i="8"/>
  <c r="AA42" i="3" s="1"/>
  <c r="AG140" i="8"/>
  <c r="AA54" i="3" s="1"/>
  <c r="AG318" i="8"/>
  <c r="AG320" i="8" s="1"/>
  <c r="Z279" i="8" l="1"/>
  <c r="AD240" i="8"/>
  <c r="O63" i="3"/>
  <c r="AA149" i="8"/>
  <c r="Z210" i="8"/>
  <c r="P63" i="3" l="1"/>
  <c r="AB149" i="8"/>
  <c r="Z280" i="8"/>
  <c r="AD279" i="8"/>
  <c r="AD280" i="8" s="1"/>
  <c r="Z127" i="8"/>
  <c r="O41" i="3" s="1"/>
  <c r="AA206" i="8"/>
  <c r="AA277" i="8" l="1"/>
  <c r="AA280" i="8" s="1"/>
  <c r="Z282" i="8"/>
  <c r="AE277" i="8"/>
  <c r="AE169" i="10"/>
  <c r="Q63" i="3"/>
  <c r="AC149" i="8"/>
  <c r="AA208" i="8"/>
  <c r="Z284" i="8" l="1"/>
  <c r="Z266" i="8"/>
  <c r="Z264" i="8" s="1"/>
  <c r="Z265" i="8" s="1"/>
  <c r="R63" i="3"/>
  <c r="AD149" i="8"/>
  <c r="X63" i="3" s="1"/>
  <c r="AE168" i="10"/>
  <c r="AE167" i="10" s="1"/>
  <c r="AE272" i="8" s="1"/>
  <c r="AE241" i="8" s="1"/>
  <c r="AE170" i="10"/>
  <c r="AA282" i="8"/>
  <c r="AB277" i="8"/>
  <c r="AB280" i="8" s="1"/>
  <c r="AA210" i="8"/>
  <c r="AC277" i="8" l="1"/>
  <c r="AC280" i="8" s="1"/>
  <c r="AC282" i="8" s="1"/>
  <c r="AB282" i="8"/>
  <c r="AA266" i="8"/>
  <c r="AA264" i="8" s="1"/>
  <c r="AA265" i="8" s="1"/>
  <c r="AA284" i="8"/>
  <c r="AE289" i="8"/>
  <c r="AE93" i="8"/>
  <c r="AE240" i="8"/>
  <c r="AE279" i="8" s="1"/>
  <c r="AE280" i="8" s="1"/>
  <c r="AE149" i="8"/>
  <c r="Y63" i="3" s="1"/>
  <c r="AA127" i="8"/>
  <c r="P41" i="3" s="1"/>
  <c r="AB206" i="8"/>
  <c r="AD282" i="8" l="1"/>
  <c r="AD266" i="8" s="1"/>
  <c r="AD264" i="8" s="1"/>
  <c r="AD265" i="8" s="1"/>
  <c r="AB284" i="8"/>
  <c r="AB266" i="8"/>
  <c r="AB264" i="8" s="1"/>
  <c r="AB265" i="8" s="1"/>
  <c r="AF169" i="10"/>
  <c r="AF277" i="8"/>
  <c r="AE282" i="8"/>
  <c r="AC266" i="8"/>
  <c r="AC264" i="8" s="1"/>
  <c r="AC265" i="8" s="1"/>
  <c r="AC284" i="8"/>
  <c r="AB208" i="8"/>
  <c r="AB210" i="8" s="1"/>
  <c r="AF170" i="10" l="1"/>
  <c r="AF168" i="10"/>
  <c r="AF167" i="10" s="1"/>
  <c r="AF272" i="8" s="1"/>
  <c r="AF241" i="8" s="1"/>
  <c r="AE266" i="8"/>
  <c r="AE264" i="8" s="1"/>
  <c r="AE265" i="8" s="1"/>
  <c r="AE284" i="8"/>
  <c r="AD284" i="8"/>
  <c r="AD283" i="8" s="1"/>
  <c r="AB127" i="8"/>
  <c r="Q41" i="3" s="1"/>
  <c r="AC206" i="8"/>
  <c r="AF289" i="8" l="1"/>
  <c r="AF93" i="8"/>
  <c r="AF240" i="8"/>
  <c r="AF279" i="8" s="1"/>
  <c r="AF280" i="8" s="1"/>
  <c r="AF149" i="8"/>
  <c r="Z63" i="3" s="1"/>
  <c r="AC208" i="8"/>
  <c r="AD208" i="8" s="1"/>
  <c r="AG169" i="10" l="1"/>
  <c r="AF282" i="8"/>
  <c r="AG277" i="8"/>
  <c r="AC210" i="8"/>
  <c r="AC127" i="8" s="1"/>
  <c r="AF266" i="8" l="1"/>
  <c r="AF264" i="8" s="1"/>
  <c r="AF265" i="8" s="1"/>
  <c r="AF284" i="8"/>
  <c r="AG168" i="10"/>
  <c r="AG170" i="10"/>
  <c r="AD214" i="8"/>
  <c r="AD87" i="10" s="1"/>
  <c r="AD210" i="8"/>
  <c r="AE206" i="8" s="1"/>
  <c r="AE208" i="8" s="1"/>
  <c r="AE210" i="8" s="1"/>
  <c r="AD127" i="8"/>
  <c r="X41" i="3" s="1"/>
  <c r="R41" i="3"/>
  <c r="AG167" i="10" l="1"/>
  <c r="AG272" i="8" s="1"/>
  <c r="AG241" i="8" s="1"/>
  <c r="AG289" i="8" s="1"/>
  <c r="AF206" i="8"/>
  <c r="AE127" i="8"/>
  <c r="Y41" i="3" s="1"/>
  <c r="AG149" i="8" l="1"/>
  <c r="AA63" i="3" s="1"/>
  <c r="AG240" i="8"/>
  <c r="AG279" i="8" s="1"/>
  <c r="AG280" i="8" s="1"/>
  <c r="AG282" i="8" s="1"/>
  <c r="AG284" i="8" s="1"/>
  <c r="AG93" i="8"/>
  <c r="AF208" i="8"/>
  <c r="AF210" i="8" s="1"/>
  <c r="AG266" i="8" l="1"/>
  <c r="AG264" i="8" s="1"/>
  <c r="AG265" i="8" s="1"/>
  <c r="AG206" i="8"/>
  <c r="AF127" i="8"/>
  <c r="Z41" i="3" s="1"/>
  <c r="AG208" i="8" l="1"/>
  <c r="AG210" i="8" s="1"/>
  <c r="AG127" i="8" s="1"/>
  <c r="AA41" i="3" s="1"/>
  <c r="P91" i="16"/>
  <c r="P92" i="16" s="1"/>
  <c r="Y30" i="7"/>
  <c r="Y33" i="7"/>
  <c r="Y41" i="7"/>
  <c r="G51" i="16" s="1" a="1"/>
  <c r="G51" i="16" s="1"/>
  <c r="G52" i="16" s="1"/>
  <c r="Y45" i="7"/>
  <c r="Y51" i="7"/>
  <c r="Z51" i="7"/>
  <c r="Z33" i="7" s="1"/>
  <c r="Y63" i="7"/>
  <c r="Z63" i="7"/>
  <c r="Y69" i="7"/>
  <c r="Z69" i="7"/>
  <c r="V8" i="9"/>
  <c r="W8" i="9"/>
  <c r="X8" i="9"/>
  <c r="V9" i="9"/>
  <c r="W9" i="9"/>
  <c r="W147" i="9" s="1"/>
  <c r="X9" i="9"/>
  <c r="X147" i="9" s="1"/>
  <c r="V10" i="9"/>
  <c r="W10" i="9"/>
  <c r="X10" i="9"/>
  <c r="X148" i="9" s="1"/>
  <c r="X7" i="9" l="1"/>
  <c r="Q91" i="16"/>
  <c r="Q92" i="16" s="1"/>
  <c r="Y39" i="7"/>
  <c r="X34" i="9"/>
  <c r="X134" i="9" s="1"/>
  <c r="V146" i="9"/>
  <c r="V7" i="9"/>
  <c r="W146" i="9"/>
  <c r="W7" i="9"/>
  <c r="Z8" i="9"/>
  <c r="Z146" i="9" s="1"/>
  <c r="V166" i="9"/>
  <c r="W166" i="9"/>
  <c r="Y47" i="7"/>
  <c r="X35" i="9"/>
  <c r="X135" i="9" s="1"/>
  <c r="W35" i="9"/>
  <c r="W135" i="9" s="1"/>
  <c r="Y43" i="7"/>
  <c r="X146" i="9"/>
  <c r="V36" i="9"/>
  <c r="V136" i="9" s="1"/>
  <c r="X36" i="9"/>
  <c r="X136" i="9" s="1"/>
  <c r="Y46" i="7"/>
  <c r="AA51" i="7"/>
  <c r="AA33" i="7" s="1"/>
  <c r="V148" i="9"/>
  <c r="X165" i="9"/>
  <c r="Y42" i="7"/>
  <c r="X166" i="9"/>
  <c r="V34" i="9"/>
  <c r="V134" i="9" s="1"/>
  <c r="X164" i="9"/>
  <c r="W164" i="9"/>
  <c r="V164" i="9"/>
  <c r="W34" i="9"/>
  <c r="W134" i="9" s="1"/>
  <c r="Y8" i="9"/>
  <c r="Y146" i="9" s="1"/>
  <c r="K91" i="16" a="1"/>
  <c r="K91" i="16" s="1"/>
  <c r="K92" i="16" s="1"/>
  <c r="O31" i="16" a="1"/>
  <c r="O31" i="16" s="1"/>
  <c r="O32" i="16" s="1"/>
  <c r="Y31" i="7"/>
  <c r="V165" i="9"/>
  <c r="V147" i="9"/>
  <c r="W165" i="9"/>
  <c r="V35" i="9"/>
  <c r="AA69" i="7"/>
  <c r="Z45" i="7"/>
  <c r="Y10" i="9"/>
  <c r="W36" i="9"/>
  <c r="W148" i="9"/>
  <c r="Z41" i="7"/>
  <c r="AA63" i="7"/>
  <c r="Y9" i="9"/>
  <c r="Z34" i="7"/>
  <c r="G31" i="16" a="1"/>
  <c r="G31" i="16" s="1"/>
  <c r="G32" i="16" s="1"/>
  <c r="Y35" i="7"/>
  <c r="Y34" i="7"/>
  <c r="O51" i="16" a="1"/>
  <c r="O51" i="16" s="1"/>
  <c r="O52" i="16" s="1"/>
  <c r="Y7" i="9" l="1"/>
  <c r="Y17" i="9" s="1"/>
  <c r="V29" i="9"/>
  <c r="V17" i="9"/>
  <c r="W29" i="9"/>
  <c r="W17" i="9"/>
  <c r="X29" i="9"/>
  <c r="X17" i="9"/>
  <c r="Z164" i="9"/>
  <c r="Z30" i="7"/>
  <c r="Z39" i="7" s="1"/>
  <c r="Z34" i="9"/>
  <c r="Z134" i="9" s="1"/>
  <c r="AA8" i="9"/>
  <c r="V14" i="9"/>
  <c r="V28" i="9"/>
  <c r="V19" i="9"/>
  <c r="V27" i="9"/>
  <c r="X15" i="9"/>
  <c r="X27" i="9"/>
  <c r="X28" i="9"/>
  <c r="X19" i="9"/>
  <c r="W28" i="9"/>
  <c r="W19" i="9"/>
  <c r="W27" i="9"/>
  <c r="Y32" i="10"/>
  <c r="Y22" i="10"/>
  <c r="AA34" i="7"/>
  <c r="AB51" i="7"/>
  <c r="AC51" i="7" s="1"/>
  <c r="AC33" i="7" s="1"/>
  <c r="Y36" i="9"/>
  <c r="Y136" i="9" s="1"/>
  <c r="Y17" i="10" s="1"/>
  <c r="X14" i="9"/>
  <c r="V15" i="9"/>
  <c r="X28" i="8"/>
  <c r="X16" i="9"/>
  <c r="X145" i="9"/>
  <c r="W33" i="9"/>
  <c r="W42" i="9" s="1"/>
  <c r="X33" i="9"/>
  <c r="Y34" i="9"/>
  <c r="Y134" i="9" s="1"/>
  <c r="W14" i="9"/>
  <c r="W16" i="9"/>
  <c r="Y147" i="9"/>
  <c r="Z46" i="7"/>
  <c r="Z10" i="9"/>
  <c r="AA41" i="7"/>
  <c r="AB63" i="7"/>
  <c r="Z42" i="7"/>
  <c r="Z9" i="9"/>
  <c r="W163" i="9"/>
  <c r="W28" i="8"/>
  <c r="W145" i="9"/>
  <c r="W15" i="9"/>
  <c r="W136" i="9"/>
  <c r="AB69" i="7"/>
  <c r="AA45" i="7"/>
  <c r="V135" i="9"/>
  <c r="V33" i="9"/>
  <c r="V28" i="8"/>
  <c r="V163" i="9"/>
  <c r="V145" i="9"/>
  <c r="V16" i="9"/>
  <c r="X163" i="9"/>
  <c r="Y148" i="9"/>
  <c r="Y35" i="9"/>
  <c r="Z7" i="9" l="1"/>
  <c r="Z17" i="9" s="1"/>
  <c r="AA30" i="7"/>
  <c r="AA39" i="7" s="1"/>
  <c r="V31" i="8"/>
  <c r="W31" i="8"/>
  <c r="X31" i="8"/>
  <c r="V30" i="8"/>
  <c r="W30" i="8"/>
  <c r="X35" i="8"/>
  <c r="X30" i="8"/>
  <c r="AA164" i="9"/>
  <c r="V36" i="8"/>
  <c r="V35" i="8"/>
  <c r="W36" i="8"/>
  <c r="W35" i="8"/>
  <c r="X164" i="8"/>
  <c r="X123" i="8" s="1"/>
  <c r="X36" i="8"/>
  <c r="AA34" i="9"/>
  <c r="AA134" i="9" s="1"/>
  <c r="AA146" i="9"/>
  <c r="AC8" i="9"/>
  <c r="W30" i="9"/>
  <c r="W31" i="9"/>
  <c r="V30" i="9"/>
  <c r="V31" i="9"/>
  <c r="X30" i="9"/>
  <c r="X31" i="9"/>
  <c r="AB33" i="7"/>
  <c r="AD51" i="7"/>
  <c r="AE51" i="7" s="1"/>
  <c r="AF51" i="7" s="1"/>
  <c r="Y19" i="9"/>
  <c r="Z43" i="7"/>
  <c r="I12" i="19" a="1"/>
  <c r="I12" i="19" s="1"/>
  <c r="O12" i="19" s="1"/>
  <c r="Z47" i="7"/>
  <c r="H12" i="19" a="1"/>
  <c r="H12" i="19" s="1"/>
  <c r="K16" i="19" s="1"/>
  <c r="Z35" i="7"/>
  <c r="Z31" i="7"/>
  <c r="X162" i="8"/>
  <c r="X34" i="8"/>
  <c r="X38" i="8"/>
  <c r="X246" i="8"/>
  <c r="W41" i="9"/>
  <c r="W38" i="9"/>
  <c r="X38" i="9"/>
  <c r="H12" i="18" a="1"/>
  <c r="H12" i="18" s="1"/>
  <c r="M12" i="18" s="1"/>
  <c r="X42" i="9"/>
  <c r="X193" i="8"/>
  <c r="N86" i="3" s="1"/>
  <c r="N8" i="3"/>
  <c r="N9" i="3" s="1"/>
  <c r="X43" i="9"/>
  <c r="Y16" i="9"/>
  <c r="W43" i="9"/>
  <c r="Y15" i="9"/>
  <c r="X41" i="9"/>
  <c r="AA46" i="7"/>
  <c r="AA10" i="9"/>
  <c r="AB41" i="7"/>
  <c r="AC63" i="7"/>
  <c r="Y135" i="9"/>
  <c r="Y12" i="10" s="1"/>
  <c r="AA9" i="9"/>
  <c r="AA42" i="7"/>
  <c r="Y14" i="9"/>
  <c r="Y145" i="9"/>
  <c r="V246" i="8"/>
  <c r="V34" i="8"/>
  <c r="V162" i="8"/>
  <c r="V168" i="8" s="1"/>
  <c r="V193" i="8"/>
  <c r="V164" i="8"/>
  <c r="V123" i="8" s="1"/>
  <c r="L37" i="3" s="1"/>
  <c r="V38" i="8"/>
  <c r="L8" i="3"/>
  <c r="Z36" i="9"/>
  <c r="Z148" i="9"/>
  <c r="Z166" i="9"/>
  <c r="V38" i="9"/>
  <c r="V41" i="9"/>
  <c r="V43" i="9"/>
  <c r="V42" i="9"/>
  <c r="W246" i="8"/>
  <c r="W34" i="8"/>
  <c r="W162" i="8"/>
  <c r="W168" i="8" s="1"/>
  <c r="W164" i="8"/>
  <c r="W123" i="8" s="1"/>
  <c r="M37" i="3" s="1"/>
  <c r="W38" i="8"/>
  <c r="M8" i="3"/>
  <c r="W193" i="8"/>
  <c r="AC69" i="7"/>
  <c r="AC45" i="7" s="1"/>
  <c r="AB45" i="7"/>
  <c r="Y27" i="10"/>
  <c r="K8" i="3"/>
  <c r="Y28" i="8"/>
  <c r="K37" i="3"/>
  <c r="Y33" i="9"/>
  <c r="Y42" i="9" s="1"/>
  <c r="Z35" i="9"/>
  <c r="Z165" i="9"/>
  <c r="Z147" i="9"/>
  <c r="X32" i="8" l="1"/>
  <c r="H13" i="18" s="1" a="1"/>
  <c r="H13" i="18" s="1"/>
  <c r="M13" i="18" s="1"/>
  <c r="W32" i="8"/>
  <c r="M11" i="3" s="1"/>
  <c r="V32" i="8"/>
  <c r="AB30" i="7"/>
  <c r="AB39" i="7" s="1"/>
  <c r="AA7" i="9"/>
  <c r="AA17" i="9" s="1"/>
  <c r="Y31" i="8"/>
  <c r="Y30" i="8"/>
  <c r="X167" i="8" a="1"/>
  <c r="X167" i="8" s="1"/>
  <c r="X134" i="8" s="1"/>
  <c r="AC146" i="9"/>
  <c r="Y164" i="8"/>
  <c r="Y186" i="8" s="1"/>
  <c r="Y125" i="10" s="1"/>
  <c r="Y36" i="8"/>
  <c r="Y69" i="8" s="1"/>
  <c r="Y55" i="10" s="1"/>
  <c r="AC34" i="9"/>
  <c r="AC134" i="9" s="1"/>
  <c r="Y162" i="8"/>
  <c r="Y182" i="8" s="1"/>
  <c r="X168" i="8"/>
  <c r="Y168" i="8" s="1"/>
  <c r="V167" i="8" a="1"/>
  <c r="V167" i="8" s="1"/>
  <c r="W167" i="8" a="1"/>
  <c r="W167" i="8" s="1"/>
  <c r="AB8" i="9"/>
  <c r="AB146" i="9" s="1"/>
  <c r="AD33" i="7"/>
  <c r="H31" i="16" s="1" a="1"/>
  <c r="H31" i="16" s="1"/>
  <c r="H32" i="16" s="1"/>
  <c r="AE33" i="7"/>
  <c r="Y30" i="9"/>
  <c r="Y29" i="9"/>
  <c r="Y31" i="9"/>
  <c r="AB34" i="7"/>
  <c r="P51" i="16" a="1"/>
  <c r="P51" i="16" s="1"/>
  <c r="P52" i="16" s="1"/>
  <c r="AC34" i="7"/>
  <c r="Z19" i="9"/>
  <c r="Y27" i="9"/>
  <c r="Y28" i="9"/>
  <c r="X163" i="8"/>
  <c r="X122" i="8" s="1"/>
  <c r="P12" i="19"/>
  <c r="X121" i="8"/>
  <c r="N35" i="3" s="1"/>
  <c r="K18" i="19"/>
  <c r="L18" i="19"/>
  <c r="L16" i="19"/>
  <c r="M12" i="19"/>
  <c r="N12" i="19"/>
  <c r="X169" i="8"/>
  <c r="Y169" i="8" s="1"/>
  <c r="X82" i="8"/>
  <c r="X85" i="8" s="1"/>
  <c r="X77" i="8"/>
  <c r="X111" i="8"/>
  <c r="K16" i="18"/>
  <c r="K18" i="18"/>
  <c r="J16" i="18"/>
  <c r="L12" i="18"/>
  <c r="N12" i="18"/>
  <c r="J18" i="18"/>
  <c r="AA43" i="7"/>
  <c r="AA47" i="7"/>
  <c r="Y38" i="8"/>
  <c r="Y70" i="8" s="1"/>
  <c r="Y60" i="10" s="1"/>
  <c r="V82" i="8"/>
  <c r="V85" i="8" s="1"/>
  <c r="V111" i="8"/>
  <c r="L86" i="3"/>
  <c r="AC46" i="7"/>
  <c r="AC10" i="9"/>
  <c r="K35" i="3"/>
  <c r="Y34" i="8"/>
  <c r="Y67" i="8" s="1"/>
  <c r="Y40" i="10" s="1"/>
  <c r="K50" i="3"/>
  <c r="K36" i="3"/>
  <c r="W163" i="8"/>
  <c r="W122" i="8" s="1"/>
  <c r="M36" i="3" s="1"/>
  <c r="W169" i="8"/>
  <c r="W136" i="8" s="1"/>
  <c r="M50" i="3" s="1"/>
  <c r="W135" i="8"/>
  <c r="M49" i="3" s="1"/>
  <c r="M9" i="3"/>
  <c r="W77" i="8"/>
  <c r="Y38" i="9"/>
  <c r="Y41" i="9"/>
  <c r="Y43" i="9"/>
  <c r="AA35" i="9"/>
  <c r="AA165" i="9"/>
  <c r="AA147" i="9"/>
  <c r="Q51" i="16" a="1"/>
  <c r="Q51" i="16" s="1"/>
  <c r="V121" i="8"/>
  <c r="L35" i="3" s="1"/>
  <c r="W82" i="8"/>
  <c r="W85" i="8" s="1"/>
  <c r="W111" i="8"/>
  <c r="M86" i="3"/>
  <c r="AA36" i="9"/>
  <c r="AA148" i="9"/>
  <c r="AA166" i="9"/>
  <c r="Z135" i="9"/>
  <c r="Z33" i="9"/>
  <c r="AD69" i="7"/>
  <c r="AE69" i="7" s="1"/>
  <c r="AC41" i="7"/>
  <c r="AC30" i="7" s="1"/>
  <c r="AC39" i="7" s="1"/>
  <c r="AD63" i="7"/>
  <c r="AE63" i="7" s="1"/>
  <c r="AB46" i="7"/>
  <c r="AB10" i="9"/>
  <c r="AD45" i="7"/>
  <c r="Y246" i="8"/>
  <c r="V163" i="8"/>
  <c r="V122" i="8" s="1"/>
  <c r="L36" i="3" s="1"/>
  <c r="V169" i="8"/>
  <c r="V136" i="8" s="1"/>
  <c r="L50" i="3" s="1"/>
  <c r="V135" i="8"/>
  <c r="L49" i="3" s="1"/>
  <c r="Z145" i="9"/>
  <c r="Z14" i="9"/>
  <c r="Z28" i="8"/>
  <c r="Z163" i="9"/>
  <c r="V77" i="8"/>
  <c r="W121" i="8"/>
  <c r="M35" i="3" s="1"/>
  <c r="Z136" i="9"/>
  <c r="AG51" i="7"/>
  <c r="AG33" i="7" s="1"/>
  <c r="AF33" i="7"/>
  <c r="L9" i="3"/>
  <c r="AA31" i="7"/>
  <c r="AA35" i="7"/>
  <c r="K9" i="3"/>
  <c r="AB9" i="9"/>
  <c r="AB42" i="7"/>
  <c r="Z15" i="9"/>
  <c r="Y193" i="8"/>
  <c r="K86" i="3"/>
  <c r="Z16" i="9"/>
  <c r="Y123" i="8"/>
  <c r="W37" i="3" s="1"/>
  <c r="N37" i="3"/>
  <c r="W8" i="3"/>
  <c r="I13" i="19" l="1" a="1"/>
  <c r="I13" i="19" s="1"/>
  <c r="H13" i="19" a="1"/>
  <c r="H13" i="19" s="1"/>
  <c r="P13" i="19" s="1"/>
  <c r="N13" i="18"/>
  <c r="AB47" i="7"/>
  <c r="L13" i="18"/>
  <c r="N11" i="3"/>
  <c r="N12" i="3" s="1"/>
  <c r="N76" i="3" s="1"/>
  <c r="Y32" i="8"/>
  <c r="AB164" i="9"/>
  <c r="Y187" i="8"/>
  <c r="Y142" i="10" s="1"/>
  <c r="Z31" i="8"/>
  <c r="Z30" i="8"/>
  <c r="AD8" i="9"/>
  <c r="AD146" i="9" s="1"/>
  <c r="AB7" i="9"/>
  <c r="AB17" i="9" s="1"/>
  <c r="AC164" i="9"/>
  <c r="AE34" i="7"/>
  <c r="AB34" i="9"/>
  <c r="AB134" i="9" s="1"/>
  <c r="Z36" i="8"/>
  <c r="Z162" i="8"/>
  <c r="Z168" i="8" s="1"/>
  <c r="AD34" i="7"/>
  <c r="AE8" i="9"/>
  <c r="AD41" i="7"/>
  <c r="AD42" i="7" s="1"/>
  <c r="AD30" i="7"/>
  <c r="AD39" i="7" s="1"/>
  <c r="I31" i="16" a="1"/>
  <c r="I31" i="16" s="1"/>
  <c r="I32" i="16" s="1"/>
  <c r="Q52" i="16"/>
  <c r="Z30" i="9"/>
  <c r="Z29" i="9"/>
  <c r="Z31" i="9"/>
  <c r="Z28" i="9"/>
  <c r="Z27" i="9"/>
  <c r="AA19" i="9"/>
  <c r="Y121" i="8"/>
  <c r="W35" i="3" s="1"/>
  <c r="X165" i="8"/>
  <c r="X176" i="8"/>
  <c r="Y163" i="8"/>
  <c r="Y165" i="8" s="1"/>
  <c r="Y167" i="8"/>
  <c r="X170" i="8"/>
  <c r="X136" i="8"/>
  <c r="Y136" i="8" s="1"/>
  <c r="W50" i="3" s="1"/>
  <c r="I43" i="19" a="1"/>
  <c r="I43" i="19" s="1"/>
  <c r="O43" i="19" s="1"/>
  <c r="H43" i="19" a="1"/>
  <c r="H43" i="19" s="1"/>
  <c r="N43" i="19" s="1"/>
  <c r="H43" i="18" a="1"/>
  <c r="H43" i="18" s="1"/>
  <c r="M43" i="18" s="1"/>
  <c r="X135" i="8"/>
  <c r="Y135" i="8" s="1"/>
  <c r="W49" i="3" s="1"/>
  <c r="AD10" i="9"/>
  <c r="AD148" i="9" s="1"/>
  <c r="W165" i="8"/>
  <c r="W176" i="8"/>
  <c r="AA16" i="9"/>
  <c r="Z43" i="9"/>
  <c r="Y77" i="8"/>
  <c r="AD27" i="10"/>
  <c r="Y188" i="8"/>
  <c r="Y147" i="10" s="1"/>
  <c r="Y85" i="8"/>
  <c r="Y82" i="8"/>
  <c r="AF34" i="7"/>
  <c r="AF8" i="9"/>
  <c r="AA136" i="9"/>
  <c r="AB43" i="7"/>
  <c r="Y249" i="8"/>
  <c r="N36" i="3"/>
  <c r="Y122" i="8"/>
  <c r="W36" i="3" s="1"/>
  <c r="AJ33" i="7"/>
  <c r="AG34" i="7"/>
  <c r="AG8" i="9"/>
  <c r="M12" i="3"/>
  <c r="M76" i="3" s="1"/>
  <c r="M13" i="3"/>
  <c r="AC36" i="9"/>
  <c r="AC148" i="9"/>
  <c r="AC166" i="9"/>
  <c r="Y134" i="8"/>
  <c r="W48" i="3" s="1"/>
  <c r="N48" i="3"/>
  <c r="AD46" i="7"/>
  <c r="W170" i="8"/>
  <c r="W134" i="8"/>
  <c r="Z246" i="8"/>
  <c r="Z193" i="8"/>
  <c r="Z34" i="8"/>
  <c r="Z38" i="8"/>
  <c r="O8" i="3"/>
  <c r="Z164" i="8"/>
  <c r="Z123" i="8" s="1"/>
  <c r="O37" i="3" s="1"/>
  <c r="AE45" i="7"/>
  <c r="AF69" i="7"/>
  <c r="AA28" i="8"/>
  <c r="AA145" i="9"/>
  <c r="AA163" i="9"/>
  <c r="AA14" i="9"/>
  <c r="AA15" i="9"/>
  <c r="V244" i="8"/>
  <c r="V247" i="8" s="1"/>
  <c r="AD22" i="10"/>
  <c r="L11" i="3"/>
  <c r="AB148" i="9"/>
  <c r="AB166" i="9"/>
  <c r="AB36" i="9"/>
  <c r="Z41" i="9"/>
  <c r="Z38" i="9"/>
  <c r="AB31" i="7"/>
  <c r="AB35" i="7"/>
  <c r="AA135" i="9"/>
  <c r="AA33" i="9"/>
  <c r="AA43" i="9" s="1"/>
  <c r="AB165" i="9"/>
  <c r="AB35" i="9"/>
  <c r="AB147" i="9"/>
  <c r="AF63" i="7"/>
  <c r="AE41" i="7"/>
  <c r="V165" i="8"/>
  <c r="K11" i="3"/>
  <c r="Y115" i="10"/>
  <c r="W98" i="3"/>
  <c r="V134" i="8"/>
  <c r="V170" i="8"/>
  <c r="Z42" i="9"/>
  <c r="V192" i="8"/>
  <c r="Y200" i="8"/>
  <c r="Y94" i="10" s="1"/>
  <c r="W86" i="3"/>
  <c r="G61" i="4" s="1"/>
  <c r="G21" i="4"/>
  <c r="W9" i="3"/>
  <c r="G22" i="4" s="1"/>
  <c r="Y111" i="8"/>
  <c r="AC42" i="7"/>
  <c r="AC9" i="9"/>
  <c r="V176" i="8"/>
  <c r="M13" i="19" l="1"/>
  <c r="O13" i="19"/>
  <c r="N13" i="19"/>
  <c r="AE164" i="9"/>
  <c r="N13" i="3"/>
  <c r="AE30" i="7"/>
  <c r="AE39" i="7" s="1"/>
  <c r="AD34" i="9"/>
  <c r="AD134" i="9" s="1"/>
  <c r="AE146" i="9"/>
  <c r="AA31" i="8"/>
  <c r="Z32" i="8"/>
  <c r="AA30" i="8"/>
  <c r="AD9" i="9"/>
  <c r="AD147" i="9" s="1"/>
  <c r="AC7" i="9"/>
  <c r="AC17" i="9" s="1"/>
  <c r="H51" i="16" a="1"/>
  <c r="H51" i="16" s="1"/>
  <c r="H52" i="16" s="1"/>
  <c r="AA36" i="8"/>
  <c r="AA162" i="8"/>
  <c r="AA168" i="8" s="1"/>
  <c r="AA29" i="9"/>
  <c r="AA30" i="9"/>
  <c r="AA31" i="9"/>
  <c r="AA27" i="9"/>
  <c r="AA28" i="9"/>
  <c r="AB15" i="9"/>
  <c r="AB19" i="9"/>
  <c r="Y183" i="8"/>
  <c r="Y120" i="10" s="1"/>
  <c r="Y176" i="8"/>
  <c r="Y178" i="8" s="1"/>
  <c r="Y170" i="8"/>
  <c r="Y172" i="8" s="1"/>
  <c r="Y174" i="8" s="1"/>
  <c r="X178" i="8"/>
  <c r="X110" i="8" s="1"/>
  <c r="X172" i="8"/>
  <c r="N50" i="3"/>
  <c r="X137" i="8"/>
  <c r="Y137" i="8" s="1"/>
  <c r="N49" i="3"/>
  <c r="M43" i="19"/>
  <c r="P43" i="19"/>
  <c r="W178" i="8"/>
  <c r="W110" i="8" s="1"/>
  <c r="L43" i="18"/>
  <c r="W172" i="8"/>
  <c r="N43" i="18"/>
  <c r="V172" i="8"/>
  <c r="AD36" i="9"/>
  <c r="AD136" i="9" s="1"/>
  <c r="AD17" i="10" s="1"/>
  <c r="L91" i="16" a="1"/>
  <c r="L91" i="16" s="1"/>
  <c r="L92" i="16" s="1"/>
  <c r="AD31" i="7"/>
  <c r="P31" i="16" a="1"/>
  <c r="P31" i="16" s="1"/>
  <c r="P32" i="16" s="1"/>
  <c r="AD35" i="7"/>
  <c r="AD43" i="7"/>
  <c r="AD47" i="7"/>
  <c r="V137" i="8"/>
  <c r="L48" i="3"/>
  <c r="L51" i="3" s="1"/>
  <c r="G68" i="4"/>
  <c r="L12" i="3"/>
  <c r="L76" i="3" s="1"/>
  <c r="L13" i="3"/>
  <c r="AF45" i="7"/>
  <c r="AG69" i="7"/>
  <c r="AG45" i="7" s="1"/>
  <c r="V194" i="8"/>
  <c r="V196" i="8" s="1"/>
  <c r="Z169" i="8"/>
  <c r="Z136" i="8" s="1"/>
  <c r="O50" i="3" s="1"/>
  <c r="Z135" i="8"/>
  <c r="O49" i="3" s="1"/>
  <c r="Z163" i="8"/>
  <c r="Z122" i="8" s="1"/>
  <c r="O36" i="3" s="1"/>
  <c r="Z77" i="8"/>
  <c r="AA38" i="9"/>
  <c r="AA41" i="9"/>
  <c r="K12" i="3"/>
  <c r="K76" i="3" s="1"/>
  <c r="K13" i="3"/>
  <c r="AE46" i="7"/>
  <c r="AE10" i="9"/>
  <c r="K40" i="3"/>
  <c r="K44" i="3" s="1"/>
  <c r="Y66" i="8"/>
  <c r="W11" i="3"/>
  <c r="W51" i="3"/>
  <c r="AG164" i="9"/>
  <c r="AG146" i="9"/>
  <c r="AB136" i="9"/>
  <c r="W137" i="8"/>
  <c r="M48" i="3"/>
  <c r="M51" i="3" s="1"/>
  <c r="AF146" i="9"/>
  <c r="AF164" i="9"/>
  <c r="AB135" i="9"/>
  <c r="AB33" i="9"/>
  <c r="AE42" i="7"/>
  <c r="AE9" i="9"/>
  <c r="I51" i="16" a="1"/>
  <c r="I51" i="16" s="1"/>
  <c r="AG63" i="7"/>
  <c r="AG41" i="7" s="1"/>
  <c r="AF41" i="7"/>
  <c r="Z121" i="8"/>
  <c r="O35" i="3" s="1"/>
  <c r="AA42" i="9"/>
  <c r="AB16" i="9"/>
  <c r="K61" i="3"/>
  <c r="AC43" i="7"/>
  <c r="AC136" i="9"/>
  <c r="AB28" i="8"/>
  <c r="AB163" i="9"/>
  <c r="AB145" i="9"/>
  <c r="AB14" i="9"/>
  <c r="AA193" i="8"/>
  <c r="AA34" i="8"/>
  <c r="P8" i="3"/>
  <c r="AA164" i="8"/>
  <c r="AA123" i="8" s="1"/>
  <c r="P37" i="3" s="1"/>
  <c r="AA38" i="8"/>
  <c r="AA246" i="8"/>
  <c r="AA77" i="8" s="1"/>
  <c r="O9" i="3"/>
  <c r="V147" i="8"/>
  <c r="W244" i="8"/>
  <c r="W247" i="8" s="1"/>
  <c r="AC31" i="7"/>
  <c r="AC35" i="7"/>
  <c r="AC47" i="7"/>
  <c r="AC165" i="9"/>
  <c r="AC35" i="9"/>
  <c r="AD35" i="9" s="1"/>
  <c r="AC147" i="9"/>
  <c r="Z111" i="8"/>
  <c r="Z82" i="8"/>
  <c r="O86" i="3"/>
  <c r="AE43" i="7" l="1"/>
  <c r="AG30" i="7"/>
  <c r="AG39" i="7" s="1"/>
  <c r="AF30" i="7"/>
  <c r="AF39" i="7" s="1"/>
  <c r="AA32" i="8"/>
  <c r="AB31" i="8"/>
  <c r="AB30" i="8"/>
  <c r="AE7" i="9"/>
  <c r="AE17" i="9" s="1"/>
  <c r="I52" i="16"/>
  <c r="AB36" i="8"/>
  <c r="AB162" i="8"/>
  <c r="AB168" i="8" s="1"/>
  <c r="AB30" i="9"/>
  <c r="AB29" i="9"/>
  <c r="AB31" i="9"/>
  <c r="AB27" i="9"/>
  <c r="AB28" i="9"/>
  <c r="AD7" i="9"/>
  <c r="AC19" i="9"/>
  <c r="W99" i="3"/>
  <c r="G69" i="4" s="1"/>
  <c r="N51" i="3"/>
  <c r="W174" i="8"/>
  <c r="W78" i="8" s="1"/>
  <c r="X174" i="8"/>
  <c r="X78" i="8" s="1"/>
  <c r="Z165" i="8"/>
  <c r="AA169" i="8"/>
  <c r="AA136" i="8" s="1"/>
  <c r="P50" i="3" s="1"/>
  <c r="AA163" i="8"/>
  <c r="AA122" i="8" s="1"/>
  <c r="P36" i="3" s="1"/>
  <c r="AA135" i="8"/>
  <c r="P49" i="3" s="1"/>
  <c r="AG42" i="7"/>
  <c r="AJ41" i="7"/>
  <c r="AG9" i="9"/>
  <c r="AE35" i="9"/>
  <c r="AE165" i="9"/>
  <c r="AE147" i="9"/>
  <c r="P9" i="3"/>
  <c r="AB38" i="9"/>
  <c r="AB41" i="9"/>
  <c r="AB42" i="9"/>
  <c r="L61" i="3"/>
  <c r="AF42" i="7"/>
  <c r="AF9" i="9"/>
  <c r="AD32" i="10"/>
  <c r="Q31" i="16" a="1"/>
  <c r="Q31" i="16" s="1"/>
  <c r="Q32" i="16" s="1"/>
  <c r="AE31" i="7"/>
  <c r="M91" i="16" a="1"/>
  <c r="M91" i="16" s="1"/>
  <c r="M92" i="16" s="1"/>
  <c r="AE35" i="7"/>
  <c r="Z85" i="8"/>
  <c r="W147" i="8"/>
  <c r="X244" i="8"/>
  <c r="X247" i="8" s="1"/>
  <c r="AA111" i="8"/>
  <c r="AA82" i="8"/>
  <c r="AA85" i="8" s="1"/>
  <c r="P86" i="3"/>
  <c r="O11" i="3"/>
  <c r="AA121" i="8"/>
  <c r="P35" i="3" s="1"/>
  <c r="AG10" i="9"/>
  <c r="AJ45" i="7"/>
  <c r="AG46" i="7"/>
  <c r="AB193" i="8"/>
  <c r="AB34" i="8"/>
  <c r="Q8" i="3"/>
  <c r="AB164" i="8"/>
  <c r="AB123" i="8" s="1"/>
  <c r="Q37" i="3" s="1"/>
  <c r="AB246" i="8"/>
  <c r="AB77" i="8" s="1"/>
  <c r="AB38" i="8"/>
  <c r="AD135" i="9"/>
  <c r="AD12" i="10" s="1"/>
  <c r="G24" i="4"/>
  <c r="W13" i="3"/>
  <c r="G26" i="4" s="1"/>
  <c r="W12" i="3"/>
  <c r="AF46" i="7"/>
  <c r="AF10" i="9"/>
  <c r="AB43" i="9"/>
  <c r="AE47" i="7"/>
  <c r="V126" i="8"/>
  <c r="W192" i="8"/>
  <c r="AC28" i="8"/>
  <c r="AC145" i="9"/>
  <c r="AC163" i="9"/>
  <c r="AC14" i="9"/>
  <c r="AC16" i="9"/>
  <c r="AC135" i="9"/>
  <c r="AC33" i="9"/>
  <c r="AC15" i="9"/>
  <c r="AE166" i="9"/>
  <c r="AE36" i="9"/>
  <c r="AE148" i="9"/>
  <c r="V109" i="8"/>
  <c r="V202" i="8"/>
  <c r="V76" i="8"/>
  <c r="V37" i="8" s="1"/>
  <c r="AD19" i="9" l="1"/>
  <c r="AD28" i="9" s="1"/>
  <c r="AD17" i="9"/>
  <c r="AF43" i="7"/>
  <c r="AG47" i="7"/>
  <c r="AF7" i="9"/>
  <c r="AF17" i="9" s="1"/>
  <c r="AC31" i="8"/>
  <c r="AD31" i="8" s="1"/>
  <c r="AB32" i="8"/>
  <c r="Q11" i="3" s="1"/>
  <c r="AC30" i="8"/>
  <c r="AG7" i="9"/>
  <c r="AG17" i="9" s="1"/>
  <c r="AC36" i="8"/>
  <c r="AD36" i="8" s="1"/>
  <c r="AC162" i="8"/>
  <c r="AC168" i="8" s="1"/>
  <c r="AC31" i="9"/>
  <c r="AC29" i="9"/>
  <c r="AC30" i="9"/>
  <c r="AD16" i="9"/>
  <c r="AC28" i="9"/>
  <c r="AC27" i="9"/>
  <c r="AD14" i="9"/>
  <c r="AD15" i="9"/>
  <c r="AD145" i="9"/>
  <c r="AE15" i="9"/>
  <c r="AE19" i="9"/>
  <c r="AE16" i="9"/>
  <c r="AG43" i="7"/>
  <c r="AB169" i="8"/>
  <c r="AB136" i="8" s="1"/>
  <c r="Q50" i="3" s="1"/>
  <c r="AB163" i="8"/>
  <c r="AB122" i="8" s="1"/>
  <c r="Q36" i="3" s="1"/>
  <c r="AB135" i="8"/>
  <c r="Q49" i="3" s="1"/>
  <c r="AE136" i="9"/>
  <c r="AC164" i="8"/>
  <c r="AC246" i="8"/>
  <c r="AC77" i="8" s="1"/>
  <c r="AD77" i="8" s="1"/>
  <c r="AC193" i="8"/>
  <c r="AC34" i="8"/>
  <c r="R8" i="3"/>
  <c r="AC38" i="8"/>
  <c r="AD38" i="8" s="1"/>
  <c r="AD28" i="8"/>
  <c r="O13" i="3"/>
  <c r="O12" i="3"/>
  <c r="O76" i="3" s="1"/>
  <c r="AF31" i="7"/>
  <c r="AF35" i="7"/>
  <c r="AF35" i="9"/>
  <c r="AF147" i="9"/>
  <c r="AF165" i="9"/>
  <c r="AG36" i="9"/>
  <c r="AG166" i="9"/>
  <c r="AG148" i="9"/>
  <c r="P11" i="3"/>
  <c r="Y247" i="8"/>
  <c r="X147" i="8"/>
  <c r="AE163" i="9"/>
  <c r="AE28" i="8"/>
  <c r="AE145" i="9"/>
  <c r="AE14" i="9"/>
  <c r="W194" i="8"/>
  <c r="W196" i="8" s="1"/>
  <c r="M61" i="3"/>
  <c r="AB82" i="8"/>
  <c r="AB85" i="8" s="1"/>
  <c r="AB111" i="8"/>
  <c r="Q86" i="3"/>
  <c r="W76" i="3"/>
  <c r="G25" i="4"/>
  <c r="AC38" i="9"/>
  <c r="AC41" i="9"/>
  <c r="AC43" i="9"/>
  <c r="AJ30" i="7"/>
  <c r="AG31" i="7"/>
  <c r="AG35" i="7"/>
  <c r="L40" i="3"/>
  <c r="L44" i="3" s="1"/>
  <c r="V130" i="8"/>
  <c r="AA165" i="8"/>
  <c r="AD33" i="9"/>
  <c r="AC42" i="9"/>
  <c r="Q9" i="3"/>
  <c r="AG147" i="9"/>
  <c r="AG35" i="9"/>
  <c r="AG165" i="9"/>
  <c r="AE135" i="9"/>
  <c r="AF36" i="9"/>
  <c r="AF166" i="9"/>
  <c r="AF148" i="9"/>
  <c r="V45" i="9"/>
  <c r="AF47" i="7"/>
  <c r="AB121" i="8"/>
  <c r="Q35" i="3" s="1"/>
  <c r="AD31" i="9" l="1"/>
  <c r="AD30" i="9"/>
  <c r="AD29" i="9"/>
  <c r="AD27" i="9"/>
  <c r="AC32" i="8"/>
  <c r="AD32" i="8" s="1"/>
  <c r="AE31" i="8"/>
  <c r="AD30" i="8"/>
  <c r="AE36" i="8"/>
  <c r="AD34" i="8"/>
  <c r="AD67" i="8" s="1"/>
  <c r="AD40" i="10" s="1"/>
  <c r="AE30" i="9"/>
  <c r="AE31" i="9"/>
  <c r="AE29" i="9"/>
  <c r="AF16" i="9"/>
  <c r="AF19" i="9"/>
  <c r="AG15" i="9"/>
  <c r="AG19" i="9"/>
  <c r="AE27" i="9"/>
  <c r="AE28" i="9"/>
  <c r="AB165" i="8"/>
  <c r="AD246" i="8"/>
  <c r="AD69" i="8"/>
  <c r="AD55" i="10" s="1"/>
  <c r="AD70" i="8"/>
  <c r="AD60" i="10" s="1"/>
  <c r="AC163" i="8"/>
  <c r="AC165" i="8" s="1"/>
  <c r="AC169" i="8"/>
  <c r="W126" i="8"/>
  <c r="X192" i="8"/>
  <c r="AG135" i="9"/>
  <c r="V60" i="8"/>
  <c r="AE164" i="8"/>
  <c r="AE123" i="8" s="1"/>
  <c r="Y37" i="3" s="1"/>
  <c r="AE34" i="8"/>
  <c r="AE162" i="8"/>
  <c r="AE168" i="8" s="1"/>
  <c r="AE38" i="8"/>
  <c r="Y8" i="3"/>
  <c r="AE193" i="8"/>
  <c r="AE246" i="8"/>
  <c r="AC82" i="8"/>
  <c r="AC85" i="8" s="1"/>
  <c r="AD85" i="8" s="1"/>
  <c r="AC111" i="8"/>
  <c r="AD111" i="8" s="1"/>
  <c r="R86" i="3"/>
  <c r="AF15" i="9"/>
  <c r="AG136" i="9"/>
  <c r="AF28" i="8"/>
  <c r="AF163" i="9"/>
  <c r="AF145" i="9"/>
  <c r="AF14" i="9"/>
  <c r="AC123" i="8"/>
  <c r="AD164" i="8"/>
  <c r="AD186" i="8" s="1"/>
  <c r="AD125" i="10" s="1"/>
  <c r="AG28" i="8"/>
  <c r="AG163" i="9"/>
  <c r="AG145" i="9"/>
  <c r="AG14" i="9"/>
  <c r="W109" i="8"/>
  <c r="W202" i="8"/>
  <c r="W76" i="8"/>
  <c r="W37" i="8" s="1"/>
  <c r="AF135" i="9"/>
  <c r="V46" i="9"/>
  <c r="V48" i="9"/>
  <c r="V47" i="9"/>
  <c r="V57" i="9"/>
  <c r="AF136" i="9"/>
  <c r="AD38" i="9"/>
  <c r="AD41" i="9"/>
  <c r="AD43" i="9"/>
  <c r="AD42" i="9"/>
  <c r="AD244" i="8"/>
  <c r="Z244" i="8"/>
  <c r="Z247" i="8" s="1"/>
  <c r="P12" i="3"/>
  <c r="P76" i="3" s="1"/>
  <c r="P13" i="3"/>
  <c r="AD162" i="8"/>
  <c r="AC121" i="8"/>
  <c r="Q12" i="3"/>
  <c r="Q76" i="3" s="1"/>
  <c r="Q13" i="3"/>
  <c r="N61" i="3"/>
  <c r="Y147" i="8"/>
  <c r="W61" i="3" s="1"/>
  <c r="X8" i="3"/>
  <c r="R9" i="3"/>
  <c r="AD193" i="8"/>
  <c r="AG16" i="9"/>
  <c r="AG31" i="8" l="1"/>
  <c r="AF31" i="8"/>
  <c r="AG36" i="8"/>
  <c r="AF36" i="8"/>
  <c r="AF31" i="9"/>
  <c r="AF29" i="9"/>
  <c r="AF30" i="9"/>
  <c r="AG29" i="9"/>
  <c r="AG31" i="9"/>
  <c r="AG30" i="9"/>
  <c r="AG28" i="9"/>
  <c r="AG27" i="9"/>
  <c r="AF27" i="9"/>
  <c r="AF28" i="9"/>
  <c r="AD247" i="8"/>
  <c r="AE244" i="8" s="1"/>
  <c r="AE247" i="8" s="1"/>
  <c r="AF244" i="8" s="1"/>
  <c r="AD249" i="8"/>
  <c r="AD82" i="8"/>
  <c r="V50" i="9"/>
  <c r="W45" i="9"/>
  <c r="AF164" i="8"/>
  <c r="AF123" i="8" s="1"/>
  <c r="Z37" i="3" s="1"/>
  <c r="AF162" i="8"/>
  <c r="AF168" i="8" s="1"/>
  <c r="AF38" i="8"/>
  <c r="AF246" i="8"/>
  <c r="AF34" i="8"/>
  <c r="Z8" i="3"/>
  <c r="AD182" i="8"/>
  <c r="AG164" i="8"/>
  <c r="AG123" i="8" s="1"/>
  <c r="AA37" i="3" s="1"/>
  <c r="AG162" i="8"/>
  <c r="AG168" i="8" s="1"/>
  <c r="AG34" i="8"/>
  <c r="AG246" i="8"/>
  <c r="AA8" i="3"/>
  <c r="AG38" i="8"/>
  <c r="V59" i="9"/>
  <c r="V64" i="9" s="1"/>
  <c r="X194" i="8"/>
  <c r="X196" i="8" s="1"/>
  <c r="AD200" i="8"/>
  <c r="AD94" i="10" s="1"/>
  <c r="X86" i="3"/>
  <c r="H61" i="4" s="1"/>
  <c r="AE77" i="8"/>
  <c r="W130" i="8"/>
  <c r="M40" i="3"/>
  <c r="M44" i="3" s="1"/>
  <c r="R11" i="3"/>
  <c r="AD121" i="8"/>
  <c r="X35" i="3" s="1"/>
  <c r="R35" i="3"/>
  <c r="V60" i="9"/>
  <c r="V65" i="9" s="1"/>
  <c r="AE111" i="8"/>
  <c r="Y86" i="3"/>
  <c r="I61" i="4" s="1"/>
  <c r="AE82" i="8"/>
  <c r="AE85" i="8" s="1"/>
  <c r="V58" i="9"/>
  <c r="V63" i="9" s="1"/>
  <c r="AC136" i="8"/>
  <c r="AD169" i="8"/>
  <c r="AD188" i="8" s="1"/>
  <c r="AD147" i="10" s="1"/>
  <c r="H21" i="4"/>
  <c r="X9" i="3"/>
  <c r="H22" i="4" s="1"/>
  <c r="AD123" i="8"/>
  <c r="X37" i="3" s="1"/>
  <c r="R37" i="3"/>
  <c r="AD168" i="8"/>
  <c r="AC135" i="8"/>
  <c r="Y9" i="3"/>
  <c r="I22" i="4" s="1"/>
  <c r="I21" i="4"/>
  <c r="Z147" i="8"/>
  <c r="AA244" i="8"/>
  <c r="AA247" i="8" s="1"/>
  <c r="AC122" i="8"/>
  <c r="AD163" i="8"/>
  <c r="AD183" i="8" s="1"/>
  <c r="AE121" i="8"/>
  <c r="Y35" i="3" s="1"/>
  <c r="AD187" i="8" l="1"/>
  <c r="AD142" i="10" s="1"/>
  <c r="AE147" i="8"/>
  <c r="Y61" i="3" s="1"/>
  <c r="AF247" i="8"/>
  <c r="AF147" i="8" s="1"/>
  <c r="AD165" i="8"/>
  <c r="AG77" i="8"/>
  <c r="AD120" i="10"/>
  <c r="X99" i="3"/>
  <c r="H69" i="4" s="1"/>
  <c r="O69" i="4" s="1"/>
  <c r="R12" i="3"/>
  <c r="R76" i="3" s="1"/>
  <c r="R13" i="3"/>
  <c r="O61" i="3"/>
  <c r="AD115" i="10"/>
  <c r="X98" i="3"/>
  <c r="AB244" i="8"/>
  <c r="AB247" i="8" s="1"/>
  <c r="AA147" i="8"/>
  <c r="AG121" i="8"/>
  <c r="AA35" i="3" s="1"/>
  <c r="AF77" i="8"/>
  <c r="AD135" i="8"/>
  <c r="X49" i="3" s="1"/>
  <c r="R49" i="3"/>
  <c r="J21" i="4"/>
  <c r="Z9" i="3"/>
  <c r="J22" i="4" s="1"/>
  <c r="AD122" i="8"/>
  <c r="X36" i="3" s="1"/>
  <c r="R36" i="3"/>
  <c r="X11" i="3"/>
  <c r="AD66" i="8"/>
  <c r="AF121" i="8"/>
  <c r="Z35" i="3" s="1"/>
  <c r="X126" i="8"/>
  <c r="Y196" i="8"/>
  <c r="X202" i="8"/>
  <c r="X109" i="8"/>
  <c r="Y109" i="8" s="1"/>
  <c r="X76" i="8"/>
  <c r="X37" i="8" s="1"/>
  <c r="Y194" i="8"/>
  <c r="W46" i="9"/>
  <c r="W47" i="9"/>
  <c r="W48" i="9"/>
  <c r="W57" i="9"/>
  <c r="AE8" i="3"/>
  <c r="O21" i="4" s="1"/>
  <c r="AA9" i="3"/>
  <c r="K22" i="4" s="1"/>
  <c r="K21" i="4"/>
  <c r="AD136" i="8"/>
  <c r="X50" i="3" s="1"/>
  <c r="R50" i="3"/>
  <c r="W60" i="8"/>
  <c r="AG244" i="8" l="1"/>
  <c r="AG247" i="8" s="1"/>
  <c r="AG147" i="8" s="1"/>
  <c r="AA61" i="3" s="1"/>
  <c r="W50" i="9"/>
  <c r="W58" i="9"/>
  <c r="W59" i="9"/>
  <c r="H24" i="4"/>
  <c r="X13" i="3"/>
  <c r="H26" i="4" s="1"/>
  <c r="X12" i="3"/>
  <c r="W60" i="9"/>
  <c r="Y201" i="8"/>
  <c r="Y77" i="10" s="1"/>
  <c r="Y202" i="8"/>
  <c r="X45" i="9"/>
  <c r="Y76" i="8"/>
  <c r="P61" i="3"/>
  <c r="Z192" i="8"/>
  <c r="AD192" i="8"/>
  <c r="Y126" i="8"/>
  <c r="W40" i="3" s="1"/>
  <c r="W44" i="3" s="1"/>
  <c r="X130" i="8"/>
  <c r="Y130" i="8" s="1"/>
  <c r="N40" i="3"/>
  <c r="N44" i="3" s="1"/>
  <c r="Z61" i="3"/>
  <c r="AC244" i="8"/>
  <c r="AC247" i="8" s="1"/>
  <c r="AC147" i="8" s="1"/>
  <c r="AB147" i="8"/>
  <c r="H68" i="4"/>
  <c r="O68" i="4" s="1"/>
  <c r="W65" i="9" l="1"/>
  <c r="X60" i="8"/>
  <c r="Y60" i="8" s="1"/>
  <c r="Y37" i="8"/>
  <c r="W64" i="9"/>
  <c r="Q61" i="3"/>
  <c r="X47" i="9"/>
  <c r="X57" i="9"/>
  <c r="X46" i="9"/>
  <c r="X48" i="9"/>
  <c r="H25" i="4"/>
  <c r="X76" i="3"/>
  <c r="Z194" i="8"/>
  <c r="Z196" i="8" s="1"/>
  <c r="R61" i="3"/>
  <c r="AD147" i="8"/>
  <c r="X61" i="3" s="1"/>
  <c r="W63" i="9"/>
  <c r="AB80" i="10" l="1"/>
  <c r="AB78" i="10"/>
  <c r="AB77" i="10"/>
  <c r="AB201" i="8" s="1"/>
  <c r="AA80" i="10"/>
  <c r="AA78" i="10"/>
  <c r="AA77" i="10"/>
  <c r="X60" i="9"/>
  <c r="Y48" i="9"/>
  <c r="AA192" i="8"/>
  <c r="Z126" i="8"/>
  <c r="Z76" i="8"/>
  <c r="Z37" i="8" s="1"/>
  <c r="Z109" i="8"/>
  <c r="Z202" i="8"/>
  <c r="X58" i="9"/>
  <c r="Y46" i="9"/>
  <c r="X59" i="9"/>
  <c r="Y47" i="9"/>
  <c r="X50" i="9"/>
  <c r="AA201" i="8" l="1"/>
  <c r="AA194" i="8" s="1"/>
  <c r="X64" i="9"/>
  <c r="O40" i="3"/>
  <c r="O44" i="3" s="1"/>
  <c r="Z130" i="8"/>
  <c r="Y60" i="9"/>
  <c r="Y59" i="9"/>
  <c r="Z45" i="9"/>
  <c r="Y45" i="9"/>
  <c r="Y58" i="9"/>
  <c r="X63" i="9"/>
  <c r="X65" i="9"/>
  <c r="AC80" i="10" l="1"/>
  <c r="AC78" i="10"/>
  <c r="AC77" i="10"/>
  <c r="AC201" i="8" s="1"/>
  <c r="AA76" i="8"/>
  <c r="AA37" i="8" s="1"/>
  <c r="AA109" i="8"/>
  <c r="AA202" i="8"/>
  <c r="Z60" i="8"/>
  <c r="Y50" i="9"/>
  <c r="Y57" i="9"/>
  <c r="Y63" i="9" s="1"/>
  <c r="AA196" i="8"/>
  <c r="Z47" i="9"/>
  <c r="Z57" i="9"/>
  <c r="Z46" i="9"/>
  <c r="Z48" i="9"/>
  <c r="Y54" i="9"/>
  <c r="Y84" i="10" s="1"/>
  <c r="Y55" i="9"/>
  <c r="Y85" i="10" s="1"/>
  <c r="Y53" i="9"/>
  <c r="Y83" i="10" s="1"/>
  <c r="Z60" i="9" l="1"/>
  <c r="AA45" i="9"/>
  <c r="Y64" i="9"/>
  <c r="AB192" i="8"/>
  <c r="AA126" i="8"/>
  <c r="Y65" i="9"/>
  <c r="Z58" i="9"/>
  <c r="Z50" i="9"/>
  <c r="Z59" i="9"/>
  <c r="AA60" i="8" l="1"/>
  <c r="AA48" i="9"/>
  <c r="AA57" i="9"/>
  <c r="AA46" i="9"/>
  <c r="AA47" i="9"/>
  <c r="Z64" i="9"/>
  <c r="AB194" i="8"/>
  <c r="AB196" i="8" s="1"/>
  <c r="Z65" i="9"/>
  <c r="Z63" i="9"/>
  <c r="P40" i="3"/>
  <c r="P44" i="3" s="1"/>
  <c r="AA130" i="8"/>
  <c r="AA50" i="9" l="1"/>
  <c r="AA58" i="9"/>
  <c r="AA60" i="9"/>
  <c r="E266" i="14" s="1"/>
  <c r="AC192" i="8"/>
  <c r="AB126" i="8"/>
  <c r="AA59" i="9"/>
  <c r="E265" i="14" s="1"/>
  <c r="AB76" i="8"/>
  <c r="AB37" i="8" s="1"/>
  <c r="AB109" i="8"/>
  <c r="AB202" i="8"/>
  <c r="AA64" i="9" l="1"/>
  <c r="M265" i="14"/>
  <c r="AC194" i="8"/>
  <c r="AB45" i="9"/>
  <c r="AB130" i="8"/>
  <c r="Q40" i="3"/>
  <c r="Q44" i="3" s="1"/>
  <c r="AA65" i="9"/>
  <c r="M266" i="14"/>
  <c r="M267" i="14"/>
  <c r="M268" i="14"/>
  <c r="AA63" i="9"/>
  <c r="E269" i="14" s="1"/>
  <c r="M269" i="14" s="1"/>
  <c r="E264" i="14"/>
  <c r="M264" i="14" s="1"/>
  <c r="AB60" i="8" l="1"/>
  <c r="AB48" i="9"/>
  <c r="AB46" i="9"/>
  <c r="AB47" i="9"/>
  <c r="AB57" i="9"/>
  <c r="AC76" i="8"/>
  <c r="AC37" i="8" s="1"/>
  <c r="AC109" i="8"/>
  <c r="AD109" i="8" s="1"/>
  <c r="AC202" i="8"/>
  <c r="AD194" i="8"/>
  <c r="AC196" i="8"/>
  <c r="AC126" i="8" s="1"/>
  <c r="R264" i="14"/>
  <c r="AB59" i="9" l="1"/>
  <c r="AB64" i="9" s="1"/>
  <c r="AB60" i="9"/>
  <c r="AB65" i="9" s="1"/>
  <c r="AD126" i="8"/>
  <c r="X40" i="3" s="1"/>
  <c r="X44" i="3" s="1"/>
  <c r="AC130" i="8"/>
  <c r="AD130" i="8" s="1"/>
  <c r="R40" i="3"/>
  <c r="R44" i="3" s="1"/>
  <c r="AD202" i="8"/>
  <c r="AD196" i="8"/>
  <c r="AE192" i="8" s="1"/>
  <c r="AC45" i="9"/>
  <c r="AD76" i="8"/>
  <c r="AB50" i="9"/>
  <c r="AB58" i="9"/>
  <c r="AB63" i="9" s="1"/>
  <c r="AD201" i="8" l="1"/>
  <c r="AD77" i="10" s="1"/>
  <c r="AE194" i="8"/>
  <c r="AC48" i="9"/>
  <c r="AC46" i="9"/>
  <c r="AC57" i="9"/>
  <c r="AC47" i="9"/>
  <c r="AC60" i="8"/>
  <c r="AD60" i="8" s="1"/>
  <c r="AD37" i="8"/>
  <c r="AC60" i="9" l="1"/>
  <c r="AC65" i="9" s="1"/>
  <c r="AD48" i="9"/>
  <c r="AC59" i="9"/>
  <c r="AC64" i="9" s="1"/>
  <c r="AD47" i="9"/>
  <c r="AC50" i="9"/>
  <c r="AC58" i="9"/>
  <c r="AC63" i="9" s="1"/>
  <c r="AD46" i="9"/>
  <c r="AE76" i="8"/>
  <c r="AE37" i="8" s="1"/>
  <c r="AE202" i="8"/>
  <c r="AE109" i="8"/>
  <c r="AE196" i="8"/>
  <c r="AD45" i="9" l="1"/>
  <c r="AD58" i="9"/>
  <c r="AD59" i="9"/>
  <c r="AE126" i="8"/>
  <c r="AF192" i="8"/>
  <c r="AD60" i="9"/>
  <c r="AE45" i="9"/>
  <c r="AD55" i="9" l="1"/>
  <c r="AD85" i="10" s="1"/>
  <c r="AD54" i="9"/>
  <c r="AD84" i="10" s="1"/>
  <c r="AD53" i="9"/>
  <c r="AD83" i="10" s="1"/>
  <c r="AF194" i="8"/>
  <c r="AE130" i="8"/>
  <c r="Y40" i="3"/>
  <c r="Y44" i="3" s="1"/>
  <c r="AE46" i="9"/>
  <c r="AE47" i="9"/>
  <c r="AE59" i="9" s="1"/>
  <c r="AE48" i="9"/>
  <c r="AE60" i="9" s="1"/>
  <c r="AE60" i="8"/>
  <c r="AD57" i="9"/>
  <c r="AD64" i="9" s="1"/>
  <c r="AD50" i="9"/>
  <c r="AD65" i="9" l="1"/>
  <c r="AD63" i="9"/>
  <c r="AE50" i="9"/>
  <c r="AF202" i="8"/>
  <c r="AF76" i="8"/>
  <c r="AF37" i="8" s="1"/>
  <c r="AF109" i="8"/>
  <c r="AF95" i="10" l="1"/>
  <c r="AF94" i="10"/>
  <c r="AF200" i="8" s="1"/>
  <c r="AF193" i="8" s="1"/>
  <c r="AF45" i="9"/>
  <c r="AF82" i="8" l="1"/>
  <c r="AF85" i="8" s="1"/>
  <c r="AF111" i="8"/>
  <c r="Z86" i="3"/>
  <c r="J61" i="4" s="1"/>
  <c r="AF196" i="8"/>
  <c r="AF46" i="9"/>
  <c r="AF47" i="9"/>
  <c r="AF59" i="9" s="1"/>
  <c r="AF48" i="9"/>
  <c r="AF60" i="9" s="1"/>
  <c r="AF60" i="8"/>
  <c r="AF126" i="8" l="1"/>
  <c r="AG192" i="8"/>
  <c r="AG194" i="8" s="1"/>
  <c r="AG202" i="8" s="1"/>
  <c r="AF50" i="9"/>
  <c r="AG109" i="8" l="1"/>
  <c r="AG76" i="8"/>
  <c r="AG37" i="8" s="1"/>
  <c r="AG95" i="10"/>
  <c r="AG94" i="10"/>
  <c r="AG200" i="8" s="1"/>
  <c r="AG193" i="8" s="1"/>
  <c r="AF130" i="8"/>
  <c r="Z40" i="3"/>
  <c r="Z44" i="3" s="1"/>
  <c r="AG45" i="9" l="1"/>
  <c r="AG46" i="9" s="1"/>
  <c r="AA86" i="3"/>
  <c r="K61" i="4" s="1"/>
  <c r="O61" i="4" s="1"/>
  <c r="AG111" i="8"/>
  <c r="AG82" i="8"/>
  <c r="AG85" i="8" s="1"/>
  <c r="AG196" i="8"/>
  <c r="AG126" i="8" s="1"/>
  <c r="AG47" i="9" l="1"/>
  <c r="AG59" i="9" s="1"/>
  <c r="AG48" i="9"/>
  <c r="AG60" i="9" s="1"/>
  <c r="AG60" i="8"/>
  <c r="AG130" i="8"/>
  <c r="AA40" i="3"/>
  <c r="AA44" i="3" s="1"/>
  <c r="AG50" i="9" l="1"/>
  <c r="Q303" i="8"/>
  <c r="K49" i="3"/>
  <c r="V174" i="8" l="1"/>
  <c r="V78" i="8" s="1"/>
  <c r="U157" i="9" l="1"/>
  <c r="U174" i="9"/>
  <c r="U133" i="9"/>
  <c r="U138" i="9"/>
  <c r="Y78" i="8"/>
  <c r="K15" i="3"/>
  <c r="K16" i="3" s="1"/>
  <c r="K78" i="3" s="1"/>
  <c r="V178" i="8"/>
  <c r="V110" i="8" s="1"/>
  <c r="K48" i="3"/>
  <c r="K51" i="3" s="1"/>
  <c r="K17" i="3" l="1"/>
  <c r="Y110" i="8"/>
  <c r="Y35" i="8"/>
  <c r="V39" i="8"/>
  <c r="V40" i="8" s="1"/>
  <c r="W39" i="8"/>
  <c r="W40" i="8" s="1"/>
  <c r="X39" i="8"/>
  <c r="X40" i="8" s="1"/>
  <c r="Y68" i="8" l="1"/>
  <c r="Y45" i="10" s="1"/>
  <c r="Y184" i="8" a="1"/>
  <c r="Y184" i="8" s="1"/>
  <c r="Z45" i="10"/>
  <c r="X133" i="9"/>
  <c r="X59" i="8"/>
  <c r="V133" i="9"/>
  <c r="V59" i="8"/>
  <c r="W133" i="9"/>
  <c r="W59" i="8"/>
  <c r="X174" i="9"/>
  <c r="W138" i="9"/>
  <c r="W174" i="9"/>
  <c r="V174" i="9"/>
  <c r="V138" i="9"/>
  <c r="X138" i="9"/>
  <c r="I17" i="19" a="1"/>
  <c r="I17" i="19" s="1"/>
  <c r="I18" i="19" s="1"/>
  <c r="H17" i="19" a="1"/>
  <c r="H17" i="19" s="1"/>
  <c r="N17" i="19" s="1"/>
  <c r="H17" i="18" a="1"/>
  <c r="H17" i="18" s="1"/>
  <c r="L17" i="18" s="1"/>
  <c r="N15" i="3"/>
  <c r="X157" i="9"/>
  <c r="M15" i="3"/>
  <c r="M16" i="3" s="1"/>
  <c r="M78" i="3" s="1"/>
  <c r="W157" i="9"/>
  <c r="L15" i="3"/>
  <c r="V157" i="9"/>
  <c r="Y39" i="8"/>
  <c r="Y137" i="10" l="1"/>
  <c r="Y185" i="8"/>
  <c r="W100" i="3"/>
  <c r="Z68" i="8"/>
  <c r="M17" i="3"/>
  <c r="M17" i="19"/>
  <c r="H18" i="19"/>
  <c r="N18" i="19" s="1"/>
  <c r="H18" i="18"/>
  <c r="M18" i="18" s="1"/>
  <c r="P17" i="19"/>
  <c r="O17" i="19"/>
  <c r="N17" i="3"/>
  <c r="N16" i="3"/>
  <c r="N78" i="3" s="1"/>
  <c r="N17" i="18"/>
  <c r="M17" i="18"/>
  <c r="L16" i="3"/>
  <c r="L78" i="3" s="1"/>
  <c r="L17" i="3"/>
  <c r="AA45" i="10"/>
  <c r="Y157" i="9"/>
  <c r="Y133" i="9"/>
  <c r="W15" i="3"/>
  <c r="G70" i="4" l="1"/>
  <c r="W101" i="3"/>
  <c r="G71" i="4" s="1"/>
  <c r="AB45" i="10"/>
  <c r="AA68" i="8"/>
  <c r="L18" i="18"/>
  <c r="P18" i="19"/>
  <c r="O18" i="19"/>
  <c r="N18" i="18"/>
  <c r="M18" i="19"/>
  <c r="W16" i="3"/>
  <c r="W17" i="3"/>
  <c r="AC45" i="10" l="1"/>
  <c r="AC68" i="8" s="1"/>
  <c r="AC35" i="8" s="1"/>
  <c r="AB68" i="8"/>
  <c r="AB35" i="8" s="1"/>
  <c r="G7" i="16"/>
  <c r="W78" i="3"/>
  <c r="Z35" i="8"/>
  <c r="Z167" i="8" s="1" a="1"/>
  <c r="Z167" i="8" s="1"/>
  <c r="AA35" i="8"/>
  <c r="AA167" i="8" s="1" a="1"/>
  <c r="AA167" i="8" s="1"/>
  <c r="AB167" i="8" l="1" a="1"/>
  <c r="AB167" i="8" s="1"/>
  <c r="AB134" i="8" s="1"/>
  <c r="AB39" i="8"/>
  <c r="AB59" i="8" s="1"/>
  <c r="Z39" i="8"/>
  <c r="O15" i="3" s="1"/>
  <c r="AA39" i="8"/>
  <c r="AA170" i="8"/>
  <c r="AA172" i="8" s="1"/>
  <c r="AA176" i="8"/>
  <c r="AA134" i="8"/>
  <c r="AC39" i="8"/>
  <c r="AC167" i="8" a="1"/>
  <c r="AC167" i="8" s="1"/>
  <c r="Z134" i="8"/>
  <c r="Z170" i="8"/>
  <c r="Z172" i="8" s="1"/>
  <c r="Z174" i="8" s="1"/>
  <c r="Z78" i="8" s="1"/>
  <c r="Z176" i="8"/>
  <c r="Z178" i="8" s="1"/>
  <c r="Z110" i="8" s="1"/>
  <c r="AD35" i="8"/>
  <c r="AD68" i="8" s="1"/>
  <c r="AD45" i="10" s="1"/>
  <c r="AD184" i="8" l="1" a="1"/>
  <c r="AD184" i="8" s="1"/>
  <c r="AB176" i="8"/>
  <c r="AB178" i="8" s="1"/>
  <c r="AB110" i="8" s="1"/>
  <c r="AB170" i="8"/>
  <c r="AB172" i="8" s="1"/>
  <c r="AB174" i="8" s="1"/>
  <c r="AB78" i="8" s="1"/>
  <c r="Z138" i="9"/>
  <c r="AA138" i="9"/>
  <c r="Z133" i="9"/>
  <c r="Z157" i="9"/>
  <c r="Z59" i="8"/>
  <c r="Z174" i="9"/>
  <c r="Q15" i="3"/>
  <c r="Q17" i="3" s="1"/>
  <c r="AB157" i="9"/>
  <c r="AB133" i="9"/>
  <c r="AC174" i="9"/>
  <c r="AC59" i="8"/>
  <c r="AB174" i="9"/>
  <c r="AA59" i="8"/>
  <c r="AA174" i="9"/>
  <c r="AA157" i="9"/>
  <c r="AB138" i="9"/>
  <c r="P15" i="3"/>
  <c r="P16" i="3" s="1"/>
  <c r="P78" i="3" s="1"/>
  <c r="AA133" i="9"/>
  <c r="AC170" i="8"/>
  <c r="AC172" i="8" s="1"/>
  <c r="AC134" i="8"/>
  <c r="AD167" i="8"/>
  <c r="AC176" i="8"/>
  <c r="AC157" i="9"/>
  <c r="AC133" i="9"/>
  <c r="R15" i="3"/>
  <c r="R16" i="3" s="1"/>
  <c r="R78" i="3" s="1"/>
  <c r="O48" i="3"/>
  <c r="O51" i="3" s="1"/>
  <c r="Z137" i="8"/>
  <c r="AD39" i="8"/>
  <c r="AD133" i="9" s="1"/>
  <c r="P48" i="3"/>
  <c r="P51" i="3" s="1"/>
  <c r="AA137" i="8"/>
  <c r="AA178" i="8"/>
  <c r="AA110" i="8" s="1"/>
  <c r="AA174" i="8"/>
  <c r="AA78" i="8" s="1"/>
  <c r="Q48" i="3"/>
  <c r="Q51" i="3" s="1"/>
  <c r="AB137" i="8"/>
  <c r="AC138" i="9"/>
  <c r="O16" i="3"/>
  <c r="O78" i="3" s="1"/>
  <c r="O17" i="3"/>
  <c r="AC178" i="8" l="1"/>
  <c r="AC110" i="8" s="1"/>
  <c r="AD110" i="8" s="1"/>
  <c r="AC174" i="8"/>
  <c r="AC78" i="8" s="1"/>
  <c r="AD78" i="8" s="1"/>
  <c r="Q16" i="3"/>
  <c r="Q78" i="3" s="1"/>
  <c r="AE45" i="10"/>
  <c r="AE68" i="8" s="1"/>
  <c r="P17" i="3"/>
  <c r="R17" i="3"/>
  <c r="AD157" i="9"/>
  <c r="AC137" i="8"/>
  <c r="AD137" i="8" s="1"/>
  <c r="AD134" i="8"/>
  <c r="X48" i="3" s="1"/>
  <c r="X51" i="3" s="1"/>
  <c r="R48" i="3"/>
  <c r="R51" i="3" s="1"/>
  <c r="X15" i="3"/>
  <c r="X16" i="3" s="1"/>
  <c r="AD176" i="8"/>
  <c r="AD170" i="8"/>
  <c r="AD172" i="8" s="1"/>
  <c r="AF45" i="10" l="1"/>
  <c r="X17" i="3"/>
  <c r="AD137" i="10"/>
  <c r="AD185" i="8"/>
  <c r="X100" i="3"/>
  <c r="AD174" i="8"/>
  <c r="AD178" i="8"/>
  <c r="H7" i="16"/>
  <c r="X78" i="3"/>
  <c r="AE35" i="8"/>
  <c r="AE167" i="8" s="1" a="1"/>
  <c r="AE167" i="8" s="1"/>
  <c r="AF68" i="8" l="1"/>
  <c r="AF35" i="8" s="1"/>
  <c r="AF167" i="8" s="1" a="1"/>
  <c r="AF167" i="8" s="1"/>
  <c r="AE134" i="8"/>
  <c r="H70" i="4"/>
  <c r="O70" i="4" s="1"/>
  <c r="X101" i="3"/>
  <c r="H71" i="4" s="1"/>
  <c r="O71" i="4" s="1"/>
  <c r="AG45" i="10" l="1"/>
  <c r="AG68" i="8" s="1"/>
  <c r="AG35" i="8" s="1"/>
  <c r="AG167" i="8" s="1" a="1"/>
  <c r="AG167" i="8" s="1"/>
  <c r="AG134" i="8" s="1"/>
  <c r="AA48" i="3" s="1"/>
  <c r="Y48" i="3"/>
  <c r="AF134" i="8"/>
  <c r="Z48" i="3" l="1"/>
  <c r="K85" i="3"/>
  <c r="K87" i="3" s="1"/>
  <c r="L85" i="3"/>
  <c r="L87" i="3" s="1"/>
  <c r="M85" i="3"/>
  <c r="M87" i="3" s="1"/>
  <c r="N85" i="3"/>
  <c r="N87" i="3" s="1"/>
  <c r="O85" i="3"/>
  <c r="O87" i="3" s="1"/>
  <c r="P85" i="3"/>
  <c r="P87" i="3" s="1"/>
  <c r="Q85" i="3"/>
  <c r="Q87" i="3" s="1"/>
  <c r="R85" i="3"/>
  <c r="R87" i="3" s="1"/>
  <c r="W87" i="3"/>
  <c r="G62" i="4" s="1"/>
  <c r="X87" i="3"/>
  <c r="H62" i="4" s="1"/>
  <c r="H60" i="4" l="1"/>
  <c r="G60" i="4"/>
  <c r="Y59" i="8"/>
  <c r="V61" i="8"/>
  <c r="W61" i="8"/>
  <c r="X61" i="8"/>
  <c r="X128" i="9" s="1"/>
  <c r="U176" i="9" l="1"/>
  <c r="U128" i="9"/>
  <c r="U159" i="9"/>
  <c r="H15" i="18" a="1"/>
  <c r="H15" i="18" s="1"/>
  <c r="L15" i="18" s="1"/>
  <c r="I15" i="19" a="1"/>
  <c r="I15" i="19" s="1"/>
  <c r="I16" i="19" s="1"/>
  <c r="N27" i="3"/>
  <c r="N89" i="3" s="1"/>
  <c r="H15" i="19" a="1"/>
  <c r="H15" i="19" s="1"/>
  <c r="O15" i="19" s="1"/>
  <c r="X159" i="9"/>
  <c r="L27" i="3"/>
  <c r="V176" i="9"/>
  <c r="V128" i="9"/>
  <c r="V159" i="9"/>
  <c r="Y61" i="8"/>
  <c r="K27" i="3"/>
  <c r="M27" i="3"/>
  <c r="W128" i="9"/>
  <c r="W176" i="9"/>
  <c r="W159" i="9"/>
  <c r="X176" i="9"/>
  <c r="H16" i="18" l="1"/>
  <c r="M16" i="18" s="1"/>
  <c r="M15" i="18"/>
  <c r="N15" i="18"/>
  <c r="N88" i="3"/>
  <c r="N15" i="19"/>
  <c r="M15" i="19"/>
  <c r="H16" i="19"/>
  <c r="O16" i="19" s="1"/>
  <c r="P15" i="19"/>
  <c r="N28" i="3"/>
  <c r="N77" i="3" s="1"/>
  <c r="N29" i="3"/>
  <c r="Y159" i="9"/>
  <c r="Y128" i="9"/>
  <c r="W27" i="3"/>
  <c r="S25" i="4"/>
  <c r="K89" i="3"/>
  <c r="K88" i="3"/>
  <c r="K28" i="3"/>
  <c r="K77" i="3" s="1"/>
  <c r="K29" i="3"/>
  <c r="L89" i="3"/>
  <c r="L88" i="3"/>
  <c r="L28" i="3"/>
  <c r="L77" i="3" s="1"/>
  <c r="L29" i="3"/>
  <c r="M88" i="3"/>
  <c r="M28" i="3"/>
  <c r="M77" i="3" s="1"/>
  <c r="M89" i="3"/>
  <c r="M29" i="3"/>
  <c r="L16" i="18" l="1"/>
  <c r="N16" i="18"/>
  <c r="N16" i="19"/>
  <c r="M16" i="19"/>
  <c r="P16" i="19"/>
  <c r="G28" i="4"/>
  <c r="W28" i="3"/>
  <c r="W89" i="3"/>
  <c r="G64" i="4" s="1"/>
  <c r="W29" i="3"/>
  <c r="G30" i="4" s="1"/>
  <c r="W88" i="3"/>
  <c r="G63" i="4" s="1"/>
  <c r="G29" i="4" l="1"/>
  <c r="W77" i="3"/>
  <c r="G8" i="16"/>
  <c r="AE10" i="10"/>
  <c r="AE163" i="8"/>
  <c r="AE169" i="8" l="1"/>
  <c r="AE136" i="8" s="1"/>
  <c r="Y50" i="3" s="1"/>
  <c r="AE165" i="8"/>
  <c r="AE176" i="8"/>
  <c r="AE178" i="8" s="1"/>
  <c r="AE110" i="8" s="1"/>
  <c r="AE122" i="8"/>
  <c r="Y36" i="3" s="1"/>
  <c r="AE135" i="8" l="1"/>
  <c r="AE170" i="8"/>
  <c r="AE172" i="8" s="1"/>
  <c r="AE174" i="8" s="1"/>
  <c r="AE78" i="8" s="1"/>
  <c r="AE137" i="8" l="1"/>
  <c r="Y49" i="3"/>
  <c r="Y51" i="3" s="1"/>
  <c r="AF10" i="10" l="1"/>
  <c r="AG10" i="10"/>
  <c r="AF163" i="8"/>
  <c r="AF122" i="8" s="1"/>
  <c r="Z36" i="3" s="1"/>
  <c r="AG163" i="8"/>
  <c r="AF176" i="8" l="1"/>
  <c r="AF178" i="8" s="1"/>
  <c r="AF110" i="8" s="1"/>
  <c r="AF165" i="8"/>
  <c r="AG122" i="8"/>
  <c r="AA36" i="3" s="1"/>
  <c r="AG165" i="8"/>
  <c r="AG176" i="8"/>
  <c r="AG169" i="8"/>
  <c r="AG136" i="8" s="1"/>
  <c r="AA50" i="3" s="1"/>
  <c r="AF169" i="8"/>
  <c r="AF136" i="8" s="1"/>
  <c r="Z50" i="3" s="1"/>
  <c r="AG178" i="8" l="1"/>
  <c r="AG110" i="8" s="1"/>
  <c r="AF170" i="8"/>
  <c r="AF172" i="8" s="1"/>
  <c r="AF174" i="8" s="1"/>
  <c r="AF78" i="8" s="1"/>
  <c r="AF135" i="8"/>
  <c r="AG170" i="8"/>
  <c r="AG172" i="8" s="1"/>
  <c r="AG135" i="8"/>
  <c r="AG174" i="8" l="1"/>
  <c r="AG78" i="8" s="1"/>
  <c r="AA49" i="3"/>
  <c r="AA51" i="3" s="1"/>
  <c r="AG137" i="8"/>
  <c r="Z49" i="3"/>
  <c r="Z51" i="3" s="1"/>
  <c r="AF137" i="8"/>
  <c r="J31" i="14" l="1"/>
  <c r="K19" i="3"/>
  <c r="K20" i="3" s="1"/>
  <c r="K79" i="3" s="1"/>
  <c r="K23" i="3" l="1"/>
  <c r="K24" i="3" s="1"/>
  <c r="K21" i="3"/>
  <c r="V252" i="8"/>
  <c r="K62" i="3" l="1"/>
  <c r="K65" i="3" s="1"/>
  <c r="K68" i="3" s="1"/>
  <c r="K81" i="3" s="1"/>
  <c r="V42" i="8"/>
  <c r="W42" i="8"/>
  <c r="W44" i="8" s="1"/>
  <c r="X42" i="8"/>
  <c r="X44" i="8" s="1"/>
  <c r="Y42" i="8" l="1"/>
  <c r="V44" i="8"/>
  <c r="X45" i="8"/>
  <c r="M31" i="14" s="1"/>
  <c r="W45" i="8"/>
  <c r="L31" i="14" s="1"/>
  <c r="Y44" i="8" l="1"/>
  <c r="W253" i="8"/>
  <c r="W53" i="8"/>
  <c r="W237" i="8" s="1"/>
  <c r="W51" i="8"/>
  <c r="W54" i="8"/>
  <c r="W108" i="8"/>
  <c r="W112" i="8" s="1"/>
  <c r="M19" i="3"/>
  <c r="W75" i="8"/>
  <c r="W80" i="8" s="1"/>
  <c r="W87" i="8" s="1"/>
  <c r="X253" i="8"/>
  <c r="X54" i="8"/>
  <c r="I19" i="19" a="1"/>
  <c r="I19" i="19" s="1"/>
  <c r="I20" i="19" s="1"/>
  <c r="H19" i="18" a="1"/>
  <c r="H19" i="18" s="1"/>
  <c r="X51" i="8"/>
  <c r="X108" i="8"/>
  <c r="X112" i="8" s="1"/>
  <c r="X75" i="8"/>
  <c r="X80" i="8" s="1"/>
  <c r="N19" i="3"/>
  <c r="H19" i="19" a="1"/>
  <c r="H19" i="19" s="1"/>
  <c r="X53" i="8"/>
  <c r="X237" i="8" s="1"/>
  <c r="V45" i="8"/>
  <c r="K31" i="14" s="1"/>
  <c r="H42" i="18" l="1" a="1"/>
  <c r="H42" i="18" s="1"/>
  <c r="H42" i="19" a="1"/>
  <c r="H42" i="19" s="1"/>
  <c r="X87" i="8"/>
  <c r="I42" i="19" a="1"/>
  <c r="I42" i="19" s="1"/>
  <c r="M19" i="19"/>
  <c r="N19" i="19"/>
  <c r="O19" i="19"/>
  <c r="P19" i="19"/>
  <c r="H20" i="19"/>
  <c r="X57" i="8"/>
  <c r="X56" i="8"/>
  <c r="N21" i="3"/>
  <c r="N20" i="3"/>
  <c r="N79" i="3" s="1"/>
  <c r="I44" i="19" a="1"/>
  <c r="I44" i="19" s="1"/>
  <c r="H44" i="18" a="1"/>
  <c r="H44" i="18" s="1"/>
  <c r="H44" i="19" a="1"/>
  <c r="H44" i="19" s="1"/>
  <c r="X115" i="8"/>
  <c r="X116" i="8" s="1"/>
  <c r="X114" i="8"/>
  <c r="W288" i="8"/>
  <c r="Y45" i="8"/>
  <c r="N31" i="14" s="1"/>
  <c r="N32" i="14" s="1"/>
  <c r="V253" i="8"/>
  <c r="V53" i="8"/>
  <c r="V237" i="8" s="1"/>
  <c r="V51" i="8"/>
  <c r="V108" i="8"/>
  <c r="V112" i="8" s="1"/>
  <c r="V54" i="8"/>
  <c r="V75" i="8"/>
  <c r="L19" i="3"/>
  <c r="L19" i="18"/>
  <c r="M19" i="18"/>
  <c r="N19" i="18"/>
  <c r="H20" i="18"/>
  <c r="M21" i="3"/>
  <c r="M20" i="3"/>
  <c r="M79" i="3" s="1"/>
  <c r="W114" i="8"/>
  <c r="W115" i="8"/>
  <c r="W116" i="8" s="1"/>
  <c r="W57" i="8"/>
  <c r="M23" i="3" s="1"/>
  <c r="M24" i="3" s="1"/>
  <c r="W56" i="8"/>
  <c r="Y71" i="8"/>
  <c r="Y69" i="10" s="1"/>
  <c r="O44" i="19" l="1"/>
  <c r="P44" i="19"/>
  <c r="L44" i="18"/>
  <c r="M44" i="18"/>
  <c r="N44" i="18"/>
  <c r="V115" i="8"/>
  <c r="V116" i="8" s="1"/>
  <c r="V114" i="8"/>
  <c r="P42" i="19"/>
  <c r="O42" i="19"/>
  <c r="H21" i="19" a="1"/>
  <c r="H21" i="19" s="1"/>
  <c r="I21" i="19" a="1"/>
  <c r="I21" i="19" s="1"/>
  <c r="N23" i="3"/>
  <c r="N24" i="3" s="1"/>
  <c r="H21" i="18" a="1"/>
  <c r="H21" i="18" s="1"/>
  <c r="V238" i="8"/>
  <c r="W238" i="8"/>
  <c r="X238" i="8"/>
  <c r="Y253" i="8"/>
  <c r="Y256" i="8" s="1"/>
  <c r="V256" i="8"/>
  <c r="W19" i="3"/>
  <c r="Y54" i="8"/>
  <c r="Y108" i="8"/>
  <c r="Y112" i="8" s="1"/>
  <c r="Y53" i="8"/>
  <c r="F123" i="14" s="1"/>
  <c r="F116" i="14" s="1"/>
  <c r="X288" i="8"/>
  <c r="M44" i="19"/>
  <c r="N44" i="19"/>
  <c r="L20" i="3"/>
  <c r="L79" i="3" s="1"/>
  <c r="L21" i="3"/>
  <c r="V80" i="8"/>
  <c r="Y75" i="8"/>
  <c r="V57" i="8"/>
  <c r="L23" i="3" s="1"/>
  <c r="L24" i="3" s="1"/>
  <c r="V56" i="8"/>
  <c r="Y51" i="8"/>
  <c r="M42" i="19"/>
  <c r="N42" i="19"/>
  <c r="L20" i="18"/>
  <c r="M20" i="18"/>
  <c r="N20" i="18"/>
  <c r="O20" i="19"/>
  <c r="P20" i="19"/>
  <c r="N20" i="19"/>
  <c r="M20" i="19"/>
  <c r="L42" i="18"/>
  <c r="M42" i="18"/>
  <c r="N42" i="18"/>
  <c r="Y237" i="8" l="1"/>
  <c r="Y238" i="8" s="1"/>
  <c r="Y57" i="8"/>
  <c r="Y56" i="8"/>
  <c r="W252" i="8"/>
  <c r="W256" i="8" s="1"/>
  <c r="V148" i="8"/>
  <c r="Y80" i="8"/>
  <c r="V87" i="8"/>
  <c r="N21" i="18"/>
  <c r="M21" i="18"/>
  <c r="L21" i="18"/>
  <c r="G32" i="4"/>
  <c r="W21" i="3"/>
  <c r="G34" i="4" s="1"/>
  <c r="T25" i="4"/>
  <c r="U25" i="4" s="1"/>
  <c r="W20" i="3"/>
  <c r="AD252" i="8"/>
  <c r="Z252" i="8"/>
  <c r="M21" i="19"/>
  <c r="N21" i="19"/>
  <c r="O21" i="19"/>
  <c r="P21" i="19"/>
  <c r="Y115" i="8"/>
  <c r="Y116" i="8" s="1"/>
  <c r="G71" i="16" a="1"/>
  <c r="G71" i="16" s="1"/>
  <c r="G72" i="16" s="1"/>
  <c r="G39" i="4"/>
  <c r="G40" i="4" s="1"/>
  <c r="Y114" i="8"/>
  <c r="J194" i="14" l="1"/>
  <c r="J196" i="14" s="1"/>
  <c r="Q18" i="14" s="1"/>
  <c r="R18" i="14" s="1"/>
  <c r="F194" i="14"/>
  <c r="Q219" i="14" s="1"/>
  <c r="E232" i="14" s="1"/>
  <c r="Q143" i="14"/>
  <c r="E156" i="14" s="1"/>
  <c r="J116" i="14"/>
  <c r="J118" i="14" s="1"/>
  <c r="E153" i="14" s="1"/>
  <c r="F118" i="14"/>
  <c r="X252" i="8"/>
  <c r="X256" i="8" s="1"/>
  <c r="X148" i="8" s="1"/>
  <c r="W148" i="8"/>
  <c r="G9" i="16"/>
  <c r="G33" i="4"/>
  <c r="W79" i="3"/>
  <c r="V288" i="8"/>
  <c r="Y87" i="8"/>
  <c r="V151" i="8"/>
  <c r="V154" i="8" s="1"/>
  <c r="L62" i="3"/>
  <c r="L65" i="3" s="1"/>
  <c r="L68" i="3" s="1"/>
  <c r="L81" i="3" s="1"/>
  <c r="W23" i="3"/>
  <c r="O71" i="16" a="1"/>
  <c r="O71" i="16" s="1"/>
  <c r="O72" i="16" s="1"/>
  <c r="E240" i="14" l="1"/>
  <c r="M240" i="14" s="1"/>
  <c r="M232" i="14"/>
  <c r="F196" i="14"/>
  <c r="F197" i="14" s="1"/>
  <c r="Q20" i="2" s="1"/>
  <c r="E237" i="14"/>
  <c r="J197" i="14"/>
  <c r="F156" i="14"/>
  <c r="N156" i="14" s="1"/>
  <c r="J156" i="14"/>
  <c r="R156" i="14" s="1"/>
  <c r="I156" i="14"/>
  <c r="Q156" i="14" s="1"/>
  <c r="H156" i="14"/>
  <c r="P156" i="14" s="1"/>
  <c r="G156" i="14"/>
  <c r="O156" i="14" s="1"/>
  <c r="M156" i="14"/>
  <c r="M164" i="14" s="1"/>
  <c r="E164" i="14"/>
  <c r="R144" i="14" s="1"/>
  <c r="E231" i="14"/>
  <c r="M231" i="14" s="1"/>
  <c r="E234" i="14"/>
  <c r="M234" i="14" s="1"/>
  <c r="E230" i="14"/>
  <c r="M230" i="14" s="1"/>
  <c r="E233" i="14"/>
  <c r="M233" i="14" s="1"/>
  <c r="E161" i="14"/>
  <c r="Q13" i="14"/>
  <c r="R13" i="14" s="1"/>
  <c r="J119" i="14"/>
  <c r="R143" i="14"/>
  <c r="R219" i="14"/>
  <c r="W151" i="8"/>
  <c r="W154" i="8" s="1"/>
  <c r="M62" i="3"/>
  <c r="M65" i="3" s="1"/>
  <c r="M68" i="3" s="1"/>
  <c r="M81" i="3" s="1"/>
  <c r="X151" i="8"/>
  <c r="N62" i="3"/>
  <c r="N65" i="3" s="1"/>
  <c r="N68" i="3" s="1"/>
  <c r="N81" i="3" s="1"/>
  <c r="Y148" i="8"/>
  <c r="W62" i="3" s="1"/>
  <c r="W65" i="3" s="1"/>
  <c r="W68" i="3" s="1"/>
  <c r="W81" i="3" s="1"/>
  <c r="G56" i="4" s="1"/>
  <c r="Q12" i="14"/>
  <c r="R12" i="14" s="1"/>
  <c r="F119" i="14"/>
  <c r="Q18" i="2" s="1"/>
  <c r="P18" i="2"/>
  <c r="G36" i="4"/>
  <c r="W24" i="3"/>
  <c r="G37" i="4" s="1"/>
  <c r="R220" i="14" l="1"/>
  <c r="P20" i="2"/>
  <c r="Q17" i="14"/>
  <c r="R17" i="14" s="1"/>
  <c r="E229" i="14"/>
  <c r="H164" i="14"/>
  <c r="P164" i="14" s="1"/>
  <c r="I164" i="14"/>
  <c r="Q164" i="14" s="1"/>
  <c r="F164" i="14"/>
  <c r="N164" i="14" s="1"/>
  <c r="J164" i="14"/>
  <c r="R164" i="14" s="1"/>
  <c r="G164" i="14"/>
  <c r="O164" i="14" s="1"/>
  <c r="E158" i="14"/>
  <c r="E157" i="14"/>
  <c r="E155" i="14"/>
  <c r="E154" i="14"/>
  <c r="E241" i="14"/>
  <c r="M241" i="14" s="1"/>
  <c r="E163" i="14"/>
  <c r="E239" i="14"/>
  <c r="M239" i="14" s="1"/>
  <c r="E166" i="14"/>
  <c r="E242" i="14"/>
  <c r="M242" i="14" s="1"/>
  <c r="E162" i="14"/>
  <c r="E238" i="14"/>
  <c r="M238" i="14" s="1"/>
  <c r="E165" i="14"/>
  <c r="Y151" i="8"/>
  <c r="X154" i="8"/>
  <c r="Y154" i="8" s="1"/>
  <c r="Z42" i="8"/>
  <c r="Z44" i="8" s="1"/>
  <c r="AA42" i="8"/>
  <c r="AA44" i="8" s="1"/>
  <c r="AB42" i="8"/>
  <c r="AB44" i="8" s="1"/>
  <c r="AB45" i="8" s="1"/>
  <c r="AB51" i="8" s="1"/>
  <c r="AB61" i="8" s="1"/>
  <c r="Q27" i="3" s="1"/>
  <c r="Q88" i="3" s="1"/>
  <c r="AC42" i="8"/>
  <c r="AC44" i="8" s="1"/>
  <c r="AC45" i="8" s="1"/>
  <c r="M165" i="14" l="1"/>
  <c r="J165" i="14"/>
  <c r="R165" i="14" s="1"/>
  <c r="I165" i="14"/>
  <c r="H165" i="14"/>
  <c r="P165" i="14" s="1"/>
  <c r="G165" i="14"/>
  <c r="O165" i="14" s="1"/>
  <c r="F165" i="14"/>
  <c r="N165" i="14" s="1"/>
  <c r="M162" i="14"/>
  <c r="H162" i="14"/>
  <c r="P162" i="14" s="1"/>
  <c r="G162" i="14"/>
  <c r="O162" i="14" s="1"/>
  <c r="J162" i="14"/>
  <c r="R162" i="14" s="1"/>
  <c r="I162" i="14"/>
  <c r="Q162" i="14" s="1"/>
  <c r="F162" i="14"/>
  <c r="N162" i="14" s="1"/>
  <c r="M166" i="14"/>
  <c r="J166" i="14"/>
  <c r="R166" i="14" s="1"/>
  <c r="I166" i="14"/>
  <c r="Q166" i="14" s="1"/>
  <c r="H166" i="14"/>
  <c r="P166" i="14" s="1"/>
  <c r="G166" i="14"/>
  <c r="O166" i="14" s="1"/>
  <c r="F166" i="14"/>
  <c r="N166" i="14" s="1"/>
  <c r="M163" i="14"/>
  <c r="I163" i="14"/>
  <c r="Q163" i="14" s="1"/>
  <c r="G163" i="14"/>
  <c r="J163" i="14"/>
  <c r="R163" i="14" s="1"/>
  <c r="H163" i="14"/>
  <c r="P163" i="14" s="1"/>
  <c r="F163" i="14"/>
  <c r="N163" i="14" s="1"/>
  <c r="M157" i="14"/>
  <c r="F157" i="14"/>
  <c r="N157" i="14" s="1"/>
  <c r="G157" i="14"/>
  <c r="O157" i="14" s="1"/>
  <c r="J157" i="14"/>
  <c r="R157" i="14" s="1"/>
  <c r="H157" i="14"/>
  <c r="P157" i="14" s="1"/>
  <c r="I157" i="14"/>
  <c r="M154" i="14"/>
  <c r="I154" i="14"/>
  <c r="Q154" i="14" s="1"/>
  <c r="J154" i="14"/>
  <c r="R154" i="14" s="1"/>
  <c r="H154" i="14"/>
  <c r="P154" i="14" s="1"/>
  <c r="G154" i="14"/>
  <c r="O154" i="14" s="1"/>
  <c r="F154" i="14"/>
  <c r="N154" i="14" s="1"/>
  <c r="M155" i="14"/>
  <c r="F155" i="14"/>
  <c r="N155" i="14" s="1"/>
  <c r="J155" i="14"/>
  <c r="R155" i="14" s="1"/>
  <c r="H155" i="14"/>
  <c r="P155" i="14" s="1"/>
  <c r="I155" i="14"/>
  <c r="Q155" i="14" s="1"/>
  <c r="G155" i="14"/>
  <c r="M158" i="14"/>
  <c r="J158" i="14"/>
  <c r="R158" i="14" s="1"/>
  <c r="F158" i="14"/>
  <c r="N158" i="14" s="1"/>
  <c r="I158" i="14"/>
  <c r="Q158" i="14" s="1"/>
  <c r="H158" i="14"/>
  <c r="P158" i="14" s="1"/>
  <c r="G158" i="14"/>
  <c r="O158" i="14" s="1"/>
  <c r="AB108" i="8"/>
  <c r="AB112" i="8" s="1"/>
  <c r="AB115" i="8" s="1"/>
  <c r="AB116" i="8" s="1"/>
  <c r="AB57" i="8"/>
  <c r="Q23" i="3" s="1"/>
  <c r="Q24" i="3" s="1"/>
  <c r="AB56" i="8"/>
  <c r="AC54" i="8"/>
  <c r="AC75" i="8"/>
  <c r="AC80" i="8" s="1"/>
  <c r="AC87" i="8" s="1"/>
  <c r="AC51" i="8"/>
  <c r="AC253" i="8"/>
  <c r="R19" i="3"/>
  <c r="AC108" i="8"/>
  <c r="AC112" i="8" s="1"/>
  <c r="AC53" i="8"/>
  <c r="AC237" i="8" s="1"/>
  <c r="AD44" i="8"/>
  <c r="AA45" i="8"/>
  <c r="Q28" i="3"/>
  <c r="Q77" i="3" s="1"/>
  <c r="Q29" i="3"/>
  <c r="Q89" i="3"/>
  <c r="AB128" i="9"/>
  <c r="AB159" i="9"/>
  <c r="AB54" i="8"/>
  <c r="AB75" i="8"/>
  <c r="AB80" i="8" s="1"/>
  <c r="AB87" i="8" s="1"/>
  <c r="Q19" i="3"/>
  <c r="AB253" i="8"/>
  <c r="AB53" i="8"/>
  <c r="AB237" i="8" s="1"/>
  <c r="AD42" i="8"/>
  <c r="Z45" i="8"/>
  <c r="V10" i="5" l="1"/>
  <c r="Q165" i="14"/>
  <c r="O163" i="14"/>
  <c r="T10" i="5"/>
  <c r="O155" i="14"/>
  <c r="T11" i="5"/>
  <c r="V11" i="5"/>
  <c r="Q157" i="14"/>
  <c r="AB114" i="8"/>
  <c r="Q21" i="3"/>
  <c r="Q20" i="3"/>
  <c r="Q79" i="3" s="1"/>
  <c r="AC114" i="8"/>
  <c r="AC115" i="8"/>
  <c r="AC116" i="8" s="1"/>
  <c r="AA75" i="8"/>
  <c r="AA80" i="8" s="1"/>
  <c r="AA87" i="8" s="1"/>
  <c r="AA51" i="8"/>
  <c r="AA253" i="8"/>
  <c r="AA54" i="8"/>
  <c r="AA53" i="8"/>
  <c r="AA237" i="8" s="1"/>
  <c r="AA108" i="8"/>
  <c r="AA112" i="8" s="1"/>
  <c r="P19" i="3"/>
  <c r="AC288" i="8"/>
  <c r="AB288" i="8"/>
  <c r="AD71" i="8"/>
  <c r="AD69" i="10" s="1"/>
  <c r="R21" i="3"/>
  <c r="R20" i="3"/>
  <c r="R79" i="3" s="1"/>
  <c r="Z51" i="8"/>
  <c r="O19" i="3"/>
  <c r="Z253" i="8"/>
  <c r="Z54" i="8"/>
  <c r="Z53" i="8"/>
  <c r="Z237" i="8" s="1"/>
  <c r="Z75" i="8"/>
  <c r="AD45" i="8"/>
  <c r="O31" i="14" s="1"/>
  <c r="O32" i="14" s="1"/>
  <c r="Z108" i="8"/>
  <c r="Z112" i="8" s="1"/>
  <c r="AC61" i="8"/>
  <c r="AC56" i="8"/>
  <c r="AC57" i="8"/>
  <c r="R23" i="3" s="1"/>
  <c r="R24" i="3" s="1"/>
  <c r="U10" i="5" l="1"/>
  <c r="U26" i="5"/>
  <c r="T19" i="5"/>
  <c r="T20" i="5" s="1"/>
  <c r="U11" i="5"/>
  <c r="V19" i="5"/>
  <c r="V20" i="5" s="1"/>
  <c r="U25" i="5"/>
  <c r="AC128" i="9"/>
  <c r="AC176" i="9"/>
  <c r="AC159" i="9"/>
  <c r="R27" i="3"/>
  <c r="P21" i="3"/>
  <c r="P20" i="3"/>
  <c r="P79" i="3" s="1"/>
  <c r="Z114" i="8"/>
  <c r="Z115" i="8"/>
  <c r="Z116" i="8" s="1"/>
  <c r="AA114" i="8"/>
  <c r="AA115" i="8"/>
  <c r="AA116" i="8" s="1"/>
  <c r="AD54" i="8"/>
  <c r="AD108" i="8"/>
  <c r="AD112" i="8" s="1"/>
  <c r="AD53" i="8"/>
  <c r="AD237" i="8" s="1"/>
  <c r="AD238" i="8" s="1"/>
  <c r="X19" i="3"/>
  <c r="AD75" i="8"/>
  <c r="Z80" i="8"/>
  <c r="Z238" i="8"/>
  <c r="AA238" i="8"/>
  <c r="AC238" i="8"/>
  <c r="AB238" i="8"/>
  <c r="AA61" i="8"/>
  <c r="AA57" i="8"/>
  <c r="P23" i="3" s="1"/>
  <c r="P24" i="3" s="1"/>
  <c r="AA56" i="8"/>
  <c r="AD253" i="8"/>
  <c r="AD256" i="8" s="1"/>
  <c r="AE252" i="8" s="1"/>
  <c r="Z256" i="8"/>
  <c r="AA288" i="8"/>
  <c r="O21" i="3"/>
  <c r="O20" i="3"/>
  <c r="O79" i="3" s="1"/>
  <c r="Z56" i="8"/>
  <c r="Z57" i="8"/>
  <c r="O23" i="3" s="1"/>
  <c r="O24" i="3" s="1"/>
  <c r="AD51" i="8"/>
  <c r="U19" i="5" l="1"/>
  <c r="H39" i="4"/>
  <c r="H40" i="4" s="1"/>
  <c r="H71" i="16" a="1"/>
  <c r="H71" i="16" s="1"/>
  <c r="H72" i="16" s="1"/>
  <c r="AD115" i="8"/>
  <c r="AD116" i="8" s="1"/>
  <c r="AD114" i="8"/>
  <c r="AA128" i="9"/>
  <c r="AA159" i="9"/>
  <c r="P27" i="3"/>
  <c r="AB176" i="9"/>
  <c r="R29" i="3"/>
  <c r="R89" i="3"/>
  <c r="R28" i="3"/>
  <c r="R77" i="3" s="1"/>
  <c r="R88" i="3"/>
  <c r="AD56" i="8"/>
  <c r="AD57" i="8"/>
  <c r="AA252" i="8"/>
  <c r="AA256" i="8" s="1"/>
  <c r="Z148" i="8"/>
  <c r="H32" i="4"/>
  <c r="X21" i="3"/>
  <c r="H34" i="4" s="1"/>
  <c r="X20" i="3"/>
  <c r="AD80" i="8"/>
  <c r="Z87" i="8"/>
  <c r="AD59" i="8"/>
  <c r="Z61" i="8"/>
  <c r="F124" i="14" s="1"/>
  <c r="R194" i="14" l="1"/>
  <c r="R195" i="14" s="1"/>
  <c r="R116" i="14"/>
  <c r="R117" i="14" s="1"/>
  <c r="N194" i="14"/>
  <c r="N116" i="14"/>
  <c r="AA148" i="8"/>
  <c r="AB252" i="8"/>
  <c r="AB256" i="8" s="1"/>
  <c r="X23" i="3"/>
  <c r="P71" i="16" a="1"/>
  <c r="P71" i="16" s="1"/>
  <c r="P72" i="16" s="1"/>
  <c r="P29" i="3"/>
  <c r="P88" i="3"/>
  <c r="P28" i="3"/>
  <c r="P77" i="3" s="1"/>
  <c r="P89" i="3"/>
  <c r="Z128" i="9"/>
  <c r="O27" i="3"/>
  <c r="Z176" i="9"/>
  <c r="AD61" i="8"/>
  <c r="Z159" i="9"/>
  <c r="H33" i="4"/>
  <c r="H9" i="16"/>
  <c r="X79" i="3"/>
  <c r="O62" i="3"/>
  <c r="O65" i="3" s="1"/>
  <c r="O68" i="3" s="1"/>
  <c r="O81" i="3" s="1"/>
  <c r="Z151" i="8"/>
  <c r="Z154" i="8" s="1"/>
  <c r="AA176" i="9"/>
  <c r="AD87" i="8"/>
  <c r="Z288" i="8"/>
  <c r="N117" i="14" l="1"/>
  <c r="Q145" i="14"/>
  <c r="N195" i="14"/>
  <c r="Q221" i="14"/>
  <c r="O29" i="3"/>
  <c r="O28" i="3"/>
  <c r="O77" i="3" s="1"/>
  <c r="O89" i="3"/>
  <c r="O88" i="3"/>
  <c r="AD159" i="9"/>
  <c r="AD128" i="9"/>
  <c r="X27" i="3"/>
  <c r="X24" i="3"/>
  <c r="H37" i="4" s="1"/>
  <c r="H36" i="4"/>
  <c r="AB148" i="8"/>
  <c r="AC252" i="8"/>
  <c r="AC256" i="8" s="1"/>
  <c r="AC148" i="8" s="1"/>
  <c r="P62" i="3"/>
  <c r="P65" i="3" s="1"/>
  <c r="P68" i="3" s="1"/>
  <c r="P81" i="3" s="1"/>
  <c r="AA151" i="8"/>
  <c r="AA154" i="8" s="1"/>
  <c r="E256" i="14" l="1"/>
  <c r="M256" i="14" s="1"/>
  <c r="E248" i="14"/>
  <c r="M248" i="14" s="1"/>
  <c r="E172" i="14"/>
  <c r="R145" i="14" s="1"/>
  <c r="AD148" i="8"/>
  <c r="X62" i="3" s="1"/>
  <c r="X65" i="3" s="1"/>
  <c r="X68" i="3" s="1"/>
  <c r="X81" i="3" s="1"/>
  <c r="H56" i="4" s="1"/>
  <c r="AC151" i="8"/>
  <c r="R62" i="3"/>
  <c r="R65" i="3" s="1"/>
  <c r="R68" i="3" s="1"/>
  <c r="R81" i="3" s="1"/>
  <c r="Q62" i="3"/>
  <c r="Q65" i="3" s="1"/>
  <c r="Q68" i="3" s="1"/>
  <c r="Q81" i="3" s="1"/>
  <c r="AB151" i="8"/>
  <c r="AB154" i="8" s="1"/>
  <c r="X89" i="3"/>
  <c r="H64" i="4" s="1"/>
  <c r="X29" i="3"/>
  <c r="H30" i="4" s="1"/>
  <c r="H28" i="4"/>
  <c r="X88" i="3"/>
  <c r="H63" i="4" s="1"/>
  <c r="X28" i="3"/>
  <c r="R222" i="14" l="1"/>
  <c r="E250" i="14"/>
  <c r="M250" i="14" s="1"/>
  <c r="M172" i="14"/>
  <c r="E173" i="14"/>
  <c r="M173" i="14" s="1"/>
  <c r="E249" i="14"/>
  <c r="M249" i="14" s="1"/>
  <c r="E180" i="14"/>
  <c r="E174" i="14"/>
  <c r="M174" i="14" s="1"/>
  <c r="E247" i="14"/>
  <c r="M247" i="14" s="1"/>
  <c r="E170" i="14"/>
  <c r="M170" i="14" s="1"/>
  <c r="E171" i="14"/>
  <c r="M171" i="14" s="1"/>
  <c r="E246" i="14"/>
  <c r="M246" i="14" s="1"/>
  <c r="R221" i="14"/>
  <c r="H8" i="16"/>
  <c r="X77" i="3"/>
  <c r="H29" i="4"/>
  <c r="AC154" i="8"/>
  <c r="AD154" i="8" s="1"/>
  <c r="AD151" i="8"/>
  <c r="R146" i="14" l="1"/>
  <c r="E181" i="14"/>
  <c r="M181" i="14" s="1"/>
  <c r="E257" i="14"/>
  <c r="M257" i="14" s="1"/>
  <c r="E258" i="14"/>
  <c r="M258" i="14" s="1"/>
  <c r="M180" i="14"/>
  <c r="E178" i="14"/>
  <c r="M178" i="14" s="1"/>
  <c r="E182" i="14"/>
  <c r="M182" i="14" s="1"/>
  <c r="E179" i="14"/>
  <c r="M179" i="14" s="1"/>
  <c r="E254" i="14"/>
  <c r="M254" i="14" s="1"/>
  <c r="E255" i="14"/>
  <c r="M255" i="14" s="1"/>
  <c r="Y102" i="8"/>
  <c r="O35" i="14" l="1"/>
  <c r="P35" i="14"/>
  <c r="Q35" i="14"/>
  <c r="R35" i="14"/>
  <c r="L17" i="2" l="1"/>
  <c r="L19" i="2"/>
  <c r="L20" i="2"/>
  <c r="N16" i="4" s="1"/>
  <c r="N14" i="4"/>
  <c r="N15" i="4"/>
  <c r="Q10" i="14"/>
  <c r="R10" i="14" s="1"/>
  <c r="E98" i="14"/>
  <c r="N119" i="14"/>
  <c r="N197" i="14" s="1"/>
  <c r="R197" i="14" s="1"/>
  <c r="N121" i="14"/>
  <c r="N199" i="14" s="1"/>
  <c r="R199" i="14" s="1"/>
  <c r="R266" i="14"/>
  <c r="R268" i="14"/>
  <c r="R121" i="14" l="1"/>
  <c r="R119" i="14"/>
  <c r="L10" i="2"/>
  <c r="N8" i="4" s="1"/>
  <c r="L12" i="2"/>
  <c r="N9" i="4" s="1"/>
  <c r="L13" i="2"/>
  <c r="N10" i="4" s="1"/>
  <c r="E90" i="14"/>
  <c r="S28" i="4"/>
  <c r="AE7" i="10"/>
  <c r="AF7" i="10"/>
  <c r="AF34" i="9" s="1"/>
  <c r="AG7" i="10"/>
  <c r="AG66" i="8" s="1"/>
  <c r="AF66" i="8" l="1"/>
  <c r="AG29" i="8"/>
  <c r="AF29" i="8"/>
  <c r="AE29" i="8"/>
  <c r="AE66" i="8"/>
  <c r="AF58" i="9"/>
  <c r="AF134" i="9"/>
  <c r="AE34" i="9"/>
  <c r="AG34" i="9"/>
  <c r="AG33" i="9" s="1"/>
  <c r="AF33" i="9"/>
  <c r="AG30" i="8" l="1"/>
  <c r="AG32" i="8" s="1"/>
  <c r="AA85" i="3"/>
  <c r="K60" i="4" s="1"/>
  <c r="AF30" i="8"/>
  <c r="AF32" i="8" s="1"/>
  <c r="Z85" i="3"/>
  <c r="J60" i="4" s="1"/>
  <c r="Y85" i="3"/>
  <c r="I60" i="4" s="1"/>
  <c r="AE30" i="8"/>
  <c r="AE32" i="8" s="1"/>
  <c r="AG134" i="9"/>
  <c r="AG58" i="9"/>
  <c r="AE33" i="9"/>
  <c r="AE41" i="9" s="1"/>
  <c r="AE134" i="9"/>
  <c r="AE58" i="9"/>
  <c r="AF42" i="9"/>
  <c r="AF38" i="9"/>
  <c r="AF43" i="9"/>
  <c r="AF57" i="9"/>
  <c r="AG43" i="9"/>
  <c r="AG42" i="9"/>
  <c r="AG38" i="9"/>
  <c r="AG57" i="9"/>
  <c r="AF41" i="9"/>
  <c r="AG41" i="9"/>
  <c r="O60" i="4" l="1"/>
  <c r="AG39" i="8"/>
  <c r="AA11" i="3"/>
  <c r="AF39" i="8"/>
  <c r="Z11" i="3"/>
  <c r="AE39" i="8"/>
  <c r="Y11" i="3"/>
  <c r="AE43" i="9"/>
  <c r="AE42" i="9"/>
  <c r="AE57" i="9"/>
  <c r="AE38" i="9"/>
  <c r="AF65" i="9"/>
  <c r="AF64" i="9"/>
  <c r="AF63" i="9"/>
  <c r="AG65" i="9"/>
  <c r="AG64" i="9"/>
  <c r="AG63" i="9"/>
  <c r="AE11" i="3" l="1"/>
  <c r="O24" i="4" s="1"/>
  <c r="K24" i="4"/>
  <c r="AA12" i="3"/>
  <c r="AG42" i="8"/>
  <c r="AG44" i="8" s="1"/>
  <c r="AG45" i="8" s="1"/>
  <c r="AG53" i="8" s="1"/>
  <c r="AG237" i="8" s="1"/>
  <c r="AG238" i="8" s="1"/>
  <c r="AG133" i="9"/>
  <c r="AA15" i="3"/>
  <c r="AG157" i="9"/>
  <c r="AG59" i="8"/>
  <c r="AG61" i="8" s="1"/>
  <c r="J24" i="4"/>
  <c r="Z12" i="3"/>
  <c r="AA13" i="3"/>
  <c r="K26" i="4" s="1"/>
  <c r="AF42" i="8"/>
  <c r="AF44" i="8" s="1"/>
  <c r="AF45" i="8" s="1"/>
  <c r="AF51" i="8" s="1"/>
  <c r="AF133" i="9"/>
  <c r="AF157" i="9"/>
  <c r="AG138" i="9"/>
  <c r="AF59" i="8"/>
  <c r="AF61" i="8" s="1"/>
  <c r="AG174" i="9"/>
  <c r="Z15" i="3"/>
  <c r="Z13" i="3"/>
  <c r="J26" i="4" s="1"/>
  <c r="I24" i="4"/>
  <c r="Y12" i="3"/>
  <c r="Y13" i="3"/>
  <c r="I26" i="4" s="1"/>
  <c r="Y15" i="3"/>
  <c r="AE138" i="9"/>
  <c r="AE133" i="9"/>
  <c r="AE157" i="9"/>
  <c r="AF174" i="9"/>
  <c r="AE42" i="8"/>
  <c r="AE44" i="8" s="1"/>
  <c r="AE45" i="8" s="1"/>
  <c r="AE51" i="8" s="1"/>
  <c r="AE174" i="9"/>
  <c r="AF138" i="9"/>
  <c r="AE59" i="8"/>
  <c r="AE61" i="8" s="1"/>
  <c r="AE65" i="9"/>
  <c r="AE63" i="9"/>
  <c r="AE64" i="9"/>
  <c r="AF108" i="8" l="1"/>
  <c r="AF112" i="8" s="1"/>
  <c r="AF114" i="8" s="1"/>
  <c r="AF53" i="8"/>
  <c r="AF237" i="8" s="1"/>
  <c r="AF238" i="8" s="1"/>
  <c r="AE108" i="8"/>
  <c r="AE112" i="8" s="1"/>
  <c r="I39" i="4" s="1"/>
  <c r="I40" i="4" s="1"/>
  <c r="AE53" i="8"/>
  <c r="AE237" i="8" s="1"/>
  <c r="AE238" i="8" s="1"/>
  <c r="AF75" i="8"/>
  <c r="AF80" i="8" s="1"/>
  <c r="AF87" i="8" s="1"/>
  <c r="AF288" i="8" s="1"/>
  <c r="R31" i="14"/>
  <c r="K51" i="14" s="1"/>
  <c r="K53" i="14" s="1"/>
  <c r="AG108" i="8"/>
  <c r="AG112" i="8" s="1"/>
  <c r="K39" i="4" s="1"/>
  <c r="AG51" i="8"/>
  <c r="AG56" i="8" s="1"/>
  <c r="AA27" i="3"/>
  <c r="S26" i="4"/>
  <c r="AG159" i="9"/>
  <c r="AG128" i="9"/>
  <c r="AG253" i="8"/>
  <c r="K25" i="4"/>
  <c r="AA76" i="3"/>
  <c r="AG75" i="8"/>
  <c r="AG80" i="8" s="1"/>
  <c r="AG87" i="8" s="1"/>
  <c r="AG288" i="8" s="1"/>
  <c r="AA19" i="3"/>
  <c r="AE19" i="3" s="1"/>
  <c r="O32" i="4" s="1"/>
  <c r="AA87" i="3"/>
  <c r="K62" i="4" s="1"/>
  <c r="AE15" i="3"/>
  <c r="AA16" i="3"/>
  <c r="AA78" i="3" s="1"/>
  <c r="AG54" i="8"/>
  <c r="AE253" i="8"/>
  <c r="AE256" i="8" s="1"/>
  <c r="AE148" i="8" s="1"/>
  <c r="AE75" i="8"/>
  <c r="AE80" i="8" s="1"/>
  <c r="AE87" i="8" s="1"/>
  <c r="AE288" i="8" s="1"/>
  <c r="P31" i="14"/>
  <c r="P32" i="14" s="1"/>
  <c r="AE54" i="8"/>
  <c r="AG176" i="9"/>
  <c r="Z27" i="3"/>
  <c r="AF128" i="9"/>
  <c r="AF159" i="9"/>
  <c r="Z19" i="3"/>
  <c r="Z20" i="3" s="1"/>
  <c r="Z87" i="3"/>
  <c r="J62" i="4" s="1"/>
  <c r="AA17" i="3"/>
  <c r="Z16" i="3"/>
  <c r="Z78" i="3" s="1"/>
  <c r="J25" i="4"/>
  <c r="Z76" i="3"/>
  <c r="Q31" i="14"/>
  <c r="AF253" i="8"/>
  <c r="AF54" i="8"/>
  <c r="Y19" i="3"/>
  <c r="Y20" i="3" s="1"/>
  <c r="Y87" i="3"/>
  <c r="I62" i="4" s="1"/>
  <c r="Z17" i="3"/>
  <c r="Y17" i="3"/>
  <c r="Y16" i="3"/>
  <c r="AF176" i="9"/>
  <c r="AE128" i="9"/>
  <c r="Y27" i="3"/>
  <c r="AE159" i="9"/>
  <c r="AE176" i="9"/>
  <c r="Y76" i="3"/>
  <c r="I25" i="4"/>
  <c r="AF57" i="8"/>
  <c r="Z23" i="3" s="1"/>
  <c r="AF56" i="8"/>
  <c r="I71" i="16" a="1"/>
  <c r="I71" i="16" s="1"/>
  <c r="I72" i="16" s="1"/>
  <c r="AE56" i="8"/>
  <c r="AE57" i="8"/>
  <c r="AE115" i="8" l="1"/>
  <c r="AE116" i="8" s="1"/>
  <c r="AE114" i="8"/>
  <c r="J39" i="4"/>
  <c r="J40" i="4" s="1"/>
  <c r="AG114" i="8"/>
  <c r="K32" i="4"/>
  <c r="T28" i="4"/>
  <c r="U28" i="4" s="1"/>
  <c r="AF115" i="8"/>
  <c r="AF116" i="8" s="1"/>
  <c r="T27" i="4"/>
  <c r="U27" i="4" s="1"/>
  <c r="AG115" i="8"/>
  <c r="AG116" i="8" s="1"/>
  <c r="AA20" i="3"/>
  <c r="K33" i="4" s="1"/>
  <c r="T26" i="4"/>
  <c r="U26" i="4" s="1"/>
  <c r="AB51" i="14"/>
  <c r="AB53" i="14" s="1"/>
  <c r="AF252" i="8"/>
  <c r="AF256" i="8" s="1"/>
  <c r="AG252" i="8" s="1"/>
  <c r="AG256" i="8" s="1"/>
  <c r="AG148" i="8" s="1"/>
  <c r="R32" i="14"/>
  <c r="AG57" i="8"/>
  <c r="AA23" i="3" s="1"/>
  <c r="AA24" i="3" s="1"/>
  <c r="K37" i="4" s="1"/>
  <c r="I32" i="4"/>
  <c r="Y21" i="3"/>
  <c r="I34" i="4" s="1"/>
  <c r="Q32" i="14"/>
  <c r="AA21" i="3"/>
  <c r="K34" i="4" s="1"/>
  <c r="AA89" i="3"/>
  <c r="K64" i="4" s="1"/>
  <c r="AE27" i="3"/>
  <c r="O28" i="4" s="1"/>
  <c r="AA88" i="3"/>
  <c r="K63" i="4" s="1"/>
  <c r="AA28" i="3"/>
  <c r="K28" i="4"/>
  <c r="O62" i="4"/>
  <c r="AA29" i="3"/>
  <c r="K30" i="4" s="1"/>
  <c r="Z28" i="3"/>
  <c r="Z88" i="3"/>
  <c r="J63" i="4" s="1"/>
  <c r="Z89" i="3"/>
  <c r="J64" i="4" s="1"/>
  <c r="J28" i="4"/>
  <c r="J32" i="4"/>
  <c r="Z21" i="3"/>
  <c r="J34" i="4" s="1"/>
  <c r="Y78" i="3"/>
  <c r="I7" i="16"/>
  <c r="Y89" i="3"/>
  <c r="I64" i="4" s="1"/>
  <c r="Y28" i="3"/>
  <c r="Y88" i="3"/>
  <c r="I63" i="4" s="1"/>
  <c r="Z29" i="3"/>
  <c r="J30" i="4" s="1"/>
  <c r="Y29" i="3"/>
  <c r="I30" i="4" s="1"/>
  <c r="I28" i="4"/>
  <c r="I33" i="4"/>
  <c r="I9" i="16"/>
  <c r="Y79" i="3"/>
  <c r="Y62" i="3"/>
  <c r="Y65" i="3" s="1"/>
  <c r="Y68" i="3" s="1"/>
  <c r="Y81" i="3" s="1"/>
  <c r="I56" i="4" s="1"/>
  <c r="AE151" i="8"/>
  <c r="AE154" i="8" s="1"/>
  <c r="Q71" i="16" a="1"/>
  <c r="Q71" i="16" s="1"/>
  <c r="Q72" i="16" s="1"/>
  <c r="Y23" i="3"/>
  <c r="Z24" i="3" s="1"/>
  <c r="J37" i="4" s="1"/>
  <c r="J33" i="4"/>
  <c r="Z79" i="3"/>
  <c r="J36" i="4"/>
  <c r="O39" i="4"/>
  <c r="K40" i="4" l="1"/>
  <c r="AA79" i="3"/>
  <c r="AE23" i="3"/>
  <c r="O36" i="4" s="1"/>
  <c r="AF148" i="8"/>
  <c r="AF151" i="8" s="1"/>
  <c r="AF154" i="8" s="1"/>
  <c r="K36" i="4"/>
  <c r="K29" i="4"/>
  <c r="AA77" i="3"/>
  <c r="Z77" i="3"/>
  <c r="J29" i="4"/>
  <c r="O63" i="4"/>
  <c r="O64" i="4"/>
  <c r="I8" i="16"/>
  <c r="I29" i="4"/>
  <c r="Y77" i="3"/>
  <c r="Y24" i="3"/>
  <c r="I37" i="4" s="1"/>
  <c r="I36" i="4"/>
  <c r="AG151" i="8"/>
  <c r="AG154" i="8" s="1"/>
  <c r="AA62" i="3"/>
  <c r="AA65" i="3" s="1"/>
  <c r="AA68" i="3" s="1"/>
  <c r="AA81" i="3" s="1"/>
  <c r="K56" i="4" s="1"/>
  <c r="Z62" i="3" l="1"/>
  <c r="Z65" i="3" s="1"/>
  <c r="Z68" i="3" s="1"/>
  <c r="Z81" i="3" s="1"/>
  <c r="J56" i="4" s="1"/>
  <c r="O56" i="4" s="1"/>
  <c r="G17" i="11"/>
  <c r="H17" i="11"/>
  <c r="I17" i="11"/>
  <c r="J17" i="11"/>
  <c r="K17" i="11"/>
  <c r="L17" i="11"/>
  <c r="M17" i="11"/>
  <c r="N17" i="11"/>
  <c r="O17" i="11"/>
  <c r="P17" i="11"/>
  <c r="Q17" i="11"/>
  <c r="R17" i="11"/>
  <c r="S17" i="11"/>
  <c r="T17" i="11"/>
  <c r="U17" i="11"/>
  <c r="V17" i="11"/>
  <c r="G18" i="11"/>
  <c r="H18" i="11"/>
  <c r="I18" i="11"/>
  <c r="J18" i="11"/>
  <c r="K18" i="11"/>
  <c r="L18" i="11"/>
  <c r="M18" i="11"/>
  <c r="N18" i="11"/>
  <c r="O18" i="11"/>
  <c r="P18" i="11"/>
  <c r="Q18" i="11"/>
  <c r="R18" i="11"/>
  <c r="S18" i="11"/>
  <c r="T18" i="11"/>
  <c r="U18" i="11"/>
  <c r="V18" i="11"/>
  <c r="G19" i="11"/>
  <c r="H19" i="11"/>
  <c r="I19" i="11"/>
  <c r="J19" i="11"/>
  <c r="K19" i="11"/>
  <c r="L19" i="11"/>
  <c r="M19" i="11"/>
  <c r="N19" i="11"/>
  <c r="O19" i="11"/>
  <c r="P19" i="11"/>
  <c r="Q19" i="11"/>
  <c r="R19" i="11"/>
  <c r="S19" i="11"/>
  <c r="T19" i="11"/>
  <c r="U19" i="11"/>
  <c r="V19" i="11"/>
  <c r="G20" i="11"/>
  <c r="H20" i="11"/>
  <c r="I20" i="11"/>
  <c r="J20" i="11"/>
  <c r="K20" i="11"/>
  <c r="L20" i="11"/>
  <c r="M20" i="11"/>
  <c r="N20" i="11"/>
  <c r="O20" i="11"/>
  <c r="P20" i="11"/>
  <c r="Q20" i="11"/>
  <c r="R20" i="11"/>
  <c r="S20" i="11"/>
  <c r="T20" i="11"/>
  <c r="U20" i="11"/>
  <c r="V20" i="11"/>
  <c r="K25" i="13"/>
  <c r="K24" i="13" s="1"/>
  <c r="K27" i="13"/>
  <c r="K28" i="13" s="1"/>
  <c r="K57" i="3" a="1"/>
  <c r="K57" i="3" s="1"/>
  <c r="K59" i="3" s="1"/>
  <c r="K70" i="3" s="1"/>
  <c r="K34" i="3"/>
  <c r="K105" i="3" s="1"/>
  <c r="K82" i="3"/>
  <c r="K53" i="3"/>
  <c r="K93" i="3"/>
  <c r="V102" i="8"/>
  <c r="V302" i="8"/>
  <c r="K38" i="3" l="1"/>
  <c r="K46" i="3" s="1"/>
  <c r="K106" i="3"/>
  <c r="V292" i="8"/>
  <c r="K92" i="3"/>
  <c r="K104" i="3" l="1"/>
  <c r="K80" i="3"/>
  <c r="K97" i="3"/>
  <c r="K94" i="3"/>
  <c r="N13" i="4"/>
  <c r="L16" i="2"/>
  <c r="L57" i="3"/>
  <c r="AC293" i="8"/>
  <c r="AC299" i="8"/>
  <c r="N8" i="13"/>
  <c r="M9" i="13"/>
  <c r="J45" i="4"/>
  <c r="Z92" i="3"/>
  <c r="Q70" i="3"/>
  <c r="Q59" i="3"/>
  <c r="Q57" i="3"/>
  <c r="Q57" i="3" a="1"/>
  <c r="AF293" i="8"/>
  <c r="AF299" i="8"/>
  <c r="W293" i="8"/>
  <c r="W299" i="8"/>
  <c r="AE293" i="8"/>
  <c r="AE299" i="8"/>
  <c r="Y96" i="8"/>
  <c r="Z57" i="3"/>
  <c r="R70" i="3"/>
  <c r="R59" i="3"/>
  <c r="R57" i="3"/>
  <c r="R57" i="3" a="1"/>
  <c r="H47" i="4"/>
  <c r="X94" i="3"/>
  <c r="Q11" i="2"/>
  <c r="N130" i="14"/>
  <c r="O57" i="4"/>
  <c r="G57" i="4"/>
  <c r="W82" i="3"/>
  <c r="X103" i="8"/>
  <c r="X96" i="8"/>
  <c r="X89" i="8"/>
  <c r="X303" i="8"/>
  <c r="X297" i="8"/>
  <c r="X294" i="8"/>
  <c r="X292" i="8"/>
  <c r="AB293" i="8"/>
  <c r="AB299" i="8"/>
  <c r="AA70" i="3"/>
  <c r="AA59" i="3"/>
  <c r="AA57" i="3"/>
  <c r="AA57" i="3" a="1"/>
  <c r="N70" i="3"/>
  <c r="N59" i="3"/>
  <c r="N57" i="3"/>
  <c r="N57" i="3" a="1"/>
  <c r="AB103" i="8"/>
  <c r="AB96" i="8"/>
  <c r="AB89" i="8"/>
  <c r="AB292" i="8"/>
  <c r="AB294" i="8"/>
  <c r="AB297" i="8"/>
  <c r="AB303" i="8"/>
  <c r="P44" i="14"/>
  <c r="P43" i="14"/>
  <c r="P41" i="14"/>
  <c r="AE158" i="8"/>
  <c r="AE132" i="8"/>
  <c r="AE124" i="8"/>
  <c r="L57" i="3" a="1"/>
  <c r="L59" i="3"/>
  <c r="L70" i="3"/>
  <c r="N93" i="3"/>
  <c r="N92" i="3"/>
  <c r="N82" i="3"/>
  <c r="N53" i="3"/>
  <c r="N94" i="3"/>
  <c r="AC325" i="8"/>
  <c r="AC327" i="8"/>
  <c r="AC329" i="8"/>
  <c r="P97" i="3"/>
  <c r="P46" i="3"/>
  <c r="P80" i="3"/>
  <c r="AC322" i="8"/>
  <c r="AC315" i="8"/>
  <c r="AC313" i="8"/>
  <c r="M104" i="3"/>
  <c r="V313" i="8"/>
  <c r="V315" i="8"/>
  <c r="V322" i="8"/>
  <c r="AD158" i="8"/>
  <c r="AD132" i="8"/>
  <c r="AD124" i="8"/>
  <c r="AE322" i="8"/>
  <c r="AE315" i="8"/>
  <c r="AE313" i="8"/>
  <c r="W103" i="8"/>
  <c r="W96" i="8"/>
  <c r="W89" i="8"/>
  <c r="W303" i="8"/>
  <c r="W297" i="8"/>
  <c r="W294" i="8"/>
  <c r="W292" i="8"/>
  <c r="Z322" i="8"/>
  <c r="Z315" i="8"/>
  <c r="Z313" i="8"/>
  <c r="AG292" i="8"/>
  <c r="AG294" i="8"/>
  <c r="AG297" i="8"/>
  <c r="AG303" i="8"/>
  <c r="AG89" i="8"/>
  <c r="AG96" i="8"/>
  <c r="AG103" i="8"/>
  <c r="AF156" i="8"/>
  <c r="AF145" i="8"/>
  <c r="Y70" i="3"/>
  <c r="Y59" i="3"/>
  <c r="Y57" i="3"/>
  <c r="Y57" i="3" a="1"/>
  <c r="J51" i="4"/>
  <c r="Z105" i="3"/>
  <c r="O67" i="4"/>
  <c r="G67" i="4"/>
  <c r="W97" i="3"/>
  <c r="AG156" i="8"/>
  <c r="AG143" i="8"/>
  <c r="AG145" i="8"/>
  <c r="H46" i="4"/>
  <c r="X93" i="3"/>
  <c r="AB325" i="8"/>
  <c r="AB327" i="8"/>
  <c r="AB329" i="8"/>
  <c r="M101" i="14"/>
  <c r="M93" i="14"/>
  <c r="Z293" i="8"/>
  <c r="Z299" i="8"/>
  <c r="O94" i="3"/>
  <c r="O82" i="3"/>
  <c r="O93" i="3"/>
  <c r="O53" i="3"/>
  <c r="O92" i="3"/>
  <c r="AF325" i="8"/>
  <c r="AF327" i="8"/>
  <c r="AF329" i="8"/>
  <c r="M97" i="3"/>
  <c r="M38" i="3"/>
  <c r="M46" i="3"/>
  <c r="M80" i="3"/>
  <c r="K45" i="4"/>
  <c r="AA92" i="3"/>
  <c r="P106" i="3"/>
  <c r="P105" i="3"/>
  <c r="R22" i="14"/>
  <c r="Q22" i="14"/>
  <c r="AA292" i="8"/>
  <c r="AA294" i="8"/>
  <c r="AA297" i="8"/>
  <c r="AA303" i="8"/>
  <c r="AA89" i="8"/>
  <c r="AA96" i="8"/>
  <c r="AA103" i="8"/>
  <c r="AC158" i="8"/>
  <c r="AC124" i="8"/>
  <c r="AC132" i="8"/>
  <c r="J57" i="4"/>
  <c r="Z82" i="3"/>
  <c r="M94" i="14"/>
  <c r="K46" i="4"/>
  <c r="AA93" i="3"/>
  <c r="O50" i="4"/>
  <c r="G50" i="4"/>
  <c r="W104" i="3"/>
  <c r="O45" i="4"/>
  <c r="G45" i="4"/>
  <c r="W92" i="3"/>
  <c r="H50" i="4"/>
  <c r="X104" i="3"/>
  <c r="Q13" i="2"/>
  <c r="N208" i="14"/>
  <c r="AA322" i="8"/>
  <c r="AA315" i="8"/>
  <c r="AA313" i="8"/>
  <c r="Y156" i="8"/>
  <c r="Y145" i="8"/>
  <c r="O51" i="4"/>
  <c r="G51" i="4"/>
  <c r="W105" i="3"/>
  <c r="Z156" i="8"/>
  <c r="Z145" i="8"/>
  <c r="X156" i="8"/>
  <c r="X145" i="8"/>
  <c r="O104" i="3"/>
  <c r="D14" i="6"/>
  <c r="Q20" i="13"/>
  <c r="AB156" i="8"/>
  <c r="AB143" i="8"/>
  <c r="AB145" i="8"/>
  <c r="AE329" i="8"/>
  <c r="AE327" i="8"/>
  <c r="AE325" i="8"/>
  <c r="R44" i="14"/>
  <c r="R43" i="14"/>
  <c r="AG325" i="8"/>
  <c r="AG327" i="8"/>
  <c r="AG329" i="8"/>
  <c r="W38" i="3"/>
  <c r="W46" i="3"/>
  <c r="W80" i="3"/>
  <c r="G55" i="4"/>
  <c r="O55" i="4"/>
  <c r="I46" i="4"/>
  <c r="Y93" i="3"/>
  <c r="AA156" i="8"/>
  <c r="AA145" i="8"/>
  <c r="AB322" i="8"/>
  <c r="AB313" i="8"/>
  <c r="AB315" i="8"/>
  <c r="Y89" i="8"/>
  <c r="AF143" i="8"/>
  <c r="Z57" i="3" a="1"/>
  <c r="Z59" i="3"/>
  <c r="Z70" i="3"/>
  <c r="H57" i="4"/>
  <c r="X82" i="3"/>
  <c r="H45" i="4"/>
  <c r="AD139" i="8"/>
  <c r="X53" i="3"/>
  <c r="X92" i="3"/>
  <c r="G7" i="14"/>
  <c r="F7" i="14"/>
  <c r="E102" i="14"/>
  <c r="M102" i="14"/>
  <c r="I47" i="4"/>
  <c r="Y94" i="3"/>
  <c r="X57" i="3"/>
  <c r="W57" i="3"/>
  <c r="Z124" i="8"/>
  <c r="Z132" i="8"/>
  <c r="Z158" i="8"/>
  <c r="K47" i="4"/>
  <c r="AA94" i="3"/>
  <c r="I67" i="4"/>
  <c r="Y97" i="3"/>
  <c r="V156" i="8"/>
  <c r="V143" i="8"/>
  <c r="V145" i="8"/>
  <c r="Z329" i="8"/>
  <c r="Z327" i="8"/>
  <c r="Z325" i="8"/>
  <c r="O106" i="3"/>
  <c r="O105" i="3"/>
  <c r="K23" i="13"/>
  <c r="R65" i="14"/>
  <c r="Q44" i="14"/>
  <c r="Q43" i="14"/>
  <c r="Q41" i="14"/>
  <c r="AF158" i="8"/>
  <c r="AF132" i="8"/>
  <c r="AF124" i="8"/>
  <c r="Y158" i="8"/>
  <c r="Y132" i="8"/>
  <c r="Y124" i="8"/>
  <c r="O57" i="3"/>
  <c r="W313" i="8"/>
  <c r="W315" i="8"/>
  <c r="W322" i="8"/>
  <c r="O44" i="14"/>
  <c r="O43" i="14"/>
  <c r="O41" i="14"/>
  <c r="AD89" i="8"/>
  <c r="K52" i="4"/>
  <c r="AA106" i="3"/>
  <c r="I57" i="4"/>
  <c r="Y82" i="3"/>
  <c r="N106" i="3"/>
  <c r="N105" i="3"/>
  <c r="N104" i="3"/>
  <c r="D13" i="6"/>
  <c r="P84" i="14"/>
  <c r="R54" i="14"/>
  <c r="R57" i="14"/>
  <c r="R61" i="14"/>
  <c r="R62" i="14"/>
  <c r="K67" i="4"/>
  <c r="AA97" i="3"/>
  <c r="M57" i="3"/>
  <c r="X143" i="8"/>
  <c r="Y143" i="8"/>
  <c r="W57" i="3" a="1"/>
  <c r="W59" i="3"/>
  <c r="W70" i="3"/>
  <c r="AD103" i="8"/>
  <c r="Z103" i="8"/>
  <c r="V325" i="8"/>
  <c r="V327" i="8"/>
  <c r="V329" i="8"/>
  <c r="W325" i="8"/>
  <c r="W327" i="8"/>
  <c r="W329" i="8"/>
  <c r="AC156" i="8"/>
  <c r="AC145" i="8"/>
  <c r="AA325" i="8"/>
  <c r="AA327" i="8"/>
  <c r="AA329" i="8"/>
  <c r="M105" i="3"/>
  <c r="M34" i="3"/>
  <c r="M106" i="3"/>
  <c r="R97" i="3"/>
  <c r="R46" i="3"/>
  <c r="R80" i="3"/>
  <c r="H67" i="4"/>
  <c r="X97" i="3"/>
  <c r="L92" i="3"/>
  <c r="L94" i="3"/>
  <c r="L93" i="3"/>
  <c r="L53" i="3"/>
  <c r="L82" i="3"/>
  <c r="M99" i="14"/>
  <c r="E99" i="14"/>
  <c r="E101" i="14"/>
  <c r="H52" i="4"/>
  <c r="X106" i="3"/>
  <c r="L106" i="3"/>
  <c r="L105" i="3"/>
  <c r="AG158" i="8"/>
  <c r="AG132" i="8"/>
  <c r="AG124" i="8"/>
  <c r="H55" i="4"/>
  <c r="X38" i="3"/>
  <c r="X46" i="3"/>
  <c r="X80" i="3"/>
  <c r="K55" i="4"/>
  <c r="AA46" i="3"/>
  <c r="AA80" i="3"/>
  <c r="P70" i="3"/>
  <c r="P59" i="3"/>
  <c r="P57" i="3"/>
  <c r="AA143" i="8"/>
  <c r="P57" i="3" a="1"/>
  <c r="O52" i="4"/>
  <c r="G52" i="4"/>
  <c r="Y120" i="8"/>
  <c r="W34" i="3"/>
  <c r="W106" i="3"/>
  <c r="O9" i="13"/>
  <c r="N9" i="13"/>
  <c r="N7" i="13"/>
  <c r="V139" i="8"/>
  <c r="M6" i="13"/>
  <c r="N6" i="13"/>
  <c r="M36" i="13"/>
  <c r="N36" i="13"/>
  <c r="X158" i="8"/>
  <c r="X124" i="8"/>
  <c r="X132" i="8"/>
  <c r="Z106" i="3"/>
  <c r="J52" i="4"/>
  <c r="AF322" i="8"/>
  <c r="AF315" i="8"/>
  <c r="AF313" i="8"/>
  <c r="K65" i="14"/>
  <c r="R53" i="14"/>
  <c r="AB68" i="14"/>
  <c r="N97" i="3"/>
  <c r="N34" i="3"/>
  <c r="N38" i="3"/>
  <c r="N46" i="3"/>
  <c r="N80" i="3"/>
  <c r="Q105" i="3"/>
  <c r="Q106" i="3"/>
  <c r="R124" i="14"/>
  <c r="I52" i="4"/>
  <c r="Y106" i="3"/>
  <c r="N7" i="4"/>
  <c r="L9" i="2"/>
  <c r="V124" i="8"/>
  <c r="V132" i="8"/>
  <c r="V158" i="8"/>
  <c r="D7" i="6"/>
  <c r="Z80" i="3"/>
  <c r="J55" i="4"/>
  <c r="M57" i="3" a="1"/>
  <c r="M59" i="3"/>
  <c r="M70" i="3"/>
  <c r="R208" i="14"/>
  <c r="E253" i="14"/>
  <c r="AA105" i="3"/>
  <c r="K51" i="4"/>
  <c r="K57" i="4"/>
  <c r="AG139" i="8"/>
  <c r="AA53" i="3"/>
  <c r="AA82" i="3"/>
  <c r="R19" i="14"/>
  <c r="Q19" i="14"/>
  <c r="H51" i="4"/>
  <c r="AD120" i="8"/>
  <c r="X34" i="3"/>
  <c r="X105" i="3"/>
  <c r="AG293" i="8"/>
  <c r="AG299" i="8"/>
  <c r="M103" i="14"/>
  <c r="E103" i="14"/>
  <c r="AD145" i="8"/>
  <c r="AD156" i="8"/>
  <c r="W94" i="3"/>
  <c r="G47" i="4"/>
  <c r="O47" i="4"/>
  <c r="Z46" i="3"/>
  <c r="Z97" i="3"/>
  <c r="J67" i="4"/>
  <c r="I51" i="4"/>
  <c r="Y105" i="3"/>
  <c r="Z139" i="8"/>
  <c r="Z143" i="8"/>
  <c r="O57" i="3" a="1"/>
  <c r="O59" i="3"/>
  <c r="O70" i="3"/>
  <c r="O5" i="5"/>
  <c r="E100" i="14"/>
  <c r="M100" i="14"/>
  <c r="J47" i="4"/>
  <c r="Z94" i="3"/>
  <c r="R93" i="3"/>
  <c r="R82" i="3"/>
  <c r="R94" i="3"/>
  <c r="R53" i="3"/>
  <c r="R92" i="3"/>
  <c r="W158" i="8"/>
  <c r="W120" i="8"/>
  <c r="W124" i="8"/>
  <c r="W132" i="8"/>
  <c r="R130" i="14"/>
  <c r="E177" i="14"/>
  <c r="AE292" i="8"/>
  <c r="AE294" i="8"/>
  <c r="AE297" i="8"/>
  <c r="AE303" i="8"/>
  <c r="AE89" i="8"/>
  <c r="AE96" i="8"/>
  <c r="AE103" i="8"/>
  <c r="O46" i="4"/>
  <c r="G46" i="4"/>
  <c r="X139" i="8"/>
  <c r="Y139" i="8"/>
  <c r="W53" i="3"/>
  <c r="W93" i="3"/>
  <c r="L104" i="3"/>
  <c r="AB66" i="14"/>
  <c r="N124" i="14"/>
  <c r="N202" i="14"/>
  <c r="R202" i="14"/>
  <c r="Q104" i="3"/>
  <c r="AF120" i="8"/>
  <c r="Z34" i="3"/>
  <c r="Z38" i="3"/>
  <c r="Z104" i="3"/>
  <c r="J50" i="4"/>
  <c r="AE143" i="8"/>
  <c r="AE145" i="8"/>
  <c r="AE156" i="8"/>
  <c r="I45" i="4"/>
  <c r="AE139" i="8"/>
  <c r="Y53" i="3"/>
  <c r="Y92" i="3"/>
  <c r="R201" i="14"/>
  <c r="R204" i="14"/>
  <c r="R207" i="14"/>
  <c r="Q20" i="14"/>
  <c r="R20" i="14"/>
  <c r="R14" i="14"/>
  <c r="Q14" i="14"/>
  <c r="R9" i="14"/>
  <c r="W156" i="8"/>
  <c r="W143" i="8"/>
  <c r="W145" i="8"/>
  <c r="R106" i="3"/>
  <c r="R105" i="3"/>
  <c r="Z292" i="8"/>
  <c r="Z294" i="8"/>
  <c r="Z297" i="8"/>
  <c r="Z303" i="8"/>
  <c r="Z89" i="8"/>
  <c r="Z96" i="8"/>
  <c r="AD96" i="8"/>
  <c r="R270" i="14"/>
  <c r="R273" i="14"/>
  <c r="R276" i="14"/>
  <c r="R277" i="14"/>
  <c r="K50" i="4"/>
  <c r="AF104" i="8"/>
  <c r="AG102" i="8"/>
  <c r="AG104" i="8"/>
  <c r="AG120" i="8"/>
  <c r="AA34" i="3"/>
  <c r="AA38" i="3"/>
  <c r="AA104" i="3"/>
  <c r="O97" i="3"/>
  <c r="Z120" i="8"/>
  <c r="O34" i="3"/>
  <c r="O38" i="3"/>
  <c r="O46" i="3"/>
  <c r="O80" i="3"/>
  <c r="M92" i="14"/>
  <c r="O6" i="5"/>
  <c r="AF102" i="8"/>
  <c r="AF292" i="8"/>
  <c r="AF294" i="8"/>
  <c r="AF297" i="8"/>
  <c r="AF303" i="8"/>
  <c r="AF89" i="8"/>
  <c r="AF96" i="8"/>
  <c r="AF103" i="8"/>
  <c r="E92" i="14"/>
  <c r="E91" i="14"/>
  <c r="M91" i="14"/>
  <c r="AC292" i="8"/>
  <c r="AC294" i="8"/>
  <c r="AC297" i="8"/>
  <c r="AC303" i="8"/>
  <c r="AC89" i="8"/>
  <c r="AC96" i="8"/>
  <c r="AC103" i="8"/>
  <c r="K63" i="14"/>
  <c r="R271" i="14"/>
  <c r="O84" i="14"/>
  <c r="E93" i="14"/>
  <c r="E94" i="14"/>
  <c r="E95" i="14"/>
  <c r="M95" i="14"/>
  <c r="AC139" i="8"/>
  <c r="AC143" i="8"/>
  <c r="AD143" i="8"/>
  <c r="X57" i="3" a="1"/>
  <c r="X59" i="3"/>
  <c r="X70" i="3"/>
  <c r="Y46" i="3"/>
  <c r="Y80" i="3"/>
  <c r="I55" i="4"/>
  <c r="AC102" i="8"/>
  <c r="AC104" i="8"/>
  <c r="AC120" i="8"/>
  <c r="R34" i="3"/>
  <c r="R38" i="3"/>
  <c r="R104" i="3"/>
  <c r="AF139" i="8"/>
  <c r="Z53" i="3"/>
  <c r="Z93" i="3"/>
  <c r="J46" i="4"/>
  <c r="L97" i="3"/>
  <c r="V120" i="8"/>
  <c r="L34" i="3"/>
  <c r="L38" i="3"/>
  <c r="L46" i="3"/>
  <c r="L80" i="3"/>
  <c r="V104" i="8"/>
  <c r="W102" i="8"/>
  <c r="W104" i="8"/>
  <c r="X102" i="8"/>
  <c r="X104" i="8"/>
  <c r="X120" i="8"/>
  <c r="X325" i="8"/>
  <c r="X327" i="8"/>
  <c r="X329" i="8"/>
  <c r="R55" i="14"/>
  <c r="AB55" i="14"/>
  <c r="N41" i="14"/>
  <c r="N43" i="14"/>
  <c r="K55" i="14"/>
  <c r="M93" i="3"/>
  <c r="M94" i="3"/>
  <c r="M92" i="3"/>
  <c r="W139" i="8"/>
  <c r="M53" i="3"/>
  <c r="M82" i="3"/>
  <c r="P92" i="3"/>
  <c r="P94" i="3"/>
  <c r="P93" i="3"/>
  <c r="AA139" i="8"/>
  <c r="P53" i="3"/>
  <c r="P82" i="3"/>
  <c r="R123" i="14"/>
  <c r="R126" i="14"/>
  <c r="R129" i="14"/>
  <c r="Q15" i="14"/>
  <c r="R15" i="14"/>
  <c r="P34" i="3"/>
  <c r="P38" i="3"/>
  <c r="P104" i="3"/>
  <c r="AA299" i="8"/>
  <c r="AA293" i="8"/>
  <c r="E169" i="14"/>
  <c r="N126" i="14"/>
  <c r="N129" i="14"/>
  <c r="P11" i="2"/>
  <c r="Q82" i="3"/>
  <c r="Q93" i="3"/>
  <c r="Q94" i="3"/>
  <c r="AB139" i="8"/>
  <c r="Q53" i="3"/>
  <c r="Q92" i="3"/>
  <c r="Q23" i="14"/>
  <c r="R23" i="14"/>
  <c r="X299" i="8"/>
  <c r="X293" i="8"/>
  <c r="Q97" i="3"/>
  <c r="Q34" i="3"/>
  <c r="Q38" i="3"/>
  <c r="Q46" i="3"/>
  <c r="Q80" i="3"/>
  <c r="P13" i="2"/>
  <c r="K54" i="14"/>
  <c r="K57" i="14"/>
  <c r="K62" i="14"/>
  <c r="N123" i="14"/>
  <c r="N201" i="14"/>
  <c r="N204" i="14"/>
  <c r="N207" i="14"/>
  <c r="E245" i="14"/>
  <c r="AA120" i="8"/>
  <c r="AA124" i="8"/>
  <c r="AA132" i="8"/>
  <c r="AA158" i="8"/>
  <c r="O13" i="13"/>
  <c r="G76" i="14"/>
  <c r="R41" i="14"/>
  <c r="AB54" i="14"/>
  <c r="AB57" i="14"/>
  <c r="AB61" i="14"/>
  <c r="AB65" i="14"/>
  <c r="Q9" i="14"/>
  <c r="Q24" i="14"/>
  <c r="R24" i="14"/>
  <c r="Z302" i="8"/>
  <c r="Z304" i="8"/>
  <c r="AA302" i="8"/>
  <c r="AA304" i="8"/>
  <c r="AB302" i="8"/>
  <c r="AB304" i="8"/>
  <c r="AC302" i="8"/>
  <c r="AC304" i="8"/>
  <c r="AE302" i="8"/>
  <c r="AE304" i="8"/>
  <c r="AF302" i="8"/>
  <c r="AF304" i="8"/>
  <c r="AG302" i="8"/>
  <c r="AG304" i="8"/>
  <c r="AG313" i="8"/>
  <c r="AG315" i="8"/>
  <c r="AG322" i="8"/>
  <c r="V304" i="8"/>
  <c r="W302" i="8"/>
  <c r="W304" i="8"/>
  <c r="X302" i="8"/>
  <c r="X304" i="8"/>
  <c r="X313" i="8"/>
  <c r="X315" i="8"/>
  <c r="X322" i="8"/>
  <c r="AD102" i="8"/>
  <c r="AD104" i="8"/>
  <c r="AE102" i="8"/>
  <c r="AE104" i="8"/>
  <c r="AE120" i="8"/>
  <c r="Y34" i="3"/>
  <c r="Y38" i="3"/>
  <c r="Y104" i="3"/>
  <c r="I50" i="4"/>
  <c r="V299" i="8"/>
  <c r="V293" i="8"/>
  <c r="V294" i="8"/>
  <c r="V297" i="8"/>
  <c r="V303" i="8"/>
  <c r="V89" i="8"/>
  <c r="V96" i="8"/>
  <c r="V103" i="8"/>
  <c r="Y103" i="8"/>
  <c r="Y104" i="8"/>
  <c r="Z102" i="8"/>
  <c r="Z104" i="8"/>
  <c r="AA102" i="8"/>
  <c r="AA104" i="8"/>
  <c r="AB102" i="8"/>
  <c r="AB104" i="8"/>
  <c r="AB120" i="8"/>
  <c r="AB124" i="8"/>
  <c r="AB132" i="8"/>
  <c r="AB15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0600-000004000000}">
      <text>
        <r>
          <rPr>
            <sz val="11"/>
            <color theme="1"/>
            <rFont val="Calibri"/>
            <family val="2"/>
            <scheme val="minor"/>
          </rPr>
          <t>======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shapeId="0" xr:uid="{00000000-0006-0000-0600-000007000000}">
      <text>
        <r>
          <rPr>
            <sz val="11"/>
            <color theme="1"/>
            <rFont val="Calibri"/>
            <family val="2"/>
            <scheme val="minor"/>
          </rPr>
          <t>======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48" authorId="0" shapeId="0" xr:uid="{00000000-0006-0000-0600-000002000000}">
      <text>
        <r>
          <rPr>
            <sz val="11"/>
            <color theme="1"/>
            <rFont val="Calibri"/>
            <family val="2"/>
            <scheme val="minor"/>
          </rPr>
          <t>======
ID#AAABbnJBV2A
Luke Brennan    (2025-01-14 21:09:38)
Major drop in backlog and therefore negative new orders is due to the initiation of GBS segment which pulled the majority of its business from DSS segment</t>
        </r>
      </text>
    </comment>
    <comment ref="J160" authorId="0" shapeId="0" xr:uid="{00000000-0006-0000-0600-00000A000000}">
      <text>
        <r>
          <rPr>
            <sz val="11"/>
            <color theme="1"/>
            <rFont val="Calibri"/>
            <family val="2"/>
            <scheme val="minor"/>
          </rPr>
          <t>======
ID#AAABbnJBVzE
Luke Brennan    (2025-01-14 21:09:38)
This formula uses a hardcoded value for the backlog balance at YE15, then adds all new orders for 2016 and subtracts all revenues which should equal the balance of the backlog at YE16, i.e. 4Q16 balance</t>
        </r>
      </text>
    </comment>
    <comment ref="M160" authorId="0" shapeId="0" xr:uid="{00000000-0006-0000-0600-00000D000000}">
      <text>
        <r>
          <rPr>
            <sz val="11"/>
            <color theme="1"/>
            <rFont val="Calibri"/>
            <family val="2"/>
            <scheme val="minor"/>
          </rPr>
          <t>======
ID#AAABbnJBVx4
Luke Brennan    (2025-01-14 21:09:38)
Drop in backlog and therefore major decline in new orders is due to the initiation of GBS segment which pulled some of its business from CA segment</t>
        </r>
      </text>
    </comment>
    <comment ref="J172" authorId="0" shapeId="0" xr:uid="{00000000-0006-0000-0600-000005000000}">
      <text>
        <r>
          <rPr>
            <sz val="11"/>
            <color theme="1"/>
            <rFont val="Calibri"/>
            <family val="2"/>
            <scheme val="minor"/>
          </rPr>
          <t>======
ID#AAABbnJBV1Y
Luke Brennan    (2025-01-14 21:09:38)
This formula uses a hardcoded value for the backlog balance at YE15, then adds all new orders for 2016 and subtracts all revenues which should equal the balance of the backlog at YE16, i.e. 4Q16 balance</t>
        </r>
      </text>
    </comment>
    <comment ref="M172" authorId="0" shapeId="0" xr:uid="{00000000-0006-0000-0600-000001000000}">
      <text>
        <r>
          <rPr>
            <sz val="11"/>
            <color theme="1"/>
            <rFont val="Calibri"/>
            <family val="2"/>
            <scheme val="minor"/>
          </rPr>
          <t>======
ID#AAABbnJBV2Q
Luke Brennan    (2025-01-14 21:09:38)
Major drop in backlog and therefore negative new orders is due to the initiation of GBS segment which pulled the majority of its business from DSS segment</t>
        </r>
      </text>
    </comment>
    <comment ref="J184" authorId="0" shapeId="0" xr:uid="{00000000-0006-0000-0600-000008000000}">
      <text>
        <r>
          <rPr>
            <sz val="11"/>
            <color theme="1"/>
            <rFont val="Calibri"/>
            <family val="2"/>
            <scheme val="minor"/>
          </rPr>
          <t>======
ID#AAABbnJBV0w
Luke Brennan    (2025-01-14 21:09:38)
This formula uses a hardcoded value for the backlog balance at YE15, then adds all new orders for 2016 and subtracts all revenues which should equal the balance of the backlog at YE16, i.e. 4Q16 balance</t>
        </r>
      </text>
    </comment>
    <comment ref="M184" authorId="0" shapeId="0" xr:uid="{00000000-0006-0000-0600-00000E000000}">
      <text>
        <r>
          <rPr>
            <sz val="11"/>
            <color theme="1"/>
            <rFont val="Calibri"/>
            <family val="2"/>
            <scheme val="minor"/>
          </rPr>
          <t>======
ID#AAABbnJBVxE
Luke Brennan    (2025-01-14 21:09:38)
Major drop in backlog and therefore negative new orders is due to the initiation of GBS segment which pulled the majority of its business from DSS segment</t>
        </r>
      </text>
    </comment>
    <comment ref="J196" authorId="0" shapeId="0" xr:uid="{00000000-0006-0000-0600-00000B000000}">
      <text>
        <r>
          <rPr>
            <sz val="11"/>
            <color theme="1"/>
            <rFont val="Calibri"/>
            <family val="2"/>
            <scheme val="minor"/>
          </rPr>
          <t>======
ID#AAABbnJBVyM
Luke Brennan    (2025-01-14 21:09:38)
This formula uses a hardcoded value for the backlog balance at YE15, then adds all new orders for 2016 and subtracts all revenues which should equal the balance of the backlog at YE16, i.e. 4Q16 balance</t>
        </r>
      </text>
    </comment>
    <comment ref="O196" authorId="0" shapeId="0" xr:uid="{00000000-0006-0000-0600-000006000000}">
      <text>
        <r>
          <rPr>
            <sz val="11"/>
            <color theme="1"/>
            <rFont val="Calibri"/>
            <family val="2"/>
            <scheme val="minor"/>
          </rPr>
          <t>======
ID#AAABbnJBV1U
Luke Brennan    (2025-01-14 21:09:38)
This formula uses a hardcoded value for the backlog balance at YE15, then adds all new orders for 2016 and subtracts all revenues which should equal the balance of the backlog at YE16, i.e. 4Q16 balance</t>
        </r>
      </text>
    </comment>
    <comment ref="M197" authorId="0" shapeId="0" xr:uid="{00000000-0006-0000-0600-000003000000}">
      <text>
        <r>
          <rPr>
            <sz val="11"/>
            <color theme="1"/>
            <rFont val="Calibri"/>
            <family val="2"/>
            <scheme val="minor"/>
          </rPr>
          <t>======
ID#AAABbnJBV14
Luke Brennan    (2025-01-14 21:09:38)
The 15,215 number is a retroactively calculated backlog balance for YE15 which was the best reported number I could find for a previous balance to calculate orders</t>
        </r>
      </text>
    </comment>
    <comment ref="J208" authorId="0" shapeId="0" xr:uid="{00000000-0006-0000-0600-00000C000000}">
      <text>
        <r>
          <rPr>
            <sz val="11"/>
            <color theme="1"/>
            <rFont val="Calibri"/>
            <family val="2"/>
            <scheme val="minor"/>
          </rPr>
          <t>======
ID#AAABbnJBVyE
Luke Brennan    (2025-01-14 21:09:38)
This formula uses a hardcoded value for the backlog balance at YE15, then adds all new orders for 2016 and subtracts all revenues which should equal the balance of the backlog at YE16, i.e. 4Q16 balance</t>
        </r>
      </text>
    </comment>
    <comment ref="M208" authorId="0" shapeId="0" xr:uid="{00000000-0006-0000-0600-000009000000}">
      <text>
        <r>
          <rPr>
            <sz val="11"/>
            <color theme="1"/>
            <rFont val="Calibri"/>
            <family val="2"/>
            <scheme val="minor"/>
          </rPr>
          <t>======
ID#AAABbnJBVzI
Luke Brennan    (2025-01-14 21:09:38)
Major drop in backlog and therefore negative new orders is due to the initiation of GBS segment which pulled the majority of its business from DSS segment</t>
        </r>
      </text>
    </comment>
  </commentList>
  <extLst>
    <ext xmlns:r="http://schemas.openxmlformats.org/officeDocument/2006/relationships" uri="GoogleSheetsCustomDataVersion2">
      <go:sheetsCustomData xmlns:go="http://customooxmlschemas.google.com/" r:id="rId1" roundtripDataSignature="AMtx7mj4w3Z9poJlEMu2Oh4GxcdJzulU1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Alexander Shukakidze</author>
    <author/>
  </authors>
  <commentList>
    <comment ref="C34" authorId="0" shapeId="0" xr:uid="{CBCB998B-051A-432D-BB33-84F4FE6D5EA4}">
      <text>
        <r>
          <rPr>
            <b/>
            <sz val="9"/>
            <color indexed="81"/>
            <rFont val="Tahoma"/>
            <family val="2"/>
          </rPr>
          <t>Alexander Shukakidze:</t>
        </r>
        <r>
          <rPr>
            <sz val="9"/>
            <color indexed="81"/>
            <rFont val="Tahoma"/>
            <family val="2"/>
          </rPr>
          <t xml:space="preserve">
Marketing and Salaries</t>
        </r>
      </text>
    </comment>
    <comment ref="C35" authorId="0" shapeId="0" xr:uid="{D3DD2B28-F589-4E73-9121-C29AC4CFA70D}">
      <text>
        <r>
          <rPr>
            <b/>
            <sz val="9"/>
            <color indexed="81"/>
            <rFont val="Tahoma"/>
            <family val="2"/>
          </rPr>
          <t>Alexander Shukakidze:</t>
        </r>
        <r>
          <rPr>
            <sz val="9"/>
            <color indexed="81"/>
            <rFont val="Tahoma"/>
            <family val="2"/>
          </rPr>
          <t xml:space="preserve">
Card Member Rewards, Business Development, Card Member Service</t>
        </r>
      </text>
    </comment>
    <comment ref="C38" authorId="0" shapeId="0" xr:uid="{D598AD92-97EA-47D6-AC22-C3619CD256F7}">
      <text>
        <r>
          <rPr>
            <b/>
            <sz val="9"/>
            <color indexed="81"/>
            <rFont val="Tahoma"/>
            <family val="2"/>
          </rPr>
          <t>Alexander Shukakidze:</t>
        </r>
        <r>
          <rPr>
            <sz val="9"/>
            <color indexed="81"/>
            <rFont val="Tahoma"/>
            <family val="2"/>
          </rPr>
          <t xml:space="preserve">
Other net (under Salaries and Employee Benefits)</t>
        </r>
      </text>
    </comment>
    <comment ref="C120" authorId="0" shapeId="0" xr:uid="{18CD632F-8D21-41BB-96A7-A4950233E53C}">
      <text>
        <r>
          <rPr>
            <b/>
            <sz val="9"/>
            <color indexed="81"/>
            <rFont val="Tahoma"/>
            <family val="2"/>
          </rPr>
          <t>Alexander Shukakidze:</t>
        </r>
        <r>
          <rPr>
            <sz val="9"/>
            <color indexed="81"/>
            <rFont val="Tahoma"/>
            <family val="2"/>
          </rPr>
          <t xml:space="preserve">
Cash and due from banks +Interest-bearing deposits in other banks +Short-term investment securities
</t>
        </r>
      </text>
    </comment>
    <comment ref="U121" authorId="0" shapeId="0" xr:uid="{B1E70DF3-8D96-494A-B50C-47925B0E5968}">
      <text>
        <r>
          <rPr>
            <b/>
            <sz val="9"/>
            <color indexed="81"/>
            <rFont val="Tahoma"/>
            <family val="2"/>
          </rPr>
          <t>Alexander Shukakidze:</t>
        </r>
        <r>
          <rPr>
            <sz val="9"/>
            <color indexed="81"/>
            <rFont val="Tahoma"/>
            <family val="2"/>
          </rPr>
          <t xml:space="preserve">
Stopped breaking it out as Card Member Recievables and Card Member Loans instead now combined</t>
        </r>
      </text>
    </comment>
    <comment ref="C123" authorId="1" shapeId="0" xr:uid="{00000000-0006-0000-0700-000011000000}">
      <text>
        <r>
          <rPr>
            <sz val="11"/>
            <color theme="1"/>
            <rFont val="Calibri"/>
            <family val="2"/>
            <scheme val="minor"/>
          </rPr>
          <t>======
ID#AAABbnJBVzo
Luke Brennan    (2025-01-14 21:09:38)
Short-Term and Other Investments
and Current Portion of Customer Financing, net</t>
        </r>
      </text>
    </comment>
    <comment ref="C126" authorId="0" shapeId="0" xr:uid="{9E93506C-76A5-4791-ADD4-5E453A3795AC}">
      <text>
        <r>
          <rPr>
            <b/>
            <sz val="9"/>
            <color indexed="81"/>
            <rFont val="Tahoma"/>
            <family val="2"/>
          </rPr>
          <t>Alexander Shukakidze:</t>
        </r>
        <r>
          <rPr>
            <sz val="9"/>
            <color indexed="81"/>
            <rFont val="Tahoma"/>
            <family val="2"/>
          </rPr>
          <t xml:space="preserve">
Premises and equipment, less accumulated depreciation and amortization:</t>
        </r>
      </text>
    </comment>
    <comment ref="N127" authorId="0" shapeId="0" xr:uid="{13163DCB-F22A-44F8-B638-4FB0897CE2E9}">
      <text>
        <r>
          <rPr>
            <b/>
            <sz val="9"/>
            <color indexed="81"/>
            <rFont val="Tahoma"/>
            <family val="2"/>
          </rPr>
          <t>Alexander Shukakidze:</t>
        </r>
        <r>
          <rPr>
            <sz val="9"/>
            <color indexed="81"/>
            <rFont val="Tahoma"/>
            <family val="2"/>
          </rPr>
          <t xml:space="preserve">
From this point on Card Member loans + Card Member loans held for sale</t>
        </r>
      </text>
    </comment>
    <comment ref="U127" authorId="0" shapeId="0" xr:uid="{A33F13FF-17A4-42F6-9FA5-0F841F2065FF}">
      <text>
        <r>
          <rPr>
            <b/>
            <sz val="9"/>
            <color indexed="81"/>
            <rFont val="Tahoma"/>
            <family val="2"/>
          </rPr>
          <t>Alexander Shukakidze:</t>
        </r>
        <r>
          <rPr>
            <sz val="9"/>
            <color indexed="81"/>
            <rFont val="Tahoma"/>
            <family val="2"/>
          </rPr>
          <t xml:space="preserve">
Card balances + Card balances held for sale
</t>
        </r>
      </text>
    </comment>
    <comment ref="C129" authorId="0" shapeId="0" xr:uid="{EBE4D068-D5C9-4D6F-ADDB-0D29B60AA23D}">
      <text>
        <r>
          <rPr>
            <b/>
            <sz val="9"/>
            <color indexed="81"/>
            <rFont val="Tahoma"/>
            <family val="2"/>
          </rPr>
          <t>Alexander Shukakidze:</t>
        </r>
        <r>
          <rPr>
            <sz val="9"/>
            <color indexed="81"/>
            <rFont val="Tahoma"/>
            <family val="2"/>
          </rPr>
          <t xml:space="preserve">
Other assets, less reserves for credit losses+ Other loans, less reserves for credit losses</t>
        </r>
      </text>
    </comment>
    <comment ref="C150" authorId="1" shapeId="0" xr:uid="{00000000-0006-0000-0700-000019000000}">
      <text>
        <r>
          <rPr>
            <sz val="11"/>
            <color theme="1"/>
            <rFont val="Calibri"/>
            <family val="2"/>
            <scheme val="minor"/>
          </rPr>
          <t>======
ID#AAABbnJBVyk
Luke Brennan    (2025-01-14 21:09:38)
Includes FX translation adjustment, unrealized gain (loss) on derivative financial instruments, unrealized gain (loss) on available-for-sale securities, unrealized costs associated with certain retirement plan</t>
        </r>
      </text>
    </comment>
    <comment ref="C158" authorId="1" shapeId="0" xr:uid="{00000000-0006-0000-0700-000003000000}">
      <text>
        <r>
          <rPr>
            <sz val="11"/>
            <color theme="1"/>
            <rFont val="Calibri"/>
            <family val="2"/>
            <scheme val="minor"/>
          </rPr>
          <t>======
ID#AAABbnJBV2I
Luke Brennan    (2025-01-14 21:09:38)
"Check" means everything is good
Positive number means the BS is asset-heavy
Negative number means the BS is asset-light</t>
        </r>
      </text>
    </comment>
    <comment ref="C193" authorId="0" shapeId="0" xr:uid="{3FF4E316-9AF7-43A1-9C94-D102E6AE33B4}">
      <text>
        <r>
          <rPr>
            <b/>
            <sz val="9"/>
            <color indexed="81"/>
            <rFont val="Tahoma"/>
            <family val="2"/>
          </rPr>
          <t>Alexander Shukakidze:</t>
        </r>
        <r>
          <rPr>
            <sz val="9"/>
            <color indexed="81"/>
            <rFont val="Tahoma"/>
            <family val="2"/>
          </rPr>
          <t xml:space="preserve">
Purchase of premises and equipment, net of sales</t>
        </r>
      </text>
    </comment>
    <comment ref="C194" authorId="0" shapeId="0" xr:uid="{5A8928A1-58A1-4E79-B217-CAE56A120A7B}">
      <text>
        <r>
          <rPr>
            <b/>
            <sz val="9"/>
            <color indexed="81"/>
            <rFont val="Tahoma"/>
            <family val="2"/>
          </rPr>
          <t>Alexander Shukakidze:</t>
        </r>
        <r>
          <rPr>
            <sz val="9"/>
            <color indexed="81"/>
            <rFont val="Tahoma"/>
            <family val="2"/>
          </rPr>
          <t xml:space="preserve">
Plugged from depreciation expense in segment analysis since no breakdown per sector</t>
        </r>
      </text>
    </comment>
    <comment ref="C210" authorId="0" shapeId="0" xr:uid="{7AC81B7C-E969-4246-92C5-68B6D24A3CB3}">
      <text>
        <r>
          <rPr>
            <b/>
            <sz val="9"/>
            <color indexed="81"/>
            <rFont val="Tahoma"/>
            <family val="2"/>
          </rPr>
          <t>Alexander Shukakidze:</t>
        </r>
        <r>
          <rPr>
            <sz val="9"/>
            <color indexed="81"/>
            <rFont val="Tahoma"/>
            <family val="2"/>
          </rPr>
          <t xml:space="preserve">
Harcoded Yearly because BB shows annual, no breakout on 10k or 10Q</t>
        </r>
      </text>
    </comment>
    <comment ref="C239" authorId="0" shapeId="0" xr:uid="{57316F44-DFCB-414C-9411-9316F8CF402D}">
      <text>
        <r>
          <rPr>
            <b/>
            <sz val="9"/>
            <color indexed="81"/>
            <rFont val="Tahoma"/>
            <family val="2"/>
          </rPr>
          <t>Alexander Shukakidze:</t>
        </r>
        <r>
          <rPr>
            <sz val="9"/>
            <color indexed="81"/>
            <rFont val="Tahoma"/>
            <family val="2"/>
          </rPr>
          <t xml:space="preserve">
Average Price Paid Per Share </t>
        </r>
      </text>
    </comment>
    <comment ref="C241" authorId="0" shapeId="0" xr:uid="{93F66F99-3782-46D7-B6FE-913E13CAE6AD}">
      <text>
        <r>
          <rPr>
            <b/>
            <sz val="9"/>
            <color indexed="81"/>
            <rFont val="Tahoma"/>
            <family val="2"/>
          </rPr>
          <t>Alexander Shukakidze:</t>
        </r>
        <r>
          <rPr>
            <sz val="9"/>
            <color indexed="81"/>
            <rFont val="Tahoma"/>
            <family val="2"/>
          </rPr>
          <t xml:space="preserve">
Repurchase of common shares</t>
        </r>
      </text>
    </comment>
    <comment ref="C254" authorId="0" shapeId="0" xr:uid="{5F8EA34B-52A1-44FD-B014-8922706C1B9E}">
      <text>
        <r>
          <rPr>
            <b/>
            <sz val="9"/>
            <color indexed="81"/>
            <rFont val="Tahoma"/>
            <family val="2"/>
          </rPr>
          <t>Alexander Shukakidze:</t>
        </r>
        <r>
          <rPr>
            <sz val="9"/>
            <color indexed="81"/>
            <rFont val="Tahoma"/>
            <family val="2"/>
          </rPr>
          <t xml:space="preserve">
Cash dividends declared preferred Series D+Cash dividends declared common</t>
        </r>
      </text>
    </comment>
    <comment ref="C282" authorId="0" shapeId="0" xr:uid="{C732B334-85D4-4C37-B1A0-C274B535956B}">
      <text>
        <r>
          <rPr>
            <b/>
            <sz val="9"/>
            <color indexed="81"/>
            <rFont val="Tahoma"/>
            <family val="2"/>
          </rPr>
          <t>Alexander Shukakidze:</t>
        </r>
        <r>
          <rPr>
            <sz val="9"/>
            <color indexed="81"/>
            <rFont val="Tahoma"/>
            <family val="2"/>
          </rPr>
          <t xml:space="preserve">
Basic: Weighted-average common stock</t>
        </r>
      </text>
    </comment>
    <comment ref="C299" authorId="1" shapeId="0" xr:uid="{00000000-0006-0000-0700-00001D000000}">
      <text>
        <r>
          <rPr>
            <sz val="11"/>
            <color theme="1"/>
            <rFont val="Calibri"/>
            <family val="2"/>
            <scheme val="minor"/>
          </rPr>
          <t>======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V319" authorId="1" shapeId="0" xr:uid="{420B588D-F1A4-49B8-862A-3190D222D6BA}">
      <text>
        <r>
          <rPr>
            <sz val="11"/>
            <color theme="1"/>
            <rFont val="Calibri"/>
            <family val="2"/>
            <scheme val="minor"/>
          </rPr>
          <t>======
ID#AAABbnJBVzU
Luke Brennan    (2025-01-14 21:09:38)
Very Important to remember that this is quarterly! If you are looking up the company's debt schedule and rates, divide by 4!</t>
        </r>
      </text>
    </comment>
    <comment ref="W319" authorId="1" shapeId="0" xr:uid="{18995EEF-C9C3-454D-80D4-73CEDA00EB9E}">
      <text>
        <r>
          <rPr>
            <sz val="11"/>
            <color theme="1"/>
            <rFont val="Calibri"/>
            <family val="2"/>
            <scheme val="minor"/>
          </rPr>
          <t>======
ID#AAABbnJBVyU
Luke Brennan    (2025-01-14 21:09:38)
Very Important to remember that this is quarterly! If you are looking up the company's debt schedule and rates, divide by 4!</t>
        </r>
      </text>
    </comment>
    <comment ref="X319" authorId="1" shapeId="0" xr:uid="{AAEA6D8C-D37C-49AD-B63A-6F51D57FD396}">
      <text>
        <r>
          <rPr>
            <sz val="11"/>
            <color theme="1"/>
            <rFont val="Calibri"/>
            <family val="2"/>
            <scheme val="minor"/>
          </rPr>
          <t>======
ID#AAABbnJBVyg
Luke Brennan    (2025-01-14 21:09:38)
Very Important to remember that this is quarterly! If you are looking up the company's debt schedule and rates, divide by 4!</t>
        </r>
      </text>
    </comment>
    <comment ref="Z319" authorId="1" shapeId="0" xr:uid="{00000000-0006-0000-0700-00001F000000}">
      <text>
        <r>
          <rPr>
            <sz val="11"/>
            <color theme="1"/>
            <rFont val="Calibri"/>
            <family val="2"/>
            <scheme val="minor"/>
          </rPr>
          <t>======
ID#AAABbnJBVyA
Luke Brennan    (2025-01-14 21:09:38)
Very Important to remember that this is quarterly! If you are looking up the company's debt schedule and rates, divide by 4!</t>
        </r>
      </text>
    </comment>
    <comment ref="AA319" authorId="1" shapeId="0" xr:uid="{00000000-0006-0000-0700-000014000000}">
      <text>
        <r>
          <rPr>
            <sz val="11"/>
            <color theme="1"/>
            <rFont val="Calibri"/>
            <family val="2"/>
            <scheme val="minor"/>
          </rPr>
          <t>======
ID#AAABbnJBVzU
Luke Brennan    (2025-01-14 21:09:38)
Very Important to remember that this is quarterly! If you are looking up the company's debt schedule and rates, divide by 4!</t>
        </r>
      </text>
    </comment>
    <comment ref="AB319" authorId="1" shapeId="0" xr:uid="{00000000-0006-0000-0700-00001C000000}">
      <text>
        <r>
          <rPr>
            <sz val="11"/>
            <color theme="1"/>
            <rFont val="Calibri"/>
            <family val="2"/>
            <scheme val="minor"/>
          </rPr>
          <t>======
ID#AAABbnJBVyU
Luke Brennan    (2025-01-14 21:09:38)
Very Important to remember that this is quarterly! If you are looking up the company's debt schedule and rates, divide by 4!</t>
        </r>
      </text>
    </comment>
    <comment ref="AC319" authorId="1" shapeId="0" xr:uid="{00000000-0006-0000-0700-00001A000000}">
      <text>
        <r>
          <rPr>
            <sz val="11"/>
            <color theme="1"/>
            <rFont val="Calibri"/>
            <family val="2"/>
            <scheme val="minor"/>
          </rPr>
          <t>======
ID#AAABbnJBVyg
Luke Brennan    (2025-01-14 21:09:38)
Very Important to remember that this is quarterly! If you are looking up the company's debt schedule and rates, divide by 4!</t>
        </r>
      </text>
    </comment>
    <comment ref="AE319" authorId="1" shapeId="0" xr:uid="{00000000-0006-0000-0700-000001000000}">
      <text>
        <r>
          <rPr>
            <sz val="11"/>
            <color theme="1"/>
            <rFont val="Calibri"/>
            <family val="2"/>
            <scheme val="minor"/>
          </rPr>
          <t>======
ID#AAABbnJBV2g
Luke Brennan    (2025-01-14 21:09:38)
Very Important to remember that this is quarterly! If you are looking up the company's debt schedule and rates, divide by 4!</t>
        </r>
      </text>
    </comment>
    <comment ref="AF319" authorId="1" shapeId="0" xr:uid="{00000000-0006-0000-0700-000013000000}">
      <text>
        <r>
          <rPr>
            <sz val="11"/>
            <color theme="1"/>
            <rFont val="Calibri"/>
            <family val="2"/>
            <scheme val="minor"/>
          </rPr>
          <t>======
ID#AAABbnJBVzc
Luke Brennan    (2025-01-14 21:09:38)
Very Important to remember that this is quarterly! If you are looking up the company's debt schedule and rates, divide by 4!</t>
        </r>
      </text>
    </comment>
    <comment ref="AG319" authorId="1" shapeId="0" xr:uid="{00000000-0006-0000-0700-000012000000}">
      <text>
        <r>
          <rPr>
            <sz val="11"/>
            <color theme="1"/>
            <rFont val="Calibri"/>
            <family val="2"/>
            <scheme val="minor"/>
          </rPr>
          <t>======
ID#AAABbnJBVzg
Luke Brennan    (2025-01-14 21:09:38)
Very Important to remember that this is quarterly! If you are looking up the company's debt schedule and rates, divide by 4!</t>
        </r>
      </text>
    </comment>
  </commentList>
  <extLst>
    <ext xmlns:r="http://schemas.openxmlformats.org/officeDocument/2006/relationships" uri="GoogleSheetsCustomDataVersion2">
      <go:sheetsCustomData xmlns:go="http://customooxmlschemas.google.com/" r:id="rId1" roundtripDataSignature="AMtx7mj8nfSMsHOAoKkOrimS9JbeRm4FQ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Alexander Shukakidze</author>
    <author/>
  </authors>
  <commentList>
    <comment ref="C7" authorId="0" shapeId="0" xr:uid="{C9D81F58-C3A5-4D47-B096-1F54065BA6C4}">
      <text>
        <r>
          <rPr>
            <b/>
            <sz val="9"/>
            <color indexed="81"/>
            <rFont val="Tahoma"/>
            <family val="2"/>
          </rPr>
          <t>Alexander Shukakidze:</t>
        </r>
        <r>
          <rPr>
            <sz val="9"/>
            <color indexed="81"/>
            <rFont val="Tahoma"/>
            <family val="2"/>
          </rPr>
          <t xml:space="preserve">
Non Interest Revenue + NII</t>
        </r>
      </text>
    </comment>
    <comment ref="C10" authorId="0" shapeId="0" xr:uid="{50561162-1799-4957-A0F1-8A2C49060A81}">
      <text>
        <r>
          <rPr>
            <b/>
            <sz val="9"/>
            <color indexed="81"/>
            <rFont val="Tahoma"/>
            <family val="2"/>
          </rPr>
          <t>Alexander Shukakidze:</t>
        </r>
        <r>
          <rPr>
            <sz val="9"/>
            <color indexed="81"/>
            <rFont val="Tahoma"/>
            <family val="2"/>
          </rPr>
          <t xml:space="preserve">
Service Fees and Other + Processed</t>
        </r>
      </text>
    </comment>
    <comment ref="P10" authorId="0" shapeId="0" xr:uid="{A810C970-9E22-4887-B27C-AE9023763B6C}">
      <text>
        <r>
          <rPr>
            <b/>
            <sz val="9"/>
            <color indexed="81"/>
            <rFont val="Tahoma"/>
            <family val="2"/>
          </rPr>
          <t>Alexander Shukakidze:</t>
        </r>
        <r>
          <rPr>
            <sz val="9"/>
            <color indexed="81"/>
            <rFont val="Tahoma"/>
            <family val="2"/>
          </rPr>
          <t xml:space="preserve">
Stopped breaking down revenue from Processed seperately consolidated into Service fees now</t>
        </r>
      </text>
    </comment>
    <comment ref="U10" authorId="0" shapeId="0" xr:uid="{006D1FDD-666F-42B4-9266-89E211C26CC0}">
      <text>
        <r>
          <rPr>
            <b/>
            <sz val="9"/>
            <color indexed="81"/>
            <rFont val="Tahoma"/>
            <family val="2"/>
          </rPr>
          <t>Alexander Shukakidze:</t>
        </r>
        <r>
          <rPr>
            <sz val="9"/>
            <color indexed="81"/>
            <rFont val="Tahoma"/>
            <family val="2"/>
          </rPr>
          <t xml:space="preserve">
Stopped breaking down revenue from Processed seperately consolidated into Service fees now</t>
        </r>
      </text>
    </comment>
    <comment ref="C33" authorId="0" shapeId="0" xr:uid="{ABD833B2-7EBD-4171-8A91-D8FFDEF81F55}">
      <text>
        <r>
          <rPr>
            <b/>
            <sz val="9"/>
            <color indexed="81"/>
            <rFont val="Tahoma"/>
            <family val="2"/>
          </rPr>
          <t>Alexander Shukakidze:</t>
        </r>
        <r>
          <rPr>
            <sz val="9"/>
            <color indexed="81"/>
            <rFont val="Tahoma"/>
            <family val="2"/>
          </rPr>
          <t xml:space="preserve">
Sourced these from Pretax income</t>
        </r>
      </text>
    </comment>
    <comment ref="C38" authorId="1" shapeId="0" xr:uid="{00000000-0006-0000-0800-000002000000}">
      <text>
        <r>
          <rPr>
            <sz val="11"/>
            <color theme="1"/>
            <rFont val="Calibri"/>
            <family val="2"/>
            <scheme val="minor"/>
          </rPr>
          <t>======
ID#AAABbnJBVxw
Luke Brennan    (2025-01-14 21:09:38)
Used to check if the top-down calculation of operating income matches the number here</t>
        </r>
      </text>
    </comment>
    <comment ref="C46" authorId="0" shapeId="0" xr:uid="{4048F4C8-3E39-43B6-B9D3-D506C0C72145}">
      <text>
        <r>
          <rPr>
            <b/>
            <sz val="9"/>
            <color indexed="81"/>
            <rFont val="Tahoma"/>
            <family val="2"/>
          </rPr>
          <t>Alexander Shukakidze:</t>
        </r>
        <r>
          <rPr>
            <sz val="9"/>
            <color indexed="81"/>
            <rFont val="Tahoma"/>
            <family val="2"/>
          </rPr>
          <t xml:space="preserve">
There is no breakdown per segment so bundled it all together under 1 segment
</t>
        </r>
      </text>
    </comment>
    <comment ref="C50" authorId="1" shapeId="0" xr:uid="{00000000-0006-0000-0800-000001000000}">
      <text>
        <r>
          <rPr>
            <sz val="11"/>
            <color theme="1"/>
            <rFont val="Calibri"/>
            <family val="2"/>
            <scheme val="minor"/>
          </rPr>
          <t>======
ID#AAABbnJBVzA
Luke Brennan    (2025-01-14 21:09:38)
Used to check if the top-down calculation of operating income matches the number here</t>
        </r>
      </text>
    </comment>
  </commentList>
  <extLst>
    <ext xmlns:r="http://schemas.openxmlformats.org/officeDocument/2006/relationships" uri="GoogleSheetsCustomDataVersion2">
      <go:sheetsCustomData xmlns:go="http://customooxmlschemas.google.com/" r:id="rId1" roundtripDataSignature="AMtx7mhwim0SGkuSXKPf4u0DC82ce7lJi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Alexander Shukakidze</author>
  </authors>
  <commentList>
    <comment ref="C40" authorId="0" shapeId="0" xr:uid="{DA9F3B4F-FDBA-47FE-9C5C-A772B96469E9}">
      <text>
        <r>
          <rPr>
            <b/>
            <sz val="9"/>
            <color indexed="81"/>
            <rFont val="Tahoma"/>
            <charset val="1"/>
          </rPr>
          <t>Alexander Shukakidze:</t>
        </r>
        <r>
          <rPr>
            <sz val="9"/>
            <color indexed="81"/>
            <rFont val="Tahoma"/>
            <charset val="1"/>
          </rPr>
          <t xml:space="preserve">
Coming down as AXP benefits from improved marketing ROI from LLM and Data Moat
</t>
        </r>
      </text>
    </comment>
    <comment ref="C45" authorId="0" shapeId="0" xr:uid="{FC8D057C-E534-4589-A3E9-B68B0BD19A04}">
      <text>
        <r>
          <rPr>
            <b/>
            <sz val="9"/>
            <color indexed="81"/>
            <rFont val="Tahoma"/>
            <charset val="1"/>
          </rPr>
          <t>Alexander Shukakidze:</t>
        </r>
        <r>
          <rPr>
            <sz val="9"/>
            <color indexed="81"/>
            <rFont val="Tahoma"/>
            <charset val="1"/>
          </rPr>
          <t xml:space="preserve">
Increasing as a part of improved Reward offerings from Plat refresh</t>
        </r>
      </text>
    </comment>
    <comment ref="C60" authorId="0" shapeId="0" xr:uid="{98834BF8-9D0F-4D39-914C-C2A0371E7F0C}">
      <text>
        <r>
          <rPr>
            <b/>
            <sz val="9"/>
            <color indexed="81"/>
            <rFont val="Tahoma"/>
            <charset val="1"/>
          </rPr>
          <t>Alexander Shukakidze:</t>
        </r>
        <r>
          <rPr>
            <sz val="9"/>
            <color indexed="81"/>
            <rFont val="Tahoma"/>
            <charset val="1"/>
          </rPr>
          <t xml:space="preserve">
Expected to stay stable as AXP reaches its $5bn tech investment goal, even slight increase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42" authorId="0" shapeId="0" xr:uid="{00000000-0006-0000-0A00-000001000000}">
      <text>
        <r>
          <rPr>
            <sz val="11"/>
            <color theme="1"/>
            <rFont val="Calibri"/>
            <family val="2"/>
            <scheme val="minor"/>
          </rPr>
          <t>======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extLst>
    <ext xmlns:r="http://schemas.openxmlformats.org/officeDocument/2006/relationships" uri="GoogleSheetsCustomDataVersion2">
      <go:sheetsCustomData xmlns:go="http://customooxmlschemas.google.com/" r:id="rId1" roundtripDataSignature="AMtx7mh0quRg3FMqPs0PjeTwShKNvodgM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G6" authorId="0" shapeId="0" xr:uid="{00000000-0006-0000-0C00-000001000000}">
      <text>
        <r>
          <rPr>
            <sz val="11"/>
            <color theme="1"/>
            <rFont val="Calibri"/>
            <family val="2"/>
            <scheme val="minor"/>
          </rPr>
          <t>======
ID#AAABbnJBV2U
Luke Brennan    (2025-01-14 21:09:38)
Yield on U.S. 10-Year Treasury bond</t>
        </r>
      </text>
    </comment>
    <comment ref="G7" authorId="0" shapeId="0" xr:uid="{00000000-0006-0000-0C00-000005000000}">
      <text>
        <r>
          <rPr>
            <sz val="11"/>
            <color theme="1"/>
            <rFont val="Calibri"/>
            <family val="2"/>
            <scheme val="minor"/>
          </rPr>
          <t>======
ID#AAABbnJBVys
Luke Brennan    (2025-01-14 21:09:38)
Aug 1 ERP</t>
        </r>
      </text>
    </comment>
    <comment ref="G8" authorId="0" shapeId="0" xr:uid="{00000000-0006-0000-0C00-00000A000000}">
      <text>
        <r>
          <rPr>
            <sz val="11"/>
            <color theme="1"/>
            <rFont val="Calibri"/>
            <family val="2"/>
            <scheme val="minor"/>
          </rPr>
          <t>======
ID#AAABbnJBVxQ
Luke Brennan    (2025-01-14 21:09:38)
Can be sourced from Bloomberg's WACC function. Use the rate on company's bonds</t>
        </r>
      </text>
    </comment>
    <comment ref="Q20" authorId="0" shapeId="0" xr:uid="{00000000-0006-0000-0C00-000008000000}">
      <text>
        <r>
          <rPr>
            <sz val="11"/>
            <color theme="1"/>
            <rFont val="Calibri"/>
            <family val="2"/>
            <scheme val="minor"/>
          </rPr>
          <t>======
ID#AAABbnJBVxk
Luke Brennan    (2025-01-14 21:09:38)
This is a check to make sure the center WACC value equals the value above in cell N13. Will display "FALSE" if values do not match</t>
        </r>
      </text>
    </comment>
    <comment ref="K26" authorId="0" shapeId="0" xr:uid="{00000000-0006-0000-0C00-000003000000}">
      <text>
        <r>
          <rPr>
            <sz val="11"/>
            <color theme="1"/>
            <rFont val="Calibri"/>
            <family val="2"/>
            <scheme val="minor"/>
          </rPr>
          <t>======
ID#AAABbnJBV04
Luke Brennan    (2025-01-14 21:09:38)
Hard-code value from toggles below by doing "paste special values"</t>
        </r>
      </text>
    </comment>
    <comment ref="N33" authorId="0" shapeId="0" xr:uid="{00000000-0006-0000-0C00-000002000000}">
      <text>
        <r>
          <rPr>
            <sz val="11"/>
            <color theme="1"/>
            <rFont val="Calibri"/>
            <family val="2"/>
            <scheme val="minor"/>
          </rPr>
          <t>======
ID#AAABbnJBV2E
Luke Brennan    (2025-01-14 21:09:38)
This is a check to make sure the pre-tax cost mid-point is equal to the mid-point in the data table on the X-axis. Will display "FALSE" if values do not match</t>
        </r>
      </text>
    </comment>
    <comment ref="N36" authorId="0" shapeId="0" xr:uid="{00000000-0006-0000-0C00-000007000000}">
      <text>
        <r>
          <rPr>
            <sz val="11"/>
            <color theme="1"/>
            <rFont val="Calibri"/>
            <family val="2"/>
            <scheme val="minor"/>
          </rPr>
          <t>======
ID#AAABbnJBVx0
Luke Brennan    (2025-01-14 21:09:38)
This is a check to make sure the Debt / Total Cap mid-point is equal to the mid-point in the data table on the Y-axis. Will display "FALSE" if values do not match</t>
        </r>
      </text>
    </comment>
    <comment ref="K43" authorId="0" shapeId="0" xr:uid="{00000000-0006-0000-0C00-000009000000}">
      <text>
        <r>
          <rPr>
            <sz val="11"/>
            <color theme="1"/>
            <rFont val="Calibri"/>
            <family val="2"/>
            <scheme val="minor"/>
          </rPr>
          <t>======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extLst>
    <ext xmlns:r="http://schemas.openxmlformats.org/officeDocument/2006/relationships" uri="GoogleSheetsCustomDataVersion2">
      <go:sheetsCustomData xmlns:go="http://customooxmlschemas.google.com/" r:id="rId1" roundtripDataSignature="AMtx7mhb82OR5pf7cSxWHwY8dFK0G1EEnA=="/>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W4" authorId="0" shapeId="0" xr:uid="{00000000-0006-0000-0D00-000003000000}">
      <text>
        <r>
          <rPr>
            <sz val="11"/>
            <color theme="1"/>
            <rFont val="Calibri"/>
            <family val="2"/>
            <scheme val="minor"/>
          </rPr>
          <t>======
ID#AAABbnJBV0k
Hunter Kornfeind    (2025-01-14 21:09:38)
This confirms if your weights = 100%. If they do not equal 100%, it will say "Check."</t>
        </r>
      </text>
    </comment>
    <comment ref="R47" authorId="0" shapeId="0" xr:uid="{00000000-0006-0000-0D00-000004000000}">
      <text>
        <r>
          <rPr>
            <sz val="11"/>
            <color theme="1"/>
            <rFont val="Calibri"/>
            <family val="2"/>
            <scheme val="minor"/>
          </rPr>
          <t>======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214" authorId="0" shapeId="0" xr:uid="{00000000-0006-0000-0D00-000005000000}">
      <text>
        <r>
          <rPr>
            <sz val="11"/>
            <color theme="1"/>
            <rFont val="Calibri"/>
            <family val="2"/>
            <scheme val="minor"/>
          </rPr>
          <t>======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extLst>
    <ext xmlns:r="http://schemas.openxmlformats.org/officeDocument/2006/relationships" uri="GoogleSheetsCustomDataVersion2">
      <go:sheetsCustomData xmlns:go="http://customooxmlschemas.google.com/" r:id="rId1" roundtripDataSignature="AMtx7mhdBEh67LlK5g1nK4nRd9uOt7AuPg=="/>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E00-000001000000}">
      <text>
        <r>
          <rPr>
            <sz val="11"/>
            <color theme="1"/>
            <rFont val="Calibri"/>
            <family val="2"/>
            <scheme val="minor"/>
          </rPr>
          <t>======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extLst>
    <ext xmlns:r="http://schemas.openxmlformats.org/officeDocument/2006/relationships" uri="GoogleSheetsCustomDataVersion2">
      <go:sheetsCustomData xmlns:go="http://customooxmlschemas.google.com/" r:id="rId1" roundtripDataSignature="AMtx7mgApa0feoRwY1TLYaTa5d37ELpnTQ=="/>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D52" authorId="0" shapeId="0" xr:uid="{00000000-0006-0000-0F00-000002000000}">
      <text>
        <r>
          <rPr>
            <sz val="11"/>
            <color theme="1"/>
            <rFont val="Calibri"/>
            <family val="2"/>
            <scheme val="minor"/>
          </rPr>
          <t>======
ID#AAABbnJBV1I
Luke Brennan    (2025-01-14 21:09:38)
Manual input for YoY growth in historical year (pull from 10-K, transcript, press release, etc.)</t>
        </r>
      </text>
    </comment>
    <comment ref="L52" authorId="0" shapeId="0" xr:uid="{00000000-0006-0000-0F00-000007000000}">
      <text>
        <r>
          <rPr>
            <sz val="11"/>
            <color theme="1"/>
            <rFont val="Calibri"/>
            <family val="2"/>
            <scheme val="minor"/>
          </rPr>
          <t>======
ID#AAABbnJBV0Q
Luke brennan    (2025-01-14 21:09:38)
Manual input for YoY growth in historical year (pull from 10-K, transcript, press release, etc.)</t>
        </r>
      </text>
    </comment>
    <comment ref="E114" authorId="0" shapeId="0" xr:uid="{00000000-0006-0000-0F00-00000D000000}">
      <text>
        <r>
          <rPr>
            <sz val="11"/>
            <color theme="1"/>
            <rFont val="Calibri"/>
            <family val="2"/>
            <scheme val="minor"/>
          </rPr>
          <t>======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shapeId="0" xr:uid="{00000000-0006-0000-0F00-000009000000}">
      <text>
        <r>
          <rPr>
            <sz val="11"/>
            <color theme="1"/>
            <rFont val="Calibri"/>
            <family val="2"/>
            <scheme val="minor"/>
          </rPr>
          <t>======
ID#AAABbnJBVzQ
Luke Brennan    (2025-01-14 21:09:38)
Hard-code in from Bloomberg function "DDIS"</t>
        </r>
      </text>
    </comment>
    <comment ref="D154" authorId="0" shapeId="0" xr:uid="{00000000-0006-0000-0F00-000003000000}">
      <text>
        <r>
          <rPr>
            <sz val="11"/>
            <color theme="1"/>
            <rFont val="Calibri"/>
            <family val="2"/>
            <scheme val="minor"/>
          </rPr>
          <t>======
ID#AAABbnJBV0s
Luke Brennan    (2025-01-14 21:09:38)
This obviously should be modified to reflect your specific industry overview. Change as needed and hard-code numbers</t>
        </r>
      </text>
    </comment>
  </commentList>
  <extLst>
    <ext xmlns:r="http://schemas.openxmlformats.org/officeDocument/2006/relationships" uri="GoogleSheetsCustomDataVersion2">
      <go:sheetsCustomData xmlns:go="http://customooxmlschemas.google.com/" r:id="rId1" roundtripDataSignature="AMtx7mh+CQOYYnDouYPEgmvbRz+2mqSiHQ=="/>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C8" authorId="0" shapeId="0" xr:uid="{00000000-0006-0000-1000-000003000000}">
      <text>
        <r>
          <rPr>
            <sz val="11"/>
            <color theme="1"/>
            <rFont val="Calibri"/>
            <family val="2"/>
            <scheme val="minor"/>
          </rPr>
          <t>======
ID#AAABbnJBVzk
Luke S Brennan    (2025-01-14 21:09:38)
Feel free to make any of these charts any statistic you want. Just make sure they are pulling from the correct column in the comp table and have the correct format ($ vs % vs #)</t>
        </r>
      </text>
    </comment>
    <comment ref="O138" authorId="0" shapeId="0" xr:uid="{00000000-0006-0000-1000-000001000000}">
      <text>
        <r>
          <rPr>
            <sz val="11"/>
            <color theme="1"/>
            <rFont val="Calibri"/>
            <family val="2"/>
            <scheme val="minor"/>
          </rPr>
          <t>======
ID#AAABbnJBV1w
Hunter Kornfeind    (2025-01-14 21:09:38)
Change model company's bar color to Owl Fund red in chart.</t>
        </r>
      </text>
    </comment>
    <comment ref="O154" authorId="0" shapeId="0" xr:uid="{00000000-0006-0000-1000-000002000000}">
      <text>
        <r>
          <rPr>
            <sz val="11"/>
            <color theme="1"/>
            <rFont val="Calibri"/>
            <family val="2"/>
            <scheme val="minor"/>
          </rPr>
          <t>======
ID#AAABbnJBV0I
Hunter Kornfeind    (2025-01-14 21:09:38)
Change model company's bar color to Owl Fund red in chart.</t>
        </r>
      </text>
    </comment>
  </commentList>
  <extLst>
    <ext xmlns:r="http://schemas.openxmlformats.org/officeDocument/2006/relationships" uri="GoogleSheetsCustomDataVersion2">
      <go:sheetsCustomData xmlns:go="http://customooxmlschemas.google.com/" r:id="rId1" roundtripDataSignature="AMtx7mh1QRbCwIrchLe40UKMDahIj+0+RA=="/>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J4" authorId="0" shapeId="0" xr:uid="{00000000-0006-0000-1200-000001000000}">
      <text>
        <r>
          <rPr>
            <sz val="11"/>
            <color theme="1"/>
            <rFont val="Calibri"/>
            <family val="2"/>
            <scheme val="minor"/>
          </rPr>
          <t>======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extLst>
    <ext xmlns:r="http://schemas.openxmlformats.org/officeDocument/2006/relationships" uri="GoogleSheetsCustomDataVersion2">
      <go:sheetsCustomData xmlns:go="http://customooxmlschemas.google.com/" r:id="rId1" roundtripDataSignature="AMtx7mhJzCNmbPEirR+4rSrhd17RHUvltA=="/>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<sst xmlns="http://schemas.openxmlformats.org/spreadsheetml/2006/main" count="2260" uniqueCount="1159">
  <si>
    <t>x</t>
  </si>
  <si>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</si>
  <si>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</si>
  <si>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</si>
  <si>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</si>
  <si>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</si>
  <si>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</si>
  <si>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</si>
  <si>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</si>
  <si>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</si>
  <si>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</si>
  <si>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</si>
  <si>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</si>
  <si>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</si>
  <si>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</si>
  <si>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</si>
  <si>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</si>
  <si>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</si>
  <si>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</si>
  <si>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</si>
  <si>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</si>
  <si>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Lowe's Companies, Inc.</t>
  </si>
  <si>
    <t>Ticker</t>
  </si>
  <si>
    <t>LOW</t>
  </si>
  <si>
    <t>2009-2018 Late Cycle P/E</t>
  </si>
  <si>
    <t>Case Scenario</t>
  </si>
  <si>
    <t>Base</t>
  </si>
  <si>
    <t>Table of Contents</t>
  </si>
  <si>
    <t>Last Fiscal Year</t>
  </si>
  <si>
    <t>Cover</t>
  </si>
  <si>
    <t>Next Fiscal Year</t>
  </si>
  <si>
    <t>Summary</t>
  </si>
  <si>
    <t>Last Fiscal Quarter Reported</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</si>
  <si>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</si>
  <si>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</si>
  <si>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</si>
  <si>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</si>
  <si>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</si>
  <si>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</si>
  <si>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</si>
  <si>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</si>
  <si>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</si>
  <si>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</si>
  <si>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</si>
  <si>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</si>
  <si>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</si>
  <si>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</si>
  <si>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</si>
  <si>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</si>
  <si>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</si>
  <si>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</si>
  <si>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</si>
  <si>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</si>
  <si>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</si>
  <si>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</si>
  <si>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</si>
  <si>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</si>
  <si>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</si>
  <si>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</si>
  <si>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</si>
  <si>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</si>
  <si>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</si>
  <si>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</si>
  <si>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</si>
  <si>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</si>
  <si>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</si>
  <si>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</si>
  <si>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</si>
  <si>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</si>
  <si>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</si>
  <si>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</si>
  <si>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</si>
  <si>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</si>
  <si>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</si>
  <si>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</si>
  <si>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</si>
  <si>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</si>
  <si>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</si>
  <si>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</si>
  <si>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</si>
  <si>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</si>
  <si>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</si>
  <si>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</si>
  <si>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</si>
  <si>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</si>
  <si>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</si>
  <si>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</si>
  <si>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</si>
  <si>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</si>
  <si>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</si>
  <si>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</si>
  <si>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</si>
  <si>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</si>
  <si>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</si>
  <si>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</si>
  <si>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</si>
  <si>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</si>
  <si>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</si>
  <si>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</si>
  <si>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</si>
  <si>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</si>
  <si>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</si>
  <si>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</si>
  <si>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</si>
  <si>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</si>
  <si>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</si>
  <si>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</si>
  <si>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</si>
  <si>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</si>
  <si>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</si>
  <si>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</si>
  <si>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</si>
  <si>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</si>
  <si>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</si>
  <si>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</si>
  <si>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</si>
  <si>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</si>
  <si>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</si>
  <si>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</si>
  <si>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</si>
  <si>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</si>
  <si>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</si>
  <si>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</si>
  <si>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</si>
  <si>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</si>
  <si>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</si>
  <si>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</si>
  <si>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</si>
  <si>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</si>
  <si>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</si>
  <si>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</si>
  <si>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</si>
  <si>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</si>
  <si>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</si>
  <si>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</si>
  <si>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</si>
  <si>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</si>
  <si>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</si>
  <si>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</si>
  <si>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</si>
  <si>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</si>
  <si>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</si>
  <si>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</si>
  <si>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</si>
  <si>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</si>
  <si>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</si>
  <si>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</si>
  <si>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</si>
  <si>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</si>
  <si>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</si>
  <si>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</si>
  <si>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</si>
  <si>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</si>
  <si>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</si>
  <si>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</si>
  <si>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</si>
  <si>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</si>
  <si>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</si>
  <si>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</si>
  <si>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</si>
  <si>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</si>
  <si>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</si>
  <si>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</si>
  <si>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</si>
  <si>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</si>
  <si>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</si>
  <si>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</si>
  <si>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</si>
  <si>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</si>
  <si>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</si>
  <si>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</si>
  <si>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</si>
  <si>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</si>
  <si>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</si>
  <si>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</si>
  <si>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</si>
  <si>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</si>
  <si>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</si>
  <si>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</si>
  <si>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</si>
  <si>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</si>
  <si>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</si>
  <si>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</si>
  <si>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</si>
  <si>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</si>
  <si>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</si>
  <si>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</si>
  <si>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</si>
  <si>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</si>
  <si>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</si>
  <si>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</si>
  <si>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</si>
  <si>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</si>
  <si>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</si>
  <si>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</si>
  <si>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</si>
  <si>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</si>
  <si>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</si>
  <si>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</si>
  <si>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</si>
  <si>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</si>
  <si>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</si>
  <si>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</si>
  <si>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</si>
  <si>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</si>
  <si>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</si>
  <si>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</si>
  <si>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</si>
  <si>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</si>
  <si>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</si>
  <si>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</si>
  <si>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</si>
  <si>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</si>
  <si>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</si>
  <si>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</si>
  <si>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</si>
  <si>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</si>
  <si>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</si>
  <si>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</si>
  <si>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</si>
  <si>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</si>
  <si>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</si>
  <si>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</si>
  <si>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</si>
  <si>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</si>
  <si>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</si>
  <si>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</si>
  <si>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</si>
  <si>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</si>
  <si>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</si>
  <si>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</si>
  <si>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</si>
  <si>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</si>
  <si>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</si>
  <si>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</si>
  <si>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</si>
  <si>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</si>
  <si>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</si>
  <si>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</si>
  <si>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</si>
  <si>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</si>
  <si>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</si>
  <si>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</si>
  <si>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</si>
  <si>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</si>
  <si>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</si>
  <si>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</si>
  <si>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</si>
  <si>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</si>
  <si>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</si>
  <si>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</si>
  <si>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</si>
  <si>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</si>
  <si>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</si>
  <si>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</si>
  <si>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</si>
  <si>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</si>
  <si>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</si>
  <si>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</si>
  <si>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</si>
  <si>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</si>
  <si>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</si>
  <si>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</si>
  <si>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Gross Profit</t>
  </si>
  <si>
    <t>Selling, General &amp; Administration (SG&amp;A)</t>
  </si>
  <si>
    <t>Depreciation &amp; Amortization</t>
  </si>
  <si>
    <t>EBIT</t>
  </si>
  <si>
    <t>Interest Income</t>
  </si>
  <si>
    <t>Interest (Expense)</t>
  </si>
  <si>
    <t>Goodwill Impairment</t>
  </si>
  <si>
    <t>Pre-Tax Income (Loss)</t>
  </si>
  <si>
    <t>Net Income (Loss)</t>
  </si>
  <si>
    <t>Adj. Net Income (Loss)</t>
  </si>
  <si>
    <t>GAAP EPS (Basic)</t>
  </si>
  <si>
    <t>GAAP EPS (Diluted)</t>
  </si>
  <si>
    <t>Adj. EPS (Basic)</t>
  </si>
  <si>
    <t>Adj. EPS (Diluted)</t>
  </si>
  <si>
    <t>EBITDA</t>
  </si>
  <si>
    <t>Income Statement Analysis</t>
  </si>
  <si>
    <t>SG&amp;A as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</si>
  <si>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</si>
  <si>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</si>
  <si>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</si>
  <si>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</si>
  <si>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</si>
  <si>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</si>
  <si>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</si>
  <si>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</si>
  <si>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</si>
  <si>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</si>
  <si>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</si>
  <si>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</si>
  <si>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</si>
  <si>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</si>
  <si>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</si>
  <si>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</si>
  <si>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</si>
  <si>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</si>
  <si>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</si>
  <si>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</si>
  <si>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</si>
  <si>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</si>
  <si>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</si>
  <si>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</si>
  <si>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</si>
  <si>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</si>
  <si>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</si>
  <si>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</si>
  <si>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</si>
  <si>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</si>
  <si>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</si>
  <si>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</si>
  <si>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</si>
  <si>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Inventory</t>
  </si>
  <si>
    <t>Prepaid &amp; Other Current Assets</t>
  </si>
  <si>
    <t>Total Current Assets</t>
  </si>
  <si>
    <t>PP&amp;E, Net</t>
  </si>
  <si>
    <t>Goodwill</t>
  </si>
  <si>
    <t>Other Non-Current Assets</t>
  </si>
  <si>
    <t>Total Non-Current Assets</t>
  </si>
  <si>
    <t>Total Assets</t>
  </si>
  <si>
    <t>Accounts Payable</t>
  </si>
  <si>
    <t>Other Current Liabilities</t>
  </si>
  <si>
    <t>Total Current Liabilities (Excl. Debt)</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</si>
  <si>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</si>
  <si>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</si>
  <si>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</si>
  <si>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</si>
  <si>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</si>
  <si>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</si>
  <si>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</si>
  <si>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</si>
  <si>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</si>
  <si>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</si>
  <si>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</si>
  <si>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</si>
  <si>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</si>
  <si>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</si>
  <si>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</si>
  <si>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</si>
  <si>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</si>
  <si>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</si>
  <si>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</si>
  <si>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</si>
  <si>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</si>
  <si>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</si>
  <si>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</si>
  <si>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Prepaid &amp; Other Current Assets as a % of Sales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</si>
  <si>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</si>
  <si>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</si>
  <si>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</si>
  <si>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</si>
  <si>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</si>
  <si>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</si>
  <si>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</si>
  <si>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</si>
  <si>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</si>
  <si>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</si>
  <si>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</si>
  <si>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</si>
  <si>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</si>
  <si>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</si>
  <si>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</si>
  <si>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</si>
  <si>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</si>
  <si>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</si>
  <si>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</si>
  <si>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</si>
  <si>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</si>
  <si>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</si>
  <si>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</si>
  <si>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</si>
  <si>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</si>
  <si>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</si>
  <si>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</si>
  <si>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</si>
  <si>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</si>
  <si>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</si>
  <si>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</si>
  <si>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</si>
  <si>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</si>
  <si>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</si>
  <si>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</si>
  <si>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</si>
  <si>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</si>
  <si>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</si>
  <si>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</si>
  <si>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</si>
  <si>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</si>
  <si>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</si>
  <si>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</si>
  <si>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</si>
  <si>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</si>
  <si>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</si>
  <si>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</si>
  <si>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</si>
  <si>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</si>
  <si>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</si>
  <si>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</si>
  <si>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</si>
  <si>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</si>
  <si>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</si>
  <si>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</si>
  <si>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</si>
  <si>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</si>
  <si>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</si>
  <si>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</si>
  <si>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</si>
  <si>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</si>
  <si>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</si>
  <si>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</si>
  <si>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</si>
  <si>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</si>
  <si>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</si>
  <si>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</si>
  <si>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</si>
  <si>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</si>
  <si>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</si>
  <si>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</si>
  <si>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</si>
  <si>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</si>
  <si>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</si>
  <si>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</si>
  <si>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</si>
  <si>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</si>
  <si>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</si>
  <si>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</si>
  <si>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</si>
  <si>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</si>
  <si>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</si>
  <si>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</si>
  <si>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</si>
  <si>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</si>
  <si>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</si>
  <si>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</si>
  <si>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</si>
  <si>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</si>
  <si>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</si>
  <si>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</si>
  <si>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</si>
  <si>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</si>
  <si>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</si>
  <si>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</si>
  <si>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</si>
  <si>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</si>
  <si>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</si>
  <si>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</si>
  <si>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</si>
  <si>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</si>
  <si>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</si>
  <si>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</si>
  <si>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</si>
  <si>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</si>
  <si>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</si>
  <si>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</si>
  <si>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</si>
  <si>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</si>
  <si>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</si>
  <si>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</si>
  <si>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</si>
  <si>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</si>
  <si>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</si>
  <si>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</si>
  <si>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</si>
  <si>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</si>
  <si>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RTX</t>
  </si>
  <si>
    <t>MMM</t>
  </si>
  <si>
    <t>BA</t>
  </si>
  <si>
    <t>NM</t>
  </si>
  <si>
    <t>GE</t>
  </si>
  <si>
    <t>HII</t>
  </si>
  <si>
    <t>HON</t>
  </si>
  <si>
    <t>LMT</t>
  </si>
  <si>
    <t>ROP</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</si>
  <si>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</si>
  <si>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</si>
  <si>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</si>
  <si>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</si>
  <si>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</si>
  <si>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</si>
  <si>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</si>
  <si>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</si>
  <si>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</si>
  <si>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</si>
  <si>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</si>
  <si>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</si>
  <si>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</si>
  <si>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</si>
  <si>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</si>
  <si>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</si>
  <si>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</si>
  <si>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</si>
  <si>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</si>
  <si>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</si>
  <si>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</si>
  <si>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</si>
  <si>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</si>
  <si>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</si>
  <si>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</si>
  <si>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</si>
  <si>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</si>
  <si>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</si>
  <si>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</si>
  <si>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t>
  </si>
  <si>
    <t>Negative</t>
  </si>
  <si>
    <t>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</si>
  <si>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</si>
  <si>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</si>
  <si>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</si>
  <si>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</si>
  <si>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</si>
  <si>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</si>
  <si>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</si>
  <si>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</si>
  <si>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</si>
  <si>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</si>
  <si>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</si>
  <si>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</si>
  <si>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</si>
  <si>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</si>
  <si>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Peer Group 3:</t>
  </si>
  <si>
    <t>Cap. Goods Peer Group</t>
  </si>
  <si>
    <t>Comparable Name:</t>
  </si>
  <si>
    <t>Raytheon</t>
  </si>
  <si>
    <t>3M Company</t>
  </si>
  <si>
    <t>IQ159230</t>
  </si>
  <si>
    <t>IQ289194</t>
  </si>
  <si>
    <t>Apple</t>
  </si>
  <si>
    <t>Boeing</t>
  </si>
  <si>
    <t>General Electric</t>
  </si>
  <si>
    <t>IQ370857</t>
  </si>
  <si>
    <t>IQ177031</t>
  </si>
  <si>
    <t>Huntington Ingalls</t>
  </si>
  <si>
    <t>Honeywell</t>
  </si>
  <si>
    <t>IQ363263</t>
  </si>
  <si>
    <t>IQ1340740</t>
  </si>
  <si>
    <t>Lockheed Martin</t>
  </si>
  <si>
    <t>Roper Technologies</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</si>
  <si>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</si>
  <si>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</si>
  <si>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</si>
  <si>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</si>
  <si>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</si>
  <si>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</si>
  <si>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</si>
  <si>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</si>
  <si>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</si>
  <si>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</si>
  <si>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</si>
  <si>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</si>
  <si>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</si>
  <si>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</si>
  <si>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</si>
  <si>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</si>
  <si>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</si>
  <si>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</si>
  <si>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</si>
  <si>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</si>
  <si>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</si>
  <si>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</si>
  <si>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</si>
  <si>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Emerson Electric Co.</t>
  </si>
  <si>
    <t>Emerson Electric (U.S.) Holding Corporation</t>
  </si>
  <si>
    <t>Emerson Electric Canada Ltd.</t>
  </si>
  <si>
    <t>IQ4217671</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</si>
  <si>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</si>
  <si>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</si>
  <si>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</si>
  <si>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</si>
  <si>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</si>
  <si>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</si>
  <si>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</si>
  <si>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</si>
  <si>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</si>
  <si>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</si>
  <si>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</si>
  <si>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</si>
  <si>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 Financial Services Software Limited</t>
  </si>
  <si>
    <t>IQ22247</t>
  </si>
  <si>
    <t>IQ34903</t>
  </si>
  <si>
    <t>IQ678571</t>
  </si>
  <si>
    <t xml:space="preserve">Citrix Systems, Inc. </t>
  </si>
  <si>
    <t>Citrix Systems, Inc.</t>
  </si>
  <si>
    <t>Citrix Systems GmbH</t>
  </si>
  <si>
    <t>IQ26524</t>
  </si>
  <si>
    <t>IQ29511600</t>
  </si>
  <si>
    <t xml:space="preserve">CYREN </t>
  </si>
  <si>
    <t>Cyren Ltd.</t>
  </si>
  <si>
    <t>Cyrene</t>
  </si>
  <si>
    <t>IQ26767</t>
  </si>
  <si>
    <t>Commvault Systems</t>
  </si>
  <si>
    <t>Commvault Systems, Inc.</t>
  </si>
  <si>
    <t>CommVault Systems GmbH</t>
  </si>
  <si>
    <t>CommVault Systems (Japan) KK</t>
  </si>
  <si>
    <t>IQ26789</t>
  </si>
  <si>
    <t>IQ240260106</t>
  </si>
  <si>
    <t>IQ240251209</t>
  </si>
  <si>
    <t>eGain Corporation</t>
  </si>
  <si>
    <t>IQ27928</t>
  </si>
  <si>
    <t>Harmonic</t>
  </si>
  <si>
    <t>Harmonic Inc.</t>
  </si>
  <si>
    <t>Harmonic Drive Systems Inc.</t>
  </si>
  <si>
    <t>IQ29282</t>
  </si>
  <si>
    <t>IQ5433989</t>
  </si>
  <si>
    <t>NetApp</t>
  </si>
  <si>
    <t>NetApp, Inc.</t>
  </si>
  <si>
    <t>NetApp Holding &amp; Manufacturing BV NAHM</t>
  </si>
  <si>
    <t>IQ32052</t>
  </si>
  <si>
    <t>IQ37895956</t>
  </si>
  <si>
    <t>Inseego</t>
  </si>
  <si>
    <t>Inseego Corp.</t>
  </si>
  <si>
    <t>IQ32261</t>
  </si>
  <si>
    <t>Intouch Insight</t>
  </si>
  <si>
    <t>Intouch Insight Ltd.</t>
  </si>
  <si>
    <t>In-Touch Insight Systems Inc.</t>
  </si>
  <si>
    <t>IQ3160034</t>
  </si>
  <si>
    <t>IQ140252251</t>
  </si>
  <si>
    <t>VPN Technologies</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</si>
  <si>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</si>
  <si>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</si>
  <si>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</si>
  <si>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</si>
  <si>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</si>
  <si>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</si>
  <si>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</si>
  <si>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</si>
  <si>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</si>
  <si>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</si>
  <si>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</si>
  <si>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</si>
  <si>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</si>
  <si>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</si>
  <si>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</si>
  <si>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</si>
  <si>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</si>
  <si>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</si>
  <si>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</si>
  <si>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</si>
  <si>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</si>
  <si>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</si>
  <si>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</si>
  <si>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</si>
  <si>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</si>
  <si>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</si>
  <si>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</si>
  <si>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</si>
  <si>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</si>
  <si>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</si>
  <si>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</si>
  <si>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</si>
  <si>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</si>
  <si>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</si>
  <si>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</si>
  <si>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</si>
  <si>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</si>
  <si>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</si>
  <si>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</si>
  <si>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</si>
  <si>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</si>
  <si>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</si>
  <si>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</si>
  <si>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</si>
  <si>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</si>
  <si>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</si>
  <si>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</si>
  <si>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</si>
  <si>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</si>
  <si>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</si>
  <si>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</si>
  <si>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Perpetual Growth Rate</t>
  </si>
  <si>
    <t>Historical Multiples</t>
  </si>
  <si>
    <t>Cyclical Multiples</t>
  </si>
  <si>
    <t>Sum of the Parts</t>
  </si>
  <si>
    <t>Blended Average</t>
  </si>
  <si>
    <t>LTM vs NTM</t>
  </si>
  <si>
    <t>NTM</t>
  </si>
  <si>
    <t>Weighted Average</t>
  </si>
  <si>
    <t>% YoY Growth</t>
  </si>
  <si>
    <t>Full-Year Discount</t>
  </si>
  <si>
    <t>Mid-Year Discount</t>
  </si>
  <si>
    <t>Discount Factor</t>
  </si>
  <si>
    <t>SENSITIZED EXIT MULTIPLE METHOD</t>
  </si>
  <si>
    <t>Exit Multiple Method:</t>
  </si>
  <si>
    <t>Terminal Year EBITDA:</t>
  </si>
  <si>
    <t>Exit Multiple:</t>
  </si>
  <si>
    <t>PGR:</t>
  </si>
  <si>
    <t>Terminal Value:</t>
  </si>
  <si>
    <t>PV of Terminal Value:</t>
  </si>
  <si>
    <t>PV of Stage 1 Cash Flows: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</si>
  <si>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</si>
  <si>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</si>
  <si>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</si>
  <si>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</si>
  <si>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</si>
  <si>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</si>
  <si>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</si>
  <si>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</si>
  <si>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</si>
  <si>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</si>
  <si>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</si>
  <si>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</si>
  <si>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</si>
  <si>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</si>
  <si>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</si>
  <si>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</si>
  <si>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</si>
  <si>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</si>
  <si>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</si>
  <si>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</si>
  <si>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</si>
  <si>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</si>
  <si>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</si>
  <si>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</si>
  <si>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</si>
  <si>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</si>
  <si>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</si>
  <si>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</si>
  <si>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</si>
  <si>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</si>
  <si>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</si>
  <si>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</si>
  <si>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</si>
  <si>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</si>
  <si>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</si>
  <si>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</si>
  <si>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</si>
  <si>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</si>
  <si>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</si>
  <si>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</si>
  <si>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</si>
  <si>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</si>
  <si>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</si>
  <si>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</si>
  <si>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</si>
  <si>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</si>
  <si>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</si>
  <si>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</si>
  <si>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</si>
  <si>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</si>
  <si>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</si>
  <si>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</si>
  <si>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</si>
  <si>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</si>
  <si>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</si>
  <si>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</si>
  <si>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</si>
  <si>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</si>
  <si>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</si>
  <si>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</si>
  <si>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</si>
  <si>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</si>
  <si>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</si>
  <si>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</si>
  <si>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</si>
  <si>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</si>
  <si>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</si>
  <si>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</si>
  <si>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</si>
  <si>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</si>
  <si>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</si>
  <si>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</si>
  <si>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</si>
  <si>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</si>
  <si>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</si>
  <si>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</si>
  <si>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</si>
  <si>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</si>
  <si>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</si>
  <si>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</si>
  <si>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</si>
  <si>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</si>
  <si>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</si>
  <si>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</si>
  <si>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</si>
  <si>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</si>
  <si>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</si>
  <si>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</si>
  <si>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</si>
  <si>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</si>
  <si>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</si>
  <si>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</si>
  <si>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</si>
  <si>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</si>
  <si>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</si>
  <si>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</si>
  <si>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</si>
  <si>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</si>
  <si>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</si>
  <si>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</si>
  <si>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</si>
  <si>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</si>
  <si>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</si>
  <si>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</si>
  <si>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</si>
  <si>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</si>
  <si>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</si>
  <si>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</si>
  <si>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</si>
  <si>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</si>
  <si>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</si>
  <si>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</si>
  <si>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</si>
  <si>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</si>
  <si>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</si>
  <si>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</si>
  <si>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</si>
  <si>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</si>
  <si>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</si>
  <si>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</si>
  <si>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</si>
  <si>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</si>
  <si>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</si>
  <si>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</si>
  <si>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</si>
  <si>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</si>
  <si>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</si>
  <si>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</si>
  <si>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AXP</t>
  </si>
  <si>
    <t>U.S. Consumer Services</t>
  </si>
  <si>
    <t>Commercial Services</t>
  </si>
  <si>
    <t>International Card Services</t>
  </si>
  <si>
    <t>Global Merchant &amp; Network Services</t>
  </si>
  <si>
    <t>Corporate &amp; Other</t>
  </si>
  <si>
    <t>Top Down</t>
  </si>
  <si>
    <t>Discount</t>
  </si>
  <si>
    <t>Depreciation &amp; Amortization (incl. in SG&amp;A)</t>
  </si>
  <si>
    <t>Income Tax Provision (Expense)</t>
  </si>
  <si>
    <t>Card Member Recievables</t>
  </si>
  <si>
    <t>Card Member Loans</t>
  </si>
  <si>
    <t>Investment Securities</t>
  </si>
  <si>
    <t>Customer Deposits</t>
  </si>
  <si>
    <t>Other Assets and Loans</t>
  </si>
  <si>
    <t>Short-term Borrowings</t>
  </si>
  <si>
    <t xml:space="preserve">Variable Customer Engagement (VCE) </t>
  </si>
  <si>
    <t>Other Operating Income (Expense)</t>
  </si>
  <si>
    <t>Total Provisions for Credit Losses</t>
  </si>
  <si>
    <t>Other Operating Income as a % of Revenue</t>
  </si>
  <si>
    <t>Research &amp; Development (R&amp;D)</t>
  </si>
  <si>
    <t>R&amp;D as a % of Revenue</t>
  </si>
  <si>
    <t>VCE as a % of Revenue</t>
  </si>
  <si>
    <t>Days Payables Outstanding (from SG&amp;A)</t>
  </si>
  <si>
    <t>Customer Deposits as a % of Member Receivables</t>
  </si>
  <si>
    <t>Net Unrealized Debt Securities Gains (Losses)</t>
  </si>
  <si>
    <t>FX Adjustments</t>
  </si>
  <si>
    <t>Net Unrealized Pension and Other Benefits</t>
  </si>
  <si>
    <t>Income (Loss) Due to Non-Controlling Interest</t>
  </si>
  <si>
    <t xml:space="preserve">  </t>
  </si>
  <si>
    <t>Net Revenue</t>
  </si>
  <si>
    <t>Total Provision for Credit Losses as a % of Revenue</t>
  </si>
  <si>
    <t>Operating Income</t>
  </si>
  <si>
    <t>Net Interest Retention (Spread Efficiency)</t>
  </si>
  <si>
    <t>Service Fees and Other</t>
  </si>
  <si>
    <t>Net Card Fees</t>
  </si>
  <si>
    <t>American Express Company</t>
  </si>
  <si>
    <t>PharmaZell GmbH</t>
  </si>
  <si>
    <t>Axpo Holding AG</t>
  </si>
  <si>
    <t>Novasep Holding SAS</t>
  </si>
  <si>
    <t>Zellbios GmbH</t>
  </si>
  <si>
    <t>IQ92001</t>
  </si>
  <si>
    <t>IQ26559298</t>
  </si>
  <si>
    <t>IQ5741935</t>
  </si>
  <si>
    <t>IQ133055</t>
  </si>
  <si>
    <t>IQ142318114</t>
  </si>
  <si>
    <t>Emerson Electric U.K. Limited</t>
  </si>
  <si>
    <t>Emerson Electric Company (India) Private Limited</t>
  </si>
  <si>
    <t>IQ39456800</t>
  </si>
  <si>
    <t>IQ53305215</t>
  </si>
  <si>
    <t>Oracle Healthcare</t>
  </si>
  <si>
    <t>Aspirzing Solutions Ltd</t>
  </si>
  <si>
    <t>IQ429085948</t>
  </si>
  <si>
    <t>IQ1833678398</t>
  </si>
  <si>
    <t>Citrix Systems Netherlands, B.V.</t>
  </si>
  <si>
    <t>Citrix Systems Norway AS.</t>
  </si>
  <si>
    <t>Citrix Systems South Africa (Pty) Ltd.</t>
  </si>
  <si>
    <t>IQ29511975</t>
  </si>
  <si>
    <t>IQ29512068</t>
  </si>
  <si>
    <t>IQ29512450</t>
  </si>
  <si>
    <t>Cyrene at Meadowlands Llc</t>
  </si>
  <si>
    <t>IQ698479807</t>
  </si>
  <si>
    <t>IQ1860020589</t>
  </si>
  <si>
    <t>IQ1897901862</t>
  </si>
  <si>
    <t>IQ1904782409</t>
  </si>
  <si>
    <t>CommVault Systems (Hong Kong) Limited</t>
  </si>
  <si>
    <t>Commvault Systems AB Srl</t>
  </si>
  <si>
    <t>IQ226589804</t>
  </si>
  <si>
    <t>IQ240260978</t>
  </si>
  <si>
    <t>Nitman Software Pvt. Ltd.</t>
  </si>
  <si>
    <t>Ega Invest Aps</t>
  </si>
  <si>
    <t>eGain Communications Corp., Asset Management Arm</t>
  </si>
  <si>
    <t>eGain Communications Ltd</t>
  </si>
  <si>
    <t>IQ694918</t>
  </si>
  <si>
    <t>IQ49516031</t>
  </si>
  <si>
    <t>IQ51199915</t>
  </si>
  <si>
    <t>IQ111651957</t>
  </si>
  <si>
    <t>Harmonic AI, Inc.</t>
  </si>
  <si>
    <t>Concordance Inc.</t>
  </si>
  <si>
    <t>IQ713550374</t>
  </si>
  <si>
    <t>IQ697518070</t>
  </si>
  <si>
    <t>IQ1898353455</t>
  </si>
  <si>
    <t>NetApp India Pvt. Ltd.</t>
  </si>
  <si>
    <t>NetApp Australia Pty. Ltd.</t>
  </si>
  <si>
    <t>NetApp U.S. Public Sector, Inc.</t>
  </si>
  <si>
    <t>IQ35346556</t>
  </si>
  <si>
    <t>IQ49154429</t>
  </si>
  <si>
    <t>IQ54800690</t>
  </si>
  <si>
    <t>Inseego Wireless, Inc.</t>
  </si>
  <si>
    <t>Inseego Japan K K</t>
  </si>
  <si>
    <t>Inseego SA (Pty) Ltd</t>
  </si>
  <si>
    <t>Inseego India Private Limited</t>
  </si>
  <si>
    <t>IQ1799916204</t>
  </si>
  <si>
    <t>IQ1799920214</t>
  </si>
  <si>
    <t>IQ1897847297</t>
  </si>
  <si>
    <t>IQ1898959242</t>
  </si>
  <si>
    <t>Intouch Insight Corp</t>
  </si>
  <si>
    <t>IQ1984387995</t>
  </si>
  <si>
    <t>Aegis Critical Energy Defence Corp.</t>
  </si>
  <si>
    <t>Vpn Tech Ltd</t>
  </si>
  <si>
    <t>IQ1756318060</t>
  </si>
  <si>
    <t>Visa</t>
  </si>
  <si>
    <t>Visa Inc.</t>
  </si>
  <si>
    <t>Visa International Service Association</t>
  </si>
  <si>
    <t>Visa U.S.A. Inc.</t>
  </si>
  <si>
    <t>Visa Europe Limited</t>
  </si>
  <si>
    <t>VisasQ Inc.</t>
  </si>
  <si>
    <t>IQ38043467</t>
  </si>
  <si>
    <t>IQ3027767</t>
  </si>
  <si>
    <t>IQ898883</t>
  </si>
  <si>
    <t>IQ7985336</t>
  </si>
  <si>
    <t>IQ261039444</t>
  </si>
  <si>
    <t>MA</t>
  </si>
  <si>
    <t>Mastercard Incorporated</t>
  </si>
  <si>
    <t>Mattel, Inc.</t>
  </si>
  <si>
    <t>Marriott International, Inc.</t>
  </si>
  <si>
    <t>Magna International Inc.</t>
  </si>
  <si>
    <t>Mars, Incorporated</t>
  </si>
  <si>
    <t>IQ6477196</t>
  </si>
  <si>
    <t>IQ31197</t>
  </si>
  <si>
    <t>IQ31148</t>
  </si>
  <si>
    <t>IQ285880</t>
  </si>
  <si>
    <t>IQ184468</t>
  </si>
  <si>
    <t>Capital one</t>
  </si>
  <si>
    <t>Capital One Financial Corporation</t>
  </si>
  <si>
    <t>Capital One</t>
  </si>
  <si>
    <t>Capital One, National Association</t>
  </si>
  <si>
    <t>Capital One Bank (USA), National Association</t>
  </si>
  <si>
    <t>Capital One, N.A.</t>
  </si>
  <si>
    <t>IQ336241</t>
  </si>
  <si>
    <t>IQ206493912</t>
  </si>
  <si>
    <t>IQ27976285</t>
  </si>
  <si>
    <t>IQ3122124</t>
  </si>
  <si>
    <t>IQ229123118</t>
  </si>
  <si>
    <t>JPM</t>
  </si>
  <si>
    <t>JPMorgan Chase &amp; Co.</t>
  </si>
  <si>
    <t>JPMorgan Chase Bank, N.A.</t>
  </si>
  <si>
    <t>JP Morgan Asset Management</t>
  </si>
  <si>
    <t>J.P. Morgan Securities LLC</t>
  </si>
  <si>
    <t>J.P. Morgan Securities plc</t>
  </si>
  <si>
    <t>IQ658776</t>
  </si>
  <si>
    <t>IQ3711604</t>
  </si>
  <si>
    <t>IQ1925133</t>
  </si>
  <si>
    <t>IQ3534201</t>
  </si>
  <si>
    <t>IQ12678274</t>
  </si>
  <si>
    <t>V</t>
  </si>
  <si>
    <t>COF</t>
  </si>
  <si>
    <t>NA</t>
  </si>
  <si>
    <t>AA-</t>
  </si>
  <si>
    <t>BBB</t>
  </si>
  <si>
    <t>Positive</t>
  </si>
  <si>
    <t>BAABTAVMT0NBTAFI/////wFQPwMAABZDSVEuLklRX0NPTVBBTllfVElDS0VSBQAAAAAAAAAIAAAAFChJbnZhbGlkIElkZW50aWZpZXIpgCfWu66N3gj4Seclr43eCCJDSVEuSVEyNjkyMzEuSVFfTUFSS0VUQ0FQLjQvMy8yMDI2AQAAAK8bBAACAAAABzcwNDc0LjgBBgAAAAUAAAABMQEAAAALLTE5MDgwODA1NjcDAAAAAzE2MAIAAAAGMTAwMDU0BAAAAAEwBwAAAAkzLzI3LzIwMjY/T9a7ro3eCGwh6CWvjd4IHENJUS5JUTI2OTIzMS5JUV9URVYuNC8zLzIwMjYBAAAArxsEAAIAAAAHODI4MDAuOAEGAAAABQAAAAExAQAAAAstMTkwODA4MDU2NwMAAAADMTYwAgAAAAYxMDAwNjAEAAAAATAHAAAACTMvMjcvMjAyNj9P1ruujd4IrETpJa+N3gghQ0lRLklROTcxOTkuSVFfTUFSS0VUQ0FQLjQvMy8yMDI2AQAAAK97AQACAAAADDk2MzY0Ljc4MDY1OQEGAAAABQAAAAExAQAAAAstMTkwODgzOTE4OQMAAAADMTYwAgAAAAYxMDAwNTQEAAAAATAHAAAACTMvMjcvMjAyNj9P1ruujd4IDdvqJa+N3ggbQ0lRLklROTcxOTkuSVFfVEVWLjQvMy8yMDI2AQAAAK97AQACAAAADTEwOTM2Mi43ODA2NTkBBgAAAAUAAAABMQEAAAALLTE5MDg4MzkxODkDAAAAAzE2MAIAAAAGMTAwMDYwBAAAAAEwBwAAAAkzLzI3LzIwMjY/T9a7ro3eCKxE6SWvjd4IIUNJUS5JUTI5MDk2LklRX01BUktFVENBUC40LzMvMjAyNgEAAACocQAA</t>
  </si>
  <si>
    <t>AgAAAAozMzE1NTM2Ljk0AQYAAAAFAAAAATEBAAAACy0xOTA3ODIyNjg1AwAAAAMxNjACAAAABjEwMDA1NAQAAAABMAcAAAAJMy8yNy8yMDI2P0/Wu66N3ghsVOglr43eCBtDSVEuSVEyOTA5Ni5JUV9URVYuNC8zLzIwMjYBAAAAqHEAAAIAAAAKMzI1NTY4OS45NAEGAAAABQAAAAExAQAAAAstMTkwNzgyMjY4NQMAAAADMTYwAgAAAAYxMDAwNjAEAAAAATAHAAAACTMvMjcvMjAyNj9P1ruujd4IQQLrJa+N3gghQ0lRLklRMjI3NTEuSVFfTUFSS0VUQ0FQLjQvMy8yMDI2AQAAAN9YAAACAAAADDM1NDUwLjI5NDcxNgEGAAAABQAAAAExAQAAAAstMTkwNTE0MTIxMQMAAAADMTYwAgAAAAYxMDAwNTQEAAAAATAHAAAACTMvMjcvMjAyNj9P1ruujd4IU7ttlq+N3ggbQ0lRLklRMjI3NTEuSVFfVEVWLjQvMy8yMDI2AQAAAN9YAAACAAAADDQ0Njg3LjM5NDcxNgEGAAAABQAAAAExAQAAAAstMTkwNTE0MTIxMQMAAAADMTYwAgAAAAYxMDAwNjAEAAAAATAHAAAACTMvMjcvMjAyNj9P1ruujd4IU7ttlq+N3ggiQ0lRLklRMjg1ODI3LklRX01BUktFVENBUC40LzMvMjAyNgEAAACDXAQAAgAAAA0xNDE5MjcuNzkwNzQ5AQYAAAAFAAAAATEBAAAACy0xOTA4NDU5MzcxAwAAAAMxNjACAAAABjEwMDA1NAQAAAABMAcAAAAJMy8yNy8yMDI2P0/Wu66N3giDMG6Wr43eCBxDSVEuSVEyODU4MjcuSVFfVEVWLjQvMy8yMDI2AQAA</t>
  </si>
  <si>
    <t>AINcBAACAAAADTE2MDU3Ny43OTA3NDkBBgAAAAUAAAABMQEAAAALLTE5MDg0NTkzNzEDAAAAAzE2MAIAAAAGMTAwMDYwBAAAAAEwBwAAAAkzLzI3LzIwMjY/T9a7ro3eCHMJbpavjd4IJUNJUS5JUTIyNDA1NTI4My5JUV9NQVJLRVRDQVAuNC8zLzIwMjYBAAAA889aDQIAAAALNjYzNy41ODEzMjEBBgAAAAUAAAABMQEAAAALLTE5MDc3NTA0MDgDAAAAAzE2MAIAAAAGMTAwMDU0BAAAAAEwBwAAAAkzLzI3LzIwMjY/T9a7ro3eCEEC6yWvjd4IH0NJUS5JUTIyNDA1NTI4My5JUV9URVYuNC8zLzIwMjYBAAAA889aDQIAAAAKNzg0MC4xNDAzMgEGAAAABQAAAAExAQAAAAstMTkwNzc1MDQwOAMAAAADMTYwAgAAAAYxMDAwNjAEAAAAATAHAAAACTMvMjcvMjAyNj9P1ruujd4IQQLrJa+N3ggjQ0lRLklRMTM0MDc0MC5JUV9NQVJLRVRDQVAuNC8zLzIwMjYBAAAARHUUAAIAAAANMTQxODMxLjk2MjQwNwEGAAAABQAAAAExAQAAAAstMTkwNjExNzY1NwMAAAADMTYwAgAAAAYxMDAwNTQEAAAAATAHAAAACTMvMjcvMjAyNj9P1ruujd4IsaVulq+N3ggdQ0lRLklRMTM0MDc0MC5JUV9URVYuNC8zLzIwMjYBAAAARHUUAAIAAAANMTY1NTkwLjk2MjQwNwEGAAAABQAAAAExAQAAAAstMTkwNjExNzY1NwMAAAADMTYwAgAAAAYxMDAwNjAEAAAAATAHAAAACTMvMjcvMjAyNj9P1ruujd4IsaVulq+N3ggiQ0lRLklRMzYzMjYz</t>
  </si>
  <si>
    <t>LklRX01BUktFVENBUC40LzMvMjAyNgEAAAD/igUAAgAAAAwxNDk4Mi40NjU4NTIBBgAAAAUAAAABMQEAAAALLTE5MDc3NTAzOTkDAAAAAzE2MAIAAAAGMTAwMDU0BAAAAAEwBwAAAAkzLzI3LzIwMjY/T9a7ro3eCMHMbpavjd4IHENJUS5JUTM2MzI2My5JUV9URVYuNC8zLzIwMjYBAAAA/4oFAAIAAAAMMTcxODkuNDY1ODUxAQYAAAAFAAAAATEBAAAACy0xOTA3NzUwMzk5AwAAAAMxNjACAAAABjEwMDA2MAQAAAABMAcAAAAJMy8yNy8yMDI2P0/Wu66N3gjBzG6Wr43eCCFDSVEuSVEyMTgzNS5JUV9NQVJLRVRDQVAuNC8zLzIwMjYBAAAAS1UAAAIAAAAOMjY0OTI0MS42ODU0NDUBBgAAAAUAAAABMQEAAAALLTE5MDg2NzE1MzEDAAAAAzE2MAIAAAAGMTAwMDU0BAAAAAEwBwAAAAkzLzI3LzIwMjY/T9a7ro3eCFAp6yWvjd4IG0NJUS5JUTIxODM1LklRX1RFVi40LzMvMjAyNgEAAABLVQAAAgAAAA4yNjgzMDU3LjY4NTQ0NAEGAAAABQAAAAExAQAAAAstMTkwODY3MTUzMQMAAAADMTYwAgAAAAYxMDAwNjAEAAAAATAHAAAACTMvMjcvMjAyNpl21ruujd4IUCnrJa+N3ggiQ0lRLklRMTc3MDMxLklRX01BUktFVENBUC40LzMvMjAyNgEAAACHswIAAgAAAA0yOTU0ODguMjU5NzQyAQYAAAAFAAAAATEBAAAACy0xOTA4Mjc0MTk1AwAAAAMxNjACAAAABjEwMDA1NAQAAAABMAcAAAAJMy8yNy8yMDI2P0/Wu66N3gjh</t>
  </si>
  <si>
    <t>Gm+Wr43eCBxDSVEuSVExNzcwMzEuSVFfVEVWLjQvMy8yMDI2AQAAAIezAgACAAAADTMwNTI3NC4yNTk3NDEBBgAAAAUAAAABMQEAAAALLTE5MDgyNzQxOTUDAAAAAzE2MAIAAAAGMTAwMDYwBAAAAAEwBwAAAAkzLzI3LzIwMjaZdta7ro3eCOEab5avjd4IIkNJUS5JUTM3MDg1Ny5JUV9NQVJLRVRDQVAuNC8zLzIwMjYBAAAAqagFAAIAAAANMTQ5NzE5LjAyNTU1MwEGAAAABQAAAAExAQAAAAstMTkwODMzMjk2MgMAAAADMTYwAgAAAAYxMDAwNTQEAAAAATAHAAAACTMvMjcvMjAyNpl21ruujd4IAmlvlq+N3ggcQ0lRLklRMzcwODU3LklRX1RFVi40LzMvMjAyNgEAAACpqAUAAgAAAA0xNzc0MzUuMDI1NTUyAQYAAAAFAAAAATEBAAAACy0xOTA4MzMyOTYyAwAAAAMxNjACAAAABjEwMDA2MAQAAAABMAcAAAAJMy8yNy8yMDI2mXbWu66N3gjyQW+Wr43eCCRDSVEuSVEyMDc2NTQ2My5JUV9NQVJLRVRDQVAuNC8zLzIwMjYBAAAAF9s8AQIAAAAOMTMyOTgzNy44OTg1MzQBBgAAAAUAAAABMQEAAAALLTE5MDg1MTE0OTIDAAAAAzE2MAIAAAAGMTAwMDU0BAAAAAEwBwAAAAkzLzI3LzIwMjaZdta7ro3eCMvm6SWvjd4IHkNJUS5JUTIwNzY1NDYzLklRX1RFVi40LzMvMjAyNgEAAAAX2zwBAgAAAA4xMzMzMzI2Ljg5ODUzNAEGAAAABQAAAAExAQAAAAstMTkwODUxMTQ5MgMAAAADMTYwAgAAAAYxMDAwNjAEAAAAATAH</t>
  </si>
  <si>
    <t>AAAACTMvMjcvMjAyNpl21ruujd4Iy+bpJa+N3ggiQ0lRLklRMjg5MTk0LklRX01BUktFVENBUC40LzMvMjAyNgEAAACqaQQAAgAAAAw3NDcyMy41NDkzMDEBBgAAAAUAAAABMQEAAAALLTE5MDgwMTg1NjADAAAAAzE2MAIAAAAGMTAwMDU0BAAAAAEwBwAAAAkzLzI3LzIwMjaZdta7ro3eCExLbJavjd4IHENJUS5JUTI4OTE5NC5JUV9URVYuNC8zLzIwMjYBAAAAqmkEAAIAAAAMNzk5NjcuNTQ5MzAxAQYAAAAFAAAAATEBAAAACy0xOTA4MDE4NTYwAwAAAAMxNjACAAAABjEwMDA2MAQAAAABMAcAAAAJMy8yNy8yMDI2mXbWu66N3ghMS2yWr43eCCJDSVEuSVExNTkyMzAuSVFfTUFSS0VUQ0FQLjQvMy8yMDI2AQAAAP5tAgACAAAADTI1NTM0NC43NjkyNzYBBgAAAAUAAAABMQEAAAALLTE5MDc2MDQ2NzADAAAAAzE2MAIAAAAGMTAwMDU0BAAAAAEwBwAAAAkzLzI3LzIwMjaZdta7ro3eCOR2bJavjd4IHENJUS5JUTE1OTIzMC5JUV9URVYuNC8zLzIwMjYBAAAA/m0CAAIAAAANMjg5NzU4Ljc2OTI3NgEGAAAABQAAAAExAQAAAAstMTkwNzYwNDY3MAMAAAADMTYwAgAAAAYxMDAwNjAEAAAAATAHAAAACTMvMjcvMjAyNpl21ruujd4I5HZslq+N3ggiQ0lRLklRMjc4Njc5LklRX01BUktFVENBUC40LzMvMjAyNgEAAACXQAQAAgAAAA0zMjAzNjcuMDg4MDM5AQYAAAAFAAAAATEBAAAACy0xOTAwOTkyMTg2AwAAAAMx</t>
  </si>
  <si>
    <t>NjACAAAABjEwMDA1NAQAAAABMAcAAAAJMy8yNy8yMDI2mXbWu66N3ggy9uglr43eCBxDSVEuSVEyNzg2NzkuSVFfVEVWLjQvMy8yMDI2AQAAAJdABAACAAAADTM4NDg4Ny4wODgwMzgBBgAAAAUAAAABMQEAAAALLTE5MDA5OTIxODYDAAAAAzE2MAIAAAAGMTAwMDYwBAAAAAEwBwAAAAkzLzI3LzIwMjaZdta7ro3eCDnL5iWvjd4IIkNJUS5JUTE4MDg3MS5JUV9NQVJLRVRDQVAuNC8zLzIwMjYBAAAAh8ICAAIAAAANMTI4OTg4LjIwODMzMwEGAAAABQAAAAExAQAAAAstMTkwMDQ5NjEwNwMAAAADMTYwAgAAAAYxMDAwNTQEAAAAATAHAAAACTMvMjcvMjAyNpl21ruujd4IaTXqJa+N3ggcQ0lRLklRMTgwODcxLklRX1RFVi40LzMvMjAyNgEAAACHwgIAAgAAAA0xNzI2ODMuMjA4MzMyAQYAAAAFAAAAATEBAAAACy0xOTAwNDk2MTA3AwAAAAMxNjACAAAABjEwMDA2MAQAAAABMAcAAAAJMy8yNy8yMDI2mXbWu66N3ghgUOslr43eCBxDSVEuSVEyNjkyMzEuSVFfUEVfRVhDTC4yMDAwAQAAAK8bBAACAAAADzMwLjczNzAzNDM3NjIxMQEHAAAABQAAAAExAQAAAAstMTkwODA4MDEwMAMAAAABMAIAAAAGMTAwMDY2BAAAAAEwBwAAAAkzLzI3LzIwMjYIAAAACTMvMjcvMjAyNj9P1ruujd4IIcLjJa+N3ggiQ0lRLklRMjY5MjMxLklRX1RFVl9UT1RBTF9SRVYuMjAwMAEAAACvGwQAAgAAABA0LjU1Mjc0NjQ2NzI1Njgz</t>
  </si>
  <si>
    <t>AQcAAAAFAAAAATEBAAAACy0xOTA4MDgwMTAwAwAAAAEwAgAAAAYxMDAwNjEEAAAAATAHAAAACTMvMjcvMjAyNggAAAAJMy8yNy8yMDI2P0/Wu66N3gghwuMlr43eCEBDSVFSQU5HRS5WUE4gVEVDSE5PTE9HSUVTLklRX0NPTVBBTllfSURfUVVJQ0tfTUFUQ0guMS41Li4uLi4uLklEBAAAAGxJr2gCAAAAAwAAAAtJUTI4MjE2Nzc4OQMAAAAMSVExNzU2MzE4MDYwgCfWu66N3gik9OYlr43eCB9DSVEuSVEyNjkyMzEuSVFfVEVWX0VCSVREQS4yMDAwAQAAAK8bBAACAAAAEDEzLjU1ODg5Nzk0MDgwMzIBBwAAAAUAAAABMQEAAAALLTE5MDgwODAxMDADAAAAATACAAAABjEwMDA2MwQAAAABMAcAAAAJMy8yNy8yMDI2CAAAAAkzLzI3LzIwMjY/T9a7ro3eCH8d6SWvjd4IG0NJUS5JUTk3MTk5LklRX1BFX0VYQ0wuMjAwMAEAAACvewEAAgAAABAyMy4zNDkzODEwMTc4ODE3AQcAAAAFAAAAATEBAAAACy0xOTA4ODM5MTg3AwAAAAEwAgAAAAYxMDAwNjYEAAAAATAHAAAACTMvMjcvMjAyNggAAAAJMy8yNy8yMDI2P0/Wu66N3gghwuMlr43eCERDSVFSQU5HRS5WUE4gVEVDSE5PTE9HSUVTLklRX0NPTVBBTllfTkFNRV9RVUlDS19NQVRDSC4xLjUuLi4uLi4uTkFNRQQAAABsSa9oAgAAAAMAAAAjQWVnaXMgQ3JpdGljYWwgRW5lcmd5IERlZmVuY2UgQ29ycC4DAAAADFZwbiBUZWNoIEx0ZIAn1ruujd4IpPTmJa+N3ggh</t>
  </si>
  <si>
    <t>Q0lRLklROTcxOTkuSVFfVEVWX1RPVEFMX1JFVi4yMDAwAQAAAK97AQACAAAADzIuNjA2NzMwNzIwNzY1NgEHAAAABQAAAAExAQAAAAstMTkwODgzOTE4NwMAAAABMAIAAAAGMTAwMDYxBAAAAAEwBwAAAAkzLzI3LzIwMjYIAAAACTMvMjcvMjAyNj9P1ruujd4IrETpJa+N3gg/Q0lRUkFOR0UuSU5UT1VDSCBJTlNJR0hULklRX0NPTVBBTllfSURfUVVJQ0tfTUFUQ0guMS41Li4uLi4uLklEBAAAAJtbR3YDAAAAAwAAAAlJUTMxNjAwMzQDAAAAC0lRMTQwMjUyMjUxAwAAAAxJUTE5ODQzODc5OTWAJ9a7ro3eCKT05iWvjd4IHkNJUS5JUTk3MTk5LklRX1RFVl9FQklUREEuMjAwMAEAAACvewEAAgAAABAxNC45MTU4MTg0MjA0ODU1AQcAAAAFAAAAATEBAAAACy0xOTA4ODM5MTg3AwAAAAEwAgAAAAYxMDAwNjMEAAAAATAHAAAACTMvMjcvMjAyNggAAAAJMy8yNy8yMDI2P0/Wu66N3ghv6eMlr43eCENDSVFSQU5HRS5JTlRPVUNIIElOU0lHSFQuSVFfQ09NUEFOWV9OQU1FX1FVSUNLX01BVENILjEuNS4uLi4uLi5OQU1FBAAAAJtbR3YDAAAAAwAAABRJbnRvdWNoIEluc2lnaHQgTHRkLgMAAAAdSW4tVG91Y2ggSW5zaWdodCBTeXN0ZW1zIEluYy4DAAAAFEludG91Y2ggSW5zaWdodCBDb3JwgCfWu66N3ggiH+clr43eCBtDSVEuSVEyOTA5Ni5JUV9QRV9FWENMLjIwMDABAAAAqHEAAAIAAAAQMjUuNDAwNTA2NTY1</t>
  </si>
  <si>
    <t>NzYzNAEHAAAABQAAAAExAQAAAAstMTkwNzgyMjY4MwMAAAABMAIAAAAGMTAwMDY2BAAAAAEwBwAAAAkzLzI3LzIwMjYIAAAACTMvMjcvMjAyNj9P1ruujd4IDdvqJa+N3gg3Q0lRUkFOR0UuSU5TRUVHTy5JUV9DT01QQU5ZX0lEX1FVSUNLX01BVENILjEuNS4uLi4uLi5JRAQAAACK0S9xBQAAAAMAAAAHSVEzMjI2MQMAAAAMSVExNzk5OTE2MjA0AwAAAAxJUTE3OTk5MjAyMTQDAAAADElRMTg5Nzg0NzI5NwMAAAAMSVExODk4OTU5MjQygCfWu66N3gjpEuUlr43eCCFDSVEuSVEyOTA5Ni5JUV9URVZfVE9UQUxfUkVWLjIwMDABAAAAqHEAAAIAAAAQOC4wODE5MjQwMDg3Nzc3NwEHAAAABQAAAAExAQAAAAstMTkwNzgyMjY4MwMAAAABMAIAAAAGMTAwMDYxBAAAAAEwBwAAAAkzLzI3LzIwMjYIAAAACTMvMjcvMjAyNj9P1ruujd4IbFToJa+N3gg7Q0lRUkFOR0UuSU5TRUVHTy5JUV9DT01QQU5ZX05BTUVfUVVJQ0tfTUFUQ0guMS41Li4uLi4uLk5BTUUEAAAAitEvcQUAAAADAAAADUluc2VlZ28gQ29ycC4DAAAAFkluc2VlZ28gV2lyZWxlc3MsIEluYy4DAAAAEUluc2VlZ28gSmFwYW4gSyBLAwAAABRJbnNlZWdvIFNBIChQdHkpIEx0ZAMAAAAdSW5zZWVnbyBJbmRpYSBQcml2YXRlIExpbWl0ZWQ/T9a7ro3eCPg55SWvjd4IHkNJUS5JUTI5MDk2LklRX1RFVl9FQklUREEuMjAwMAEAAACocQAAAgAAABAyMC45</t>
  </si>
  <si>
    <t>MzE1Mjg0ODE0MTk2AQcAAAAFAAAAATEBAAAACy0xOTA3ODIyNjgzAwAAAAEwAgAAAAYxMDAwNjMEAAAAATAHAAAACTMvMjcvMjAyNggAAAAJMy8yNy8yMDI2P0/Wu66N3ghv6eMlr43eCDZDSVFSQU5HRS5ORVRBUFAuSVFfQ09NUEFOWV9JRF9RVUlDS19NQVRDSC4xLjUuLi4uLi4uSUQEAAAAMjFEAwUAAAADAAAAB0lRMzIwNTIDAAAACklRMzc4OTU5NTYDAAAACklRMzUzNDY1NTYDAAAACklRNDkxNTQ0MjkDAAAACklRNTQ4MDA2OTA/T9a7ro3eCPg55SWvjd4IG0NJUS5JUTIyNzUxLklRX1BFX0VYQ0wuMjAwMAEAAADfWAAAAgAAABAyNC4yNTQ5Mjk1Nzc0NjQ4AQcAAAAFAAAAATEBAAAACy0xOTA1MTQxMjAxAwAAAAEwAgAAAAYxMDAwNjYEAAAAATAHAAAACTMvMjcvMjAyNggAAAAJMy8yNy8yMDI2P0/Wu66N3ghTu22Wr43eCDpDSVFSQU5HRS5ORVRBUFAuSVFfQ09NUEFOWV9OQU1FX1FVSUNLX01BVENILjEuNS4uLi4uLi5OQU1FBAAAADIxRAMFAAAAAwAAAAxOZXRBcHAsIEluYy4DAAAAJk5ldEFwcCBIb2xkaW5nICYgTWFudWZhY3R1cmluZyBCViBOQUhNAwAAABZOZXRBcHAgSW5kaWEgUHZ0LiBMdGQuAwAAABpOZXRBcHAgQXVzdHJhbGlhIFB0eS4gTHRkLgMAAAAfTmV0QXBwIFUuUy4gUHVibGljIFNlY3RvciwgSW5jLj9P1ruujd4I+DnlJa+N3gghQ0lRLklRMjI3NTEuSVFfVEVWX1RPVEFMX1JF</t>
  </si>
  <si>
    <t>Vi4yMDAwAQAAAN9YAAACAAAAEDUuNjU0ODQyNzM1Mzc0ODgBBwAAAAUAAAABMQEAAAALLTE5MDUxNDEyMDEDAAAAATACAAAABjEwMDA2MQQAAAABMAcAAAAJMy8yNy8yMDI2CAAAAAkzLzI3LzIwMjY/T9a7ro3eCFO7bZavjd4IOENJUVJBTkdFLkhBUk1PTklDLklRX0NPTVBBTllfSURfUVVJQ0tfTUFUQ0guMS41Li4uLi4uLklEBAAAAC+TJnEFAAAAAwAAAAdJUTI5MjgyAwAAAAlJUTU0MzM5ODkDAAAAC0lRNzEzNTUwMzc0AwAAAAtJUTY5NzUxODA3MAMAAAAMSVExODk4MzUzNDU1P0/Wu66N3ggiH+clr43eCB5DSVEuSVEyMjc1MS5JUV9URVZfRUJJVERBLjIwMDABAAAA31gAAAIAAAAQMTMuOTkyMzU4MzA0MjU1MwEHAAAABQAAAAExAQAAAAstMTkwNTE0MTIwMQMAAAABMAIAAAAGMTAwMDYzBAAAAAEwBwAAAAkzLzI3LzIwMjYIAAAACTMvMjcvMjAyNj9P1ruujd4IU7ttlq+N3gg8Q0lRUkFOR0UuSEFSTU9OSUMuSVFfQ09NUEFOWV9OQU1FX1FVSUNLX01BVENILjEuNS4uLi4uLi5OQU1FBAAAAC+TJnEFAAAAAwAAAA1IYXJtb25pYyBJbmMuAwAAABtIYXJtb25pYyBEcml2ZSBTeXN0ZW1zIEluYy4DAAAAEUhhcm1vbmljIEFJLCBJbmMuAwAAAAhIYXJtb25pYwMAAAAQQ29uY29yZGFuY2UgSW5jLj9P1ruujd4IIh/nJa+N3ghBQ0lRUkFOR0UuRUdBSU4gQ09SUE9SQVRJT04uSVFfQ09NUEFOWV9JRF9R</t>
  </si>
  <si>
    <t>VUlDS19NQVRDSC4xLjUuLi4uLi4uSUQEAAAAdaynBgUAAAADAAAAB0lRMjc5MjgDAAAACElRNjk0OTE4AwAAAApJUTQ5NTE2MDMxAwAAAApJUTUxMTk5OTE1AwAAAAtJUTExMTY1MTk1Nz9P1ruujd4I+DnlJa+N3ghFQ0lRUkFOR0UuRUdBSU4gQ09SUE9SQVRJT04uSVFfQ09NUEFOWV9OQU1FX1FVSUNLX01BVENILjEuNS4uLi4uLi5OQU1FBAAAAHWspwYFAAAAAwAAABFlR2FpbiBDb3Jwb3JhdGlvbgMAAAAZTml0bWFuIFNvZnR3YXJlIFB2dC4gTHRkLgMAAAAORWdhIEludmVzdCBBcHMDAAAAMGVHYWluIENvbW11bmljYXRpb25zIENvcnAuLCBBc3NldCBNYW5hZ2VtZW50IEFybQMAAAAYZUdhaW4gQ29tbXVuaWNhdGlvbnMgTHRkP0/Wu66N3gj4OeUlr43eCEFDSVFSQU5HRS5DT01NVkFVTFQgU1lTVEVNUy5JUV9DT01QQU5ZX0lEX1FVSUNLX01BVENILjEuNS4uLi4uLi5JRAQAAAByF1IOBQAAAAMAAAAHSVEyNjc4OQMAAAALSVEyNDAyNTEyMDkDAAAAC0lRMjI2NTg5ODA0AwAAAAtJUTI0MDI2MDEwNgMAAAALSVEyNDAyNjA5Nzg/T9a7ro3eCCIf5yWvjd4IRUNJUVJBTkdFLkNPTU1WQVVMVCBTWVNURU1TLklRX0NPTVBBTllfTkFNRV9RVUlDS19NQVRDSC4xLjUuLi4uLi4uTkFNRQQAAAByF1IOBQAAAAMAAAAXQ29tbXZhdWx0IFN5c3RlbXMsIEluYy4DAAAAHENvbW1WYXVsdCBTeXN0ZW1zIChKYXBh</t>
  </si>
  <si>
    <t>bikgS0sDAAAAJUNvbW1WYXVsdCBTeXN0ZW1zIChIb25nIEtvbmcpIExpbWl0ZWQDAAAAFkNvbW1WYXVsdCBTeXN0ZW1zIEdtYkgDAAAAGENvbW12YXVsdCBTeXN0ZW1zIEFCIFNybD9P1ruujd4IIh/nJa+N3gg1Q0lRUkFOR0UuQ1lSRU4uSVFfQ09NUEFOWV9JRF9RVUlDS19NQVRDSC4xLjUuLi4uLi4uSUQEAAAASayIcQUAAAADAAAAB0lRMjY3NjcDAAAAC0lRNjk4NDc5ODA3AwAAAAxJUTE4NjAwMjA1ODkDAAAADElRMTg5NzkwMTg2MgMAAAAMSVExOTA0NzgyNDA5P0/Wu66N3ggiH+clr43eCBxDSVEuSVEyODU4MjcuSVFfUEVfRVhDTC4yMDAwAQAAAINcBAACAAAAEDI4LjY1NzA0OTc5MDYwMDMBBwAAAAUAAAABMQEAAAALLTE5MDg0NTkzNjkDAAAAATACAAAABjEwMDA2NgQAAAABMAcAAAAJMy8yNy8yMDI2CAAAAAkzLzI3LzIwMjY/T9a7ro3eCHMJbpavjd4IOUNJUVJBTkdFLkNZUkVOLklRX0NPTVBBTllfTkFNRV9RVUlDS19NQVRDSC4xLjUuLi4uLi4uTkFNRQQAAABJrIhxBQAAAAMAAAAKQ3lyZW4gTHRkLgMAAAAGQ3lyZW5lAwAAAAZDeXJlbmUDAAAABkN5cmVuZQMAAAAZQ3lyZW5lIGF0IE1lYWRvd2xhbmRzIExsYz9P1ruujd4IIh/nJa+N3ghEQ0lRUkFOR0UuQ0lUUklYIFNZU1RFTVMsIElOQy4uSVFfQ09NUEFOWV9JRF9RVUlDS19NQVRDSC4xLjUuLi4uLi4uSUQEAAAAAlPCAQUAAAADAAAA</t>
  </si>
  <si>
    <t>B0lRMjY1MjQDAAAACklRMjk1MTE2MDADAAAACklRMjk1MTE5NzUDAAAACklRMjk1MTIwNjgDAAAACklRMjk1MTI0NTA/T9a7ro3eCPhJ5yWvjd4ISENJUVJBTkdFLkNJVFJJWCBTWVNURU1TLCBJTkMuLklRX0NPTVBBTllfTkFNRV9RVUlDS19NQVRDSC4xLjUuLi4uLi4uTkFNRQQAAAACU8IBBQAAAAMAAAAUQ2l0cml4IFN5c3RlbXMsIEluYy4DAAAAE0NpdHJpeCBTeXN0ZW1zIEdtYkgDAAAAIENpdHJpeCBTeXN0ZW1zIE5ldGhlcmxhbmRzLCBCLlYuAwAAABlDaXRyaXggU3lzdGVtcyBOb3J3YXkgQVMuAwAAACZDaXRyaXggU3lzdGVtcyBTb3V0aCBBZnJpY2EgKFB0eSkgTHRkLj9P1ruujd4I+EnnJa+N3ggiQ0lRLklRMjg1ODI3LklRX1RFVl9UT1RBTF9SRVYuMjAwMAEAAACDXAQAAgAAABAyLjEzOTY2NzgyMjU4MTgxAQcAAAAFAAAAATEBAAAACy0xOTA4NDU5MzY5AwAAAAEwAgAAAAYxMDAwNjEEAAAAATAHAAAACTMvMjcvMjAyNggAAAAJMy8yNy8yMDI2P0/Wu66N3ghzCW6Wr43eCEJDSVFSQU5HRS5PUkFDTEUgQ09SUE9SQVRJT04uSVFfQ09NUEFOWV9JRF9RVUlDS19NQVRDSC4xLjUuLi4uLi4uSUQEAAAAPrZLbQUAAAADAAAAB0lRMjIyNDcDAAAAB0lRMzQ5MDMDAAAAC0lRNDI5MDg1OTQ4AwAAAAhJUTY3ODU3MQMAAAAMSVExODMzNjc4Mzk4P0/Wu66N3gj4OeUlr43eCB9DSVEuSVEyODU4Mjcu</t>
  </si>
  <si>
    <t>SVFfVEVWX0VCSVREQS4yMDAwAQAAAINcBAACAAAAEDE4LjczNTAxMjMzODAxNDIBBwAAAAUAAAABMQEAAAALLTE5MDg0NTkzNjkDAAAAATACAAAABjEwMDA2MwQAAAABMAcAAAAJMy8yNy8yMDI2CAAAAAkzLzI3LzIwMjY/T9a7ro3eCHMJbpavjd4IRkNJUVJBTkdFLk9SQUNMRSBDT1JQT1JBVElPTi5JUV9DT01QQU5ZX05BTUVfUVVJQ0tfTUFUQ0guMS41Li4uLi4uLk5BTUUEAAAAPrZLbQUAAAADAAAAEk9yYWNsZSBDb3Jwb3JhdGlvbgMAAAAUT3JhY2xlIEFtZXJpY2EsIEluYy4DAAAAEU9yYWNsZSBIZWFsdGhjYXJlAwAAACpPcmFjbGUgRmluYW5jaWFsIFNlcnZpY2VzIFNvZnR3YXJlIExpbWl0ZWQDAAAAF0FzcGlyemluZyBTb2x1dGlvbnMgTHRkP0/Wu66N3gj4Seclr43eCB9DSVEuSVEyMjQwNTUyODMuSVFfUEVfRVhDTC4yMDAwAQAAAPPPWg0DAAAAAk5NAQcAAAAFAAAAATEBAAAACy0xOTA3NzUwNDA1AwAAAAEwAgAAAAYxMDAwNjYEAAAAATAHAAAACTMvMjcvMjAyNggAAAAJMy8yNy8yMDI2P0/Wu66N3gjdT+Ylr43eCDVDSVFSQU5HRS5BUFBMRS5JUV9DT01QQU5ZX0lEX1FVSUNLX01BVENILjEuNS4uLi4uLi5JRAQAAAAhGJ8ZBQAAAAMAAAAHSVEyNDkzNwMAAAALSVEyNzU4OTI3NTEDAAAAC0lRMjI4Njc3NjY4AwAAAApJUTM4NTc2MzY4AwAAAAtJUTQyOTg1NjgwMT9P1ruujd4I+EnnJa+N</t>
  </si>
  <si>
    <t>3gglQ0lRLklRMjI0MDU1MjgzLklRX1RFVl9UT1RBTF9SRVYuMjAwMAEAAADzz1oNAgAAAA8xLjMyMTc5MjE5MDExODIBBwAAAAUAAAABMQEAAAALLTE5MDc3NTA0MDUDAAAAATACAAAABjEwMDA2MQQAAAABMAcAAAAJMy8yNy8yMDI2CAAAAAkzLzI3LzIwMjY/T9a7ro3eCN1P5iWvjd4IOUNJUVJBTkdFLkFQUExFLklRX0NPTVBBTllfTkFNRV9RVUlDS19NQVRDSC4xLjUuLi4uLi4uTkFNRQQAAAAhGJ8ZBQAAAAMAAAAKQXBwbGUgSW5jLgMAAAAFQXBwbGUDAAAAEkFwcGxlZ3JlZW4gTGltaXRlZAMAAAATQXBwbGUgTGVpc3VyZSBHcm91cAMAAAAKQXBwbGUgSW5jLj9P1ruujd4I+EnnJa+N3ggiQ0lRLklRMjI0MDU1MjgzLklRX1RFVl9FQklUREEuMjAwMAEAAADzz1oNAwAAAAJOTQEHAAAABQAAAAExAQAAAAstMTkwNzc1MDQwNQMAAAABMAIAAAAGMTAwMDYzBAAAAAEwBwAAAAkzLzI3LzIwMjYIAAAACTMvMjcvMjAyNj9P1ruujd4I3U/mJa+N3ghEQ0lRUkFOR0UuRU1FUlNPTiBFTEVDVFJJQyBDTy4uSVFfQ09NUEFOWV9JRF9RVUlDS19NQVRDSC4xLjUuLi4uLi4uSUQEAAAAR1tAAAUAAAADAAAACElRMjY5MjMxAwAAAApJUTIyNTk2MzAwAwAAAApJUTM5NDU2ODAwAwAAAApJUTUzMzA1MjE1AwAAAAlJUTQyMTc2NzE/T9a7ro3eCPhJ5yWvjd4ISENJUVJBTkdFLkVNRVJTT04gRUxFQ1RSSUMgQ08uLklR</t>
  </si>
  <si>
    <t>X0NPTVBBTllfTkFNRV9RVUlDS19NQVRDSC4xLjUuLi4uLi4uTkFNRQQAAABHW0AABQAAAAMAAAAURW1lcnNvbiBFbGVjdHJpYyBDby4DAAAAHEVtZXJzb24gRWxlY3RyaWMgQ2FuYWRhIEx0ZC4DAAAAHUVtZXJzb24gRWxlY3RyaWMgVS5LLiBMaW1pdGVkAwAAADBFbWVyc29uIEVsZWN0cmljIENvbXBhbnkgKEluZGlhKSBQcml2YXRlIExpbWl0ZWQDAAAAK0VtZXJzb24gRWxlY3RyaWMgKFUuUy4pIEhvbGRpbmcgQ29ycG9yYXRpb24/T9a7ro3eCPg55SWvjd4ISENJUVJBTkdFLlJPUEVSIFRFQ0hOT0xPR0lFUywgSU5DLi5JUV9DT01QQU5ZX0lEX1FVSUNLX01BVENILjEuNS4uLi4uLi5JRAQAAABDz9FpBQAAAAMAAAAHSVEyMjc1MQMAAAAMSVExNzg1MzQ0MzAyAwAAAApJUTQ2NDUyNDEyAwAAAAxJUTE3NjgwMTE4NTgDAAAADElRMTc3NTM1Nzc2Mz9P1ruujd4ICmHlJa+N3ggdQ0lRLklRMTM0MDc0MC5JUV9QRV9FWENMLjIwMDABAAAARHUUAAIAAAAQMzIuMzk2OTQ1NjM4MjY3OQEHAAAABQAAAAExAQAAAAstMTkwNjExNzY0OAMAAAABMAIAAAAGMTAwMDY2BAAAAAEwBwAAAAkzLzI3LzIwMjYIAAAACTMvMjcvMjAyNj9P1ruujd4IsaVulq+N3ghMQ0lRUkFOR0UuUk9QRVIgVEVDSE5PTE9HSUVTLCBJTkMuLklRX0NPTVBBTllfTkFNRV9RVUlDS19NQVRDSC4xLjUuLi4uLi4uTkFNRQQAAABDz9FpBQAA</t>
  </si>
  <si>
    <t>AAMAAAAYUm9wZXIgVGVjaG5vbG9naWVzLCBJbmMuAwAAABVJbmRpY29yIEhvbGRpbmdzLCBMTEMDAAAAGFJvcGVyIEluZHVzdHJpZXMgTGltaXRlZAMAAAAcUm9wZXIgVGVjaG5vbG9naWVzIChzY290KSBMcAMAAAAhUm9wZXIgVGVjaC4gTWlkZGxlIEVhc3QgTHRkLiBGWkNPP0/Wu66N3ggKYeUlr43eCDpDSVFSQU5HRS5IT01FIERFUE9ULklRX0NPTVBBTllfSURfUVVJQ0tfTUFUQ0guMS41Li4uLi4uLklEBAAAANP/DgAFAAAAAwAAAAhJUTI3ODY3OQMAAAAJSVE0NzcyMTAyAwAAAAtJUTY5ODk4MDI5MAMAAAALSVE2NjUwMzc3MDgDAAAACElROTgyOTk1P0/Wu66N3gg6DOIlr43eCD5DSVFSQU5HRS5IT01FIERFUE9ULklRX0NPTVBBTllfTkFNRV9RVUlDS19NQVRDSC4xLjUuLi4uLi4uTkFNRQQAAADT/w4ABQAAAAMAAAAUVGhlIEhvbWUgRGVwb3QsIEluYy4DAAAAF0hvbWUgRGVwb3QgVS5TLkEuLCBJbmMuAwAAAApIb21lIERlcG90AwAAACFIb21lIERlcG90IFByb2R1Y3QgQXV0aG9yaXR5LCBMTEMDAAAAGUhvbWUgRGVwb3Qgb2YgQ2FuYWRhIEluYy4/T9a7ro3eCP8f4iWvjd4ISENJUVJBTkdFLkdFTkVSQUwgRUxFQ1RSSUMgQ09NUEFOWS5JUV9DT01QQU5ZX0lEX1FVSUNLX01BVENILjEuNS4uLi4uLi5JRAQAAABKiwAABQAAAAMAAAAISVExNzcwMzEDAAAAC0lRMjYzMjQ3MzQ5AwAAAAtJUTMx</t>
  </si>
  <si>
    <t>NjQ1NjQwNQMAAAAHSVEyMDYyNQMAAAAHSVEzNTY1OD9P1ruujd4I+EnnJa+N3ghMQ0lRUkFOR0UuR0VORVJBTCBFTEVDVFJJQyBDT01QQU5ZLklRX0NPTVBBTllfTkFNRV9RVUlDS19NQVRDSC4xLjUuLi4uLi4uTkFNRQQAAABKiwAABQAAAAMAAAAYR2VuZXJhbCBFbGVjdHJpYyBDb21wYW55AwAAABhHZW5lcmFsIEVsZWN0cmljIENvbXBhbnkDAAAAJEdlbmVyYWwgRWxlY3RyaWMgQ2FwaXRhbCBDb3Jwb3JhdGlvbgMAAAAeR2VuZXJhbCBFbGVjdHJpYyBQZW5zaW9uIFRydXN0AwAAABhHRSBBdmlhdGlvbiBNYXRlcmlhbHMgTFA/T9a7ro3eCPhJ5yWvjd4II0NJUS5JUTEzNDA3NDAuSVFfVEVWX1RPVEFMX1JFVi4yMDAwAQAAAER1FAACAAAAEDQuNDIyNTk5Mjg0NDE2NDMBBwAAAAUAAAABMQEAAAALLTE5MDYxMTc2NDgDAAAAATACAAAABjEwMDA2MQQAAAABMAcAAAAJMy8yNy8yMDI2CAAAAAkzLzI3LzIwMjY/T9a7ro3eCLGlbpavjd4IIENJUS5JUTEzNDA3NDAuSVFfVEVWX0VCSVREQS4yMDAwAQAAAER1FAACAAAAEDE4LjkwNTIzNjAzMjMyMzMBBwAAAAUAAAABMQEAAAALLTE5MDYxMTc2NDgDAAAAATACAAAABjEwMDA2MwQAAAABMAcAAAAJMy8yNy8yMDI2CAAAAAkzLzI3LzIwMjY/T9a7ro3eCLGlbpavjd4IOkNJUVJBTkdFLjNNIENPTVBBTlkuSVFfQ09NUEFOWV9JRF9RVUlDS19NQVRDSC4xLjUu</t>
  </si>
  <si>
    <t>Li4uLi4uSUQEAAAABc9aAQUAAAADAAAACElRMjg5MTk0AwAAAApJUTM2MTgzNzc3AwAAAAhJUTg4MTM1MQMAAAALSVEyNjY5ODMxOTMDAAAACklRMjI3Mjg0NTM/T9a7ro3eCD9P1ruujd4IHENJUS5JUTM2MzI2My5JUV9QRV9FWENMLjIwMDABAAAA/4oFAAIAAAAQMjQuODA3NjY3MzE2NDM5MgEHAAAABQAAAAExAQAAAAstMTkwNzc1MDM5NwMAAAABMAIAAAAGMTAwMDY2BAAAAAEwBwAAAAkzLzI3LzIwMjYIAAAACTMvMjcvMjAyNj9P1ruujd4Iwcxulq+N3gg+Q0lRUkFOR0UuM00gQ09NUEFOWS5JUV9DT01QQU5ZX05BTUVfUVVJQ0tfTUFUQ0guMS41Li4uLi4uLk5BTUUEAAAABc9aAQUAAAADAAAACjNNIENvbXBhbnkDAAAAF0VVUklCT1IgLSBFVVIgLSAzIE1vbnRoAwAAABAzTSBJbmRpYSBMaW1pdGVkAwAAACxTd2FwIFJhdGVzIC0gQWN0LzM2MCBBbm4gdnMgM00gRVVSSUJPUiAtIEVVUgMAAAAWM00gSGVhbHRoIENhcmUgTGltaXRlZD9P1ruujd4IP0/Wu66N3ggiQ0lRLklRMzYzMjYzLklRX1RFVl9UT1RBTF9SRVYuMjAwMAEAAAD/igUAAgAAABAxLjM3NjkxOTcyNTM3MDA3AQcAAAAFAAAAATEBAAAACy0xOTA3NzUwMzk3AwAAAAEwAgAAAAYxMDAwNjEEAAAAATAHAAAACTMvMjcvMjAyNggAAAAJMy8yNy8yMDI2P0/Wu66N3gjBzG6Wr43eCDlDSVFSQU5HRS5OWVNFOiBNTU0uSVFfQ09NUEFOWV9J</t>
  </si>
  <si>
    <t>RF9RVUlDS19NQVRDSC4xLjUuLi4uLi4uSUQFAAAAAAAAAAgAAAAUKEludmFsaWQgSWRlbnRpZmllcik/T9a7ro3eCGtX4iWvjd4IPUNJUVJBTkdFLk5ZU0U6IE1NTS5JUV9DT01QQU5ZX05BTUVfUVVJQ0tfTUFUQ0guMS41Li4uLi4uLk5BTUUFAAAAAAAAAAgAAAAUKEludmFsaWQgSWRlbnRpZmllcik/T9a7ro3eCGtX4iWvjd4IH0NJUS5JUTM2MzI2My5JUV9URVZfRUJJVERBLjIwMDABAAAA/4oFAAIAAAAQMTMuNTU2MzYxMDgxNjQwNAEHAAAABQAAAAExAQAAAAstMTkwNzc1MDM5NwMAAAABMAIAAAAGMTAwMDYzBAAAAAEwBwAAAAkzLzI3LzIwMjYIAAAACTMvMjcvMjAyNj9P1ruujd4Iwcxulq+N3ggfQ0lRLklRMTc3MDMxLklRX1RFVl9FQklUREEuMjAwMAEAAACHswIAAgAAABAyNy4wMDU4NjE2MTkwMzkzAQcAAAAFAAAAATEBAAAACy0xOTA4Mjc0MTkzAwAAAAEwAgAAAAYxMDAwNjMEAAAAATAHAAAACTMvMjcvMjAyNggAAAAJMy8yNy8yMDI2P0/Wu66N3gjhGm+Wr43eCBxDSVEuSVEzNzA4NTcuSVFfUEVfRVhDTC4yMDAwAQAAAKmoBQACAAAAEDc2LjgyMjU4MDY0NTE2MTMBBwAAAAUAAAABMQEAAAALLTE5MDgzMzI5NjADAAAAATACAAAABjEwMDA2NgQAAAABMAcAAAAJMy8yNy8yMDI2CAAAAAkzLzI3LzIwMjY/T9a7ro3eCAJpb5avjd4IH0NJUS5JUTM3MDg1Ny5JUV9URVZfRUJJVERBLjIwMDAB</t>
  </si>
  <si>
    <t>AAAAqagFAAMAAAACTk0BBwAAAAUAAAABMQEAAAALLTE5MDgzMzI5NjADAAAAATACAAAABjEwMDA2MwQAAAABMAcAAAAJMy8yNy8yMDI2CAAAAAkzLzI3LzIwMjY/T9a7ro3eCPJBb5avjd4IG0NJUS5JUTIxODM1LklRX1BFX0VYQ0wuMjAwMAEAAABLVQAAAgAAABAyMi4zMjUyNjk3MzczNDE5AQcAAAAFAAAAATEBAAAACy0xOTA4NjcxMjc3AwAAAAEwAgAAAAYxMDAwNjYEAAAAATAHAAAACTMvMjcvMjAyNggAAAAJMy8yNy8yMDI2P0/Wu66N3giuduQlr43eCB9DSVEuSVEyODkxOTQuSVFfVEVWX0VCSVREQS4yMDAwAQAAAKppBAACAAAAEDEyLjU0MTk2MTkzNTU1ODMBBwAAAAUAAAABMQEAAAALLTE5MDgwMTg1NTgDAAAAATACAAAABjEwMDA2MwQAAAABMAcAAAAJMy8yNy8yMDI2CAAAAAkzLzI3LzIwMjY/T9a7ro3eCDQgbJavjd4IIUNJUS5JUTIxODM1LklRX1RFVl9UT1RBTF9SRVYuMjAwMAEAAABLVQAAAgAAAA84Ljc4Mzg2NDI0NTcwODkBBwAAAAUAAAABMQEAAAALLTE5MDg2NzEyNzcDAAAAATACAAAABjEwMDA2MQQAAAABMAcAAAAJMy8yNy8yMDI2CAAAAAkzLzI3LzIwMjY/T9a7ro3eCK525CWvjd4IH0NJUS5JUTE1OTIzMC5JUV9URVZfRUJJVERBLjIwMDABAAAA/m0CAAIAAAAQMTkuMDI1NTI2NTQ0NzI3NQEHAAAABQAAAAExAQAAAAstMTkwNzYwNDY2OAMAAAABMAIAAAAGMTAwMDYzBAAAAAEw</t>
  </si>
  <si>
    <t>BwAAAAkzLzI3LzIwMjYIAAAACTMvMjcvMjAyNj9P1ruujd4ITEtslq+N3ggeQ0lRLklRMjE4MzUuSVFfVEVWX0VCSVREQS4yMDAwAQAAAEtVAAACAAAAEDE0LjI1Njk0NzMxMTc3MzEBBwAAAAUAAAABMQEAAAALLTE5MDg2NzEyNzcDAAAAATACAAAABjEwMDA2MwQAAAABMAcAAAAJMy8yNy8yMDI2CAAAAAkzLzI3LzIwMjY/T9a7ro3eCK525CWvjd4IHENJUS5JUTI3ODY3OS5JUV9QRV9FWENMLjIwMDABAAAAl0AEAAIAAAAQMjIuNjAzNjU0MjUxNTgxMgEHAAAABQAAAAExAQAAAAstMTkwMDk5MjE4NQMAAAABMAIAAAAGMTAwMDY2BAAAAAEwBwAAAAkzLzI3LzIwMjYIAAAACTMvMjcvMjAyNj9P1ruujd4IYFDrJa+N3ggcQ0lRLklRMTc3MDMxLklRX1BFX0VYQ0wuMjAwMAEAAACHswIAAgAAABAzNS4xMjkyMjg4ODIzMTAyAQcAAAAFAAAAATEBAAAACy0xOTA4Mjc0MTkzAwAAAAEwAgAAAAYxMDAwNjYEAAAAATAHAAAACTMvMjcvMjAyNggAAAAJMy8yNy8yMDI2P0/Wu66N3gjhGm+Wr43eCBxDSVEuSVExODA4NzEuSVFfUEVfRVhDTC4yMDAwAQAAAIfCAgACAAAAEDE5LjQzNTQ0MzAzNzk3NDcBBwAAAAUAAAABMQEAAAALLTE5MDA0OTYxMDUDAAAAATACAAAABjEwMDA2NgQAAAABMAcAAAAJMy8yNy8yMDI2CAAAAAkzLzI3LzIwMjY/T9a7ro3eCGBQ6yWvjd4IH0NJUS5JUTE4MDg3MS5JUV9URVZfRUJJVERB</t>
  </si>
  <si>
    <t>LjIwMDABAAAAh8ICAAIAAAAQMTIuMDQ4Nzg2NTE1MDAwNwEHAAAABQAAAAExAQAAAAstMTkwMDQ5NjEwNQMAAAABMAIAAAAGMTAwMDYzBAAAAAEwBwAAAAkzLzI3LzIwMjYIAAAACTMvMjcvMjAyNj9P1ruujd4IYFDrJa+N3ggiQ0lRLklRMTc3MDMxLklRX1RFVl9UT1RBTF9SRVYuMjAwMAEAAACHswIAAgAAABA2LjY1NzM4MjE3NzMzMzMzAQcAAAAFAAAAATEBAAAACy0xOTA4Mjc0MTkzAwAAAAEwAgAAAAYxMDAwNjEEAAAAATAHAAAACTMvMjcvMjAyNggAAAAJMy8yNy8yMDI2P0/Wu66N3gjhGm+Wr43eCCJDSVEuSVEzNzA4NTcuSVFfVEVWX1RPVEFMX1JFVi4yMDAwAQAAAKmoBQACAAAAEDEuOTgzMzM0MTc3ODQ3ODMBBwAAAAUAAAABMQEAAAALLTE5MDgzMzI5NjADAAAAATACAAAABjEwMDA2MQQAAAABMAcAAAAJMy8yNy8yMDI2CAAAAAkzLzI3LzIwMjY/T9a7ro3eCPJBb5avjd4IHkNJUS5JUTIwNzY1NDYzLklRX1BFX0VYQ0wuMjAwMAEAAAAX2zwBAgAAABAyMi4zODA1ODc0ODQwMzU4AQcAAAAFAAAAATEBAAAACy0xOTA4NTExNTAwAwAAAAEwAgAAAAYxMDAwNjYEAAAAATAHAAAACTMvMjcvMjAyNggAAAAJMy8yNy8yMDI2P0/Wu66N3gi7neQlr43eCCRDSVEuSVEyMDc2NTQ2My5JUV9URVZfVE9UQUxfUkVWLjIwMDABAAAAF9s8AQIAAAAQNi42MzQ1ODk0MjU3NDQwNgEHAAAABQAAAAExAQAAAAst</t>
  </si>
  <si>
    <t>MTkwODUxMTUwMAMAAAABMAIAAAAGMTAwMDYxBAAAAAEwBwAAAAkzLzI3LzIwMjYIAAAACTMvMjcvMjAyNj9P1ruujd4I5s7oJa+N3gghQ0lRLklRMjA3NjU0NjMuSVFfVEVWX0VCSVREQS4yMDAwAQAAABfbPAECAAAAEDEyLjU5NzkyNzkzMTk1MjcBBwAAAAUAAAABMQEAAAALLTE5MDg1MTE1MDADAAAAATACAAAABjEwMDA2MwQAAAABMAcAAAAJMy8yNy8yMDI2CAAAAAkzLzI3LzIwMjY/T9a7ro3eCLud5CWvjd4IHENJUS5JUTI4OTE5NC5JUV9QRV9FWENMLjIwMDABAAAAqmkEAAIAAAAFMjMuODQBBwAAAAUAAAABMQEAAAALLTE5MDgwMTg1NTgDAAAAATACAAAABjEwMDA2NgQAAAABMAcAAAAJMy8yNy8yMDI2CAAAAAkzLzI3LzIwMjY/T9a7ro3eCDQgbJavjd4IH0NJUS5JUTI3ODY3OS5JUV9URVZfRUJJVERBLjIwMDABAAAAl0AEAAIAAAAPMTQuMDI1NDc1MTEyNTYxAQcAAAAFAAAAATEBAAAACy0xOTAwOTkyMTg1AwAAAAEwAgAAAAYxMDAwNjMEAAAAATAHAAAACTMvMjcvMjAyNggAAAAJMy8yNy8yMDI2P0/Wu66N3gjJxOQlr43eCCJDSVEuSVEyODkxOTQuSVFfVEVWX1RPVEFMX1JFVi4yMDAwAQAAAKppBAACAAAADzMuMjA1MzY5MTM5ODU1NwEHAAAABQAAAAExAQAAAAstMTkwODAxODU1OAMAAAABMAIAAAAGMTAwMDYxBAAAAAEwBwAAAAkzLzI3LzIwMjYIAAAACTMvMjcvMjAyNj9P1ruujd4INCBs</t>
  </si>
  <si>
    <t>lq+N3ggcQ0lRLklRMTU5MjMwLklRX1BFX0VYQ0wuMjAwMAEAAAD+bQIAAgAAABAzOC4yNDc5ODM4NzA5Njc3AQcAAAAFAAAAATEBAAAACy0xOTA3NjA0NjY4AwAAAAEwAgAAAAYxMDAwNjYEAAAAATAHAAAACTMvMjcvMjAyNggAAAAJMy8yNy8yMDI2P0/Wu66N3ghMS2yWr43eCCJDSVEuSVExNTkyMzAuSVFfVEVWX1RPVEFMX1JFVi4yMDAwAQAAAP5tAgACAAAAEDMuMjcwMzA0MjcwNDY3MTQBBwAAAAUAAAABMQEAAAALLTE5MDc2MDQ2NjgDAAAAATACAAAABjEwMDA2MQQAAAABMAcAAAAJMy8yNy8yMDI2CAAAAAkzLzI3LzIwMjY/T9a7ro3eCExLbJavjd4IIkNJUS5JUTI3ODY3OS5JUV9URVZfVE9UQUxfUkVWLjIwMDABAAAAl0AEAAIAAAAQMi4zMzcxMzkxNTg0OTc4NAEHAAAABQAAAAExAQAAAAstMTkwMDk5MjE4NQMAAAABMAIAAAAGMTAwMDYxBAAAAAEwBwAAAAkzLzI3LzIwMjYIAAAACTMvMjcvMjAyNj9P1ruujd4I5s7oJa+N3ggiQ0lRLklRMTgwODcxLklRX1RFVl9UT1RBTF9SRVYuMjAwMAEAAACHwgIAAgAAABAyLjAwMTI4ODgzNDAyODU4AQcAAAAFAAAAATEBAAAACy0xOTAwNDk2MTA1AwAAAAEwAgAAAAYxMDAwNjEEAAAAATAHAAAACTMvMjcvMjAyNggAAAAJMy8yNy8yMDI2P0/Wu66N3ghpNeolr43eCCVDSVEuSVExNzcwMzEuSVFfRUJJVERBX0NBUEVYX0lOVC4xMDAwAQAAAIezAgACAAAA</t>
  </si>
  <si>
    <t>CTExLjY0Mjk0MQEIAAAABQAAAAExAQAAAAstMTkwODI3NDI5NQMAAAADMTYwAgAAAAQ0MTkxBAAAAAEwBwAAAAkzLzI5LzIwMjYIAAAACjEyLzMxLzIwMjUJAAAAATCZdta7ro3eCG9ZaJavjd4IH0NJUS5JUTE3NzAzMS5JUV9FQklUREFfSU5ULjEwMDABAAAAh7MCAAIAAAAJMTMuMTUzMDI0AQgAAAAFAAAAATEBAAAACy0xOTA4Mjc0Mjk1AwAAAAMxNjACAAAABDQxOTAEAAAAATAHAAAACTMvMjkvMjAyNggAAAAKMTIvMzEvMjAyNQkAAAABMJl21ruujd4I44Nolq+N3ggmQ0lRLklRMTc3MDMxLklRX1RPVEFMX0RFQlRfRVFVSVRZLjEwMDABAAAAh7MCAAIAAAAIMTE0LjA3MDIBCAAAAAUAAAABMQEAAAALLTE5MDgyNzQyOTUDAAAAAzE2MAIAAAAENDAzNAQAAAABMAcAAAAJMy8yOS8yMDI2CAAAAAoxMi8zMS8yMDI1CQAAAAEw3J3Wu66N3gjjg2iWr43eCCZDSVEuSVExNzcwMzEuSVFfVE9UQUxfREVCVF9FQklUREEuMTAwMAEAAACHswIAAgAAAAgxLjk0NDE3MwEIAAAABQAAAAExAQAAAAstMTkwODI3NDI5NQMAAAADMTYwAgAAAAQ0MTkyBAAAAAEwBwAAAAkzLzI5LzIwMjYIAAAACjEyLzMxLzIwMjUJAAAAATCZdta7ro3eCOODaJavjd4IJ0NJUS5JUTE3NzAzMS5JUV9UT1RBTF9ERUJUX0NBUElUQUwuMTAwMAEAAACHswIAAgAAAAc1My4yODYzAQgAAAAFAAAAATEBAAAACy0xOTA4Mjc0Mjk1AwAAAAMx</t>
  </si>
  <si>
    <t>NjACAAAABDQxODYEAAAAATAHAAAACTMvMjkvMjAyNggAAAAKMTIvMzEvMjAyNQkAAAABMNyd1ruujd4I44Nolq+N3ggiQ0lRLklRMTc3MDMxLklRX1JFVFVSTl9BU1NFVFMuMjAwMAEAAACHswIAAgAAAAY0LjY3OTUBCAAAAAUAAAABMQEAAAALLTE5MDgyNzQxOTMDAAAAAzE2MAIAAAAENDE3OAQAAAABMAcAAAAJMy8yOS8yMDI2CAAAAAoxMi8zMS8yMDI1CQAAAAEwmXbWu66N3gjjg2iWr43eCCJDSVEuSVExNzcwMzEuSVFfUkVUVVJOX0VRVUlUWS4yMDAwAQAAAIezAgACAAAABzQ0LjY5MjMBCAAAAAUAAAABMQEAAAALLTE5MDgyNzQxOTMDAAAAAzE2MAIAAAAENDEyOAQAAAABMAcAAAAJMy8yOS8yMDI2CAAAAAoxMi8zMS8yMDI1CQAAAAEw3J3Wu66N3gjjg2iWr43eCCRDSVEuSVExNzcwMzEuSVFfRUZGRUNUX1RBWF9SQVRFLjEwMDABAAAAh7MCAAIAAAAFMTQuMDUBCAAAAAUAAAABMQEAAAALLTE5MDgyNzQyOTUDAAAAAzE2MAIAAAAENDM3NgQAAAABMAcAAAAJMy8yOS8yMDI2CAAAAAoxMi8zMS8yMDI1CQAAAAEwmXbWu66N3gjjg2iWr43eCB1DSVEuSVExNzcwMzEuSVFfT1BFUl9JTkMuMjAwMAEAAACHswIAAgAAAAQ5NDgzAQgAAAAFAAAAATEBAAAACy0xOTA4Mjc0MTkzAwAAAAMxNjACAAAAAjIxBAAAAAEwBwAAAAkzLzI5LzIwMjYIAAAACjEyLzMxLzIwMjUJAAAAATDcnda7ro3eCOODaJavjd4I</t>
  </si>
  <si>
    <t>H0NJUS5JUTE3NzAzMS5JUV9UT1RBTF9ERUJULjIwMDABAAAAh7MCAAIAAAAFMjE1NTcBCAAAAAUAAAABMQEAAAALLTE5MDgyNzQxOTMDAAAAAzE2MAIAAAAENDE3MwQAAAABMAcAAAAJMy8yOS8yMDI2CAAAAAoxMi8zMS8yMDI1CQAAAAEw3J3Wu66N3gjjg2iWr43eCCFDSVEuSVExNzcwMzEuSVFfVE9UQUxfRVFVSVRZLjIwMDABAAAAh7MCAAIAAAAFMTg4OTgBCAAAAAUAAAABMQEAAAALLTE5MDgyNzQxOTMDAAAAAzE2MAIAAAAEMTI3NQQAAAABMAcAAAAJMy8yOS8yMDI2CAAAAAoxMi8zMS8yMDI1CQAAAAEw3J3Wu66N3gjjg2iWr43eCB9DSVEuSVExNzcwMzEuSVFfQ0FTSF9FUVVJVi4yMDAwAQAAAIezAgACAAAABTExOTkyAQgAAAAFAAAAATEBAAAACy0xOTA4Mjc0MTkzAwAAAAMxNjACAAAABDEwOTYEAAAAATAHAAAACTMvMjkvMjAyNggAAAAKMTIvMzEvMjAyNQkAAAABMNyd1ruujd4I44Nolq+N3ggiQ0lRLklRMzcwODU3LklRX0NVUlJFTlRfUkFUSU8uMTAwMAEAAACpqAUAAgAAAAcxLjE4ODE3AQgAAAAFAAAAATEBAAAACy0xOTA4MzMzMzYwAwAAAAMxNjACAAAABDQwMzAEAAAAATAHAAAACTMvMjkvMjAyNggAAAAKMTIvMzEvMjAyNQkAAAABMJl21ruujd4ILKtolq+N3gggQ0lRLklRMzcwODU3LklRX1FVSUNLX1JBVElPLjEwMDABAAAAqagFAAIAAAAIMC4zNzcwMzMBCAAAAAUAAAABMQEAAAAL</t>
  </si>
  <si>
    <t>LTE5MDgzMzMzNjADAAAAAzE2MAIAAAAENDEyMQQAAAABMAcAAAAJMy8yOS8yMDI2CAAAAAoxMi8zMS8yMDI1CQAAAAEw3J3Wu66N3ggsq2iWr43eCB1DSVEuSVEzNzA4NTcuSVFfRUJJVF9JTlQuMTAwMAEAAACpqAUAAwAAAAJOTQEIAAAABQAAAAExAQAAAAstMTkwODMzMzM2MAMAAAADMTYwAgAAAAQ0MTg5BAAAAAEwBwAAAAkzLzI5LzIwMjYIAAAACjEyLzMxLzIwMjUJAAAAATCZdta7ro3eCCyraJavjd4IJUNJUS5JUTM3MDg1Ny5JUV9FQklUREFfQ0FQRVhfSU5ULjEwMDABAAAAqagFAAMAAAACTk0BCAAAAAUAAAABMQEAAAALLTE5MDgzMzMzNjADAAAAAzE2MAIAAAAENDE5MQQAAAABMAcAAAAJMy8yOS8yMDI2CAAAAAoxMi8zMS8yMDI1CQAAAAEw3J3Wu66N3ggsq2iWr43eCB9DSVEuSVEzNzA4NTcuSVFfRUJJVERBX0lOVC4xMDAwAQAAAKmoBQADAAAAAk5NAQgAAAAFAAAAATEBAAAACy0xOTA4MzMzMzYwAwAAAAMxNjACAAAABDQxOTAEAAAAATAHAAAACTMvMjkvMjAyNggAAAAKMTIvMzEvMjAyNQkAAAABMJl21ruujd4ILKtolq+N3ggmQ0lRLklRMzcwODU3LklRX1RPVEFMX0RFQlRfRVFVSVRZLjEwMDABAAAAqagFAAIAAAAJMTAzMi44OTM1AQgAAAAFAAAAATEBAAAACy0xOTA4MzMzMzYwAwAAAAMxNjACAAAABDQwMzQEAAAAATAHAAAACTMvMjkvMjAyNggAAAAKMTIvMzEvMjAyNQkAAAABMNyd</t>
  </si>
  <si>
    <t>1ruujd4ILKtolq+N3gghQ0lRLklRMjY5MjMxLklRX0JFVEFfNVlSLjQvMy8yMDI2AQAAAK8bBAACAAAAEDEuMjQzMzUxMzYyMzAwNjYAP0/Wu66N3ggRgeIlr43eCCZDSVEuSVEzNzA4NTcuSVFfVE9UQUxfREVCVF9FQklUREEuMTAwMAEAAACpqAUAAwAAAAJOTQEIAAAABQAAAAExAQAAAAstMTkwODMzMzM2MAMAAAADMTYwAgAAAAQ0MTkyBAAAAAEwBwAAAAkzLzI5LzIwMjYIAAAACjEyLzMxLzIwMjUJAAAAATDcnda7ro3eCCyraJavjd4IIENJUS5JUTk3MTk5LklRX0JFVEFfNVlSLjQvMy8yMDI2AQAAAK97AQACAAAAEjAuMDA3NjQwMzQ3NTc2ODU2NgA/T9a7ro3eCDRz5yWvjd4IJ0NJUS5JUTM3MDg1Ny5JUV9UT1RBTF9ERUJUX0NBUElUQUwuMTAwMAEAAACpqAUAAgAAAAY5MS4xNzMBCAAAAAUAAAABMQEAAAALLTE5MDgzMzMzNjADAAAAAzE2MAIAAAAENDE4NgQAAAABMAcAAAAJMy8yOS8yMDI2CAAAAAoxMi8zMS8yMDI1CQAAAAEw3J3Wu66N3ggsq2iWr43eCCBDSVEuSVEyOTA5Ni5JUV9CRVRBXzVZUi40LzMvMjAyNgEAAACocQAAAgAAABAxLjExMTY4MTk0NTkzODE3AD9P1ruujd4IYajiJa+N3gggQ0lRLklRMjI3NTEuSVFfQkVUQV81WVIuNC8zLzIwMjYBAAAA31gAAAIAAAARMC45MjY2NDU3ODg0ODkxNjMAP0/Wu66N3gixDmeWr43eCCBDSVEuSVEyMTgzNS5JUV9CRVRBXzVZUi40LzMvMjAy</t>
  </si>
  <si>
    <t>NgEAAABLVQAAAgAAABAxLjEwNzMzODIzMDU4NDA5AD9P1ruujd4IsrXlJa+N3ggiQ0lRLklRMzcwODU3LklRX1JFVFVSTl9BU1NFVFMuMjAwMAEAAACpqAUAAgAAAAYtMS45OTkBCAAAAAUAAAABMQEAAAALLTE5MDgzMzI5NjADAAAAAzE2MAIAAAAENDE3OAQAAAABMAcAAAAJMy8yOS8yMDI2CAAAAAoxMi8zMS8yMDI1CQAAAAEw3J3Wu66N3gg90miWr43eCCFDSVEuSVEyODU4MjcuSVFfQkVUQV81WVIuNC8zLzIwMjYBAAAAg1wEAAIAAAARMC4xOTcwOTIwNDUwNTY5NTcAP0/Wu66N3gjeZWeWr43eCCJDSVEuSVEzNzA4NTcuSVFfUkVUVVJOX0VRVUlUWS4yMDAwAQAAAKmoBQACAAAACDI5MC4wODQyAQgAAAAFAAAAATEBAAAACy0xOTA4MzMyOTYwAwAAAAMxNjACAAAABDQxMjgEAAAAATAHAAAACTMvMjkvMjAyNggAAAAKMTIvMzEvMjAyNQkAAAABMNyd1ruujd4IPdJolq+N3ggkQ0lRLklRMjI0MDU1MjgzLklRX0JFVEFfNVlSLjQvMy8yMDI2AQAAAPPPWg0CAAAAETAuODkyODE3MjQ0NjMzODg4AD9P1ruujd4IYI7lJa+N3ggkQ0lRLklRMzcwODU3LklRX0VGRkVDVF9UQVhfUkFURS4xMDAwAQAAAKmoBQACAAAABzE1LjA2NjQBCAAAAAUAAAABMQEAAAALLTE5MDgzMzMzNjADAAAAAzE2MAIAAAAENDM3NgQAAAABMAcAAAAJMy8yOS8yMDI2CAAAAAoxMi8zMS8yMDI1CQAAAAEw3J3Wu66N3gg90miWr43e</t>
  </si>
  <si>
    <t>CCJDSVEuSVExMzQwNzQwLklRX0JFVEFfNVlSLjQvMy8yMDI2AQAAAER1FAACAAAAETAuOTA0NDI5MTM1NTU4ODA1AD9P1ruujd4IXrRnlq+N3ggdQ0lRLklRMzcwODU3LklRX09QRVJfSU5DLjIwMDABAAAAqagFAAIAAAAFLTUxOTEBCAAAAAUAAAABMQEAAAALLTE5MDgzMzI5NjADAAAAAzE2MAIAAAACMjEEAAAAATAHAAAACTMvMjkvMjAyNggAAAAKMTIvMzEvMjAyNQkAAAABMNyd1ruujd4IPdJolq+N3ggfQ0lRLklRMzcwODU3LklRX1RPVEFMX0RFQlQuMjAwMAEAAACpqAUAAgAAAAU1NjM2NQEIAAAABQAAAAExAQAAAAstMTkwODMzMjk2MAMAAAADMTYwAgAAAAQ0MTczBAAAAAEwBwAAAAkzLzI5LzIwMjYIAAAACjEyLzMxLzIwMjUJAAAAATDcnda7ro3eCD3SaJavjd4IIUNJUS5JUTM2MzI2My5JUV9CRVRBXzVZUi40LzMvMjAyNgEAAAD/igUAAgAAABEwLjI4MDI4MTIzMDk0NzY3OAA/T9a7ro3eCIACaJavjd4IIUNJUS5JUTM3MDg1Ny5JUV9UT1RBTF9FUVVJVFkuMjAwMAEAAACpqAUAAgAAAAQ1NDU3AQgAAAAFAAAAATEBAAAACy0xOTA4MzMyOTYwAwAAAAMxNjACAAAABDEyNzUEAAAAATAHAAAACTMvMjkvMjAyNggAAAAKMTIvMzEvMjAyNQkAAAABMNyd1ruujd4IPdJolq+N3gghQ0lRLklRMTc3MDMxLklRX0JFVEFfNVlSLjQvMy8yMDI2AQAAAIezAgACAAAAEDEuMzY4OTU0MjI5NzE0MDQAP0/W</t>
  </si>
  <si>
    <t>u66N3gjjg2iWr43eCB9DSVEuSVEzNzA4NTcuSVFfQ0FTSF9FUVVJVi4yMDAwAQAAAKmoBQACAAAABTEwOTIxAQgAAAAFAAAAATEBAAAACy0xOTA4MzMyOTYwAwAAAAMxNjACAAAABDEwOTYEAAAAATAHAAAACTMvMjkvMjAyNggAAAAKMTIvMzEvMjAyNQkAAAABMNyd1ruujd4IPdJolq+N3gghQ0lRLklRMzcwODU3LklRX0JFVEFfNVlSLjQvMy8yMDI2AQAAAKmoBQACAAAAEDEuMDk1NjczMDE1NzEwMDgAP0/Wu66N3gg90miWr43eCCRDSVEuSVEyMDc2NTQ2My5JUV9DVVJSRU5UX1JBVElPLjEwMDABAAAAF9s8AQIAAAAIMi41OTg3NjYBCAAAAAUAAAABMQEAAAALLTE5MDg1MTMzNTMDAAAAAzE2MAIAAAAENDAzMAQAAAABMAcAAAAJMy8yOS8yMDI2CAAAAAoxMi8zMS8yMDI1CQAAAAEw3J3Wu66N3gjWRuMlr43eCCNDSVEuSVEyMDc2NTQ2My5JUV9CRVRBXzVZUi40LzMvMjAyNgEAAAAX2zwBAgAAABAxLjI3Nzk4ODY4NDkxODA4AD9P1ruujd4It/bnJa+N3ggiQ0lRLklRMjA3NjU0NjMuSVFfUVVJQ0tfUkFUSU8uMTAwMAEAAAAX2zwBAgAAAAgyLjQyMjgxNwEIAAAABQAAAAExAQAAAAstMTkwODUxMzM1MwMAAAADMTYwAgAAAAQ0MTIxBAAAAAEwBwAAAAkzLzI5LzIwMjYIAAAACjEyLzMxLzIwMjUJAAAAATDcnda7ro3eCLK15SWvjd4IIUNJUS5JUTI4OTE5NC5JUV9CRVRBXzVZUi40LzMvMjAyNgEAAACq</t>
  </si>
  <si>
    <t>aQQAAgAAABAxLjEzMDUyNjIxMjU2MTY0AD9P1ruujd4IVzpplq+N3ggfQ0lRLklRMjA3NjU0NjMuSVFfRUJJVF9JTlQuMTAwMAEAAAAX2zwBAgAAAAk3MS40ODE1NDUBCAAAAAUAAAABMQEAAAALLTE5MDg1MTMzNTMDAAAAAzE2MAIAAAAENDE4OQQAAAABMAcAAAAJMy8yOS8yMDI2CAAAAAoxMi8zMS8yMDI1CQAAAAEw3J3Wu66N3gjWRuMlr43eCCFDSVEuSVExNTkyMzAuSVFfQkVUQV81WVIuNC8zLzIwMjYBAAAA/m0CAAIAAAARMC40MDYxNzgzOTY5MDU0MTkAP0/Wu66N3gg6ZWmWr43eCCdDSVEuSVEyMDc2NTQ2My5JUV9FQklUREFfQ0FQRVhfSU5ULjEwMDABAAAAF9s8AQIAAAAJMzEuMDI2NjA5AQgAAAAFAAAAATEBAAAACy0xOTA4NTEzMzUzAwAAAAMxNjACAAAABDQxOTEEAAAAATAHAAAACTMvMjkvMjAyNggAAAAKMTIvMzEvMjAyNQkAAAABMNyd1ruujd4INXLjJa+N3gghQ0lRLklRMjc4Njc5LklRX0JFVEFfNVlSLjQvMy8yMDI2AQAAAJdABAACAAAAEDEuMDQ0MzIxNTE0NTU3MzYAP0/Wu66N3ggFhOolr43eCCFDSVEuSVEyMDc2NTQ2My5JUV9FQklUREFfSU5ULjEwMDABAAAAF9s8AQIAAAAIOTAuODQ3MjEBCAAAAAUAAAABMQEAAAALLTE5MDg1MTMzNTMDAAAAAzE2MAIAAAAENDE5MAQAAAABMAcAAAAJMy8yOS8yMDI2CAAAAAoxMi8zMS8yMDI1CQAAAAEw3J3Wu66N3gi39uclr43eCCFDSVEu</t>
  </si>
  <si>
    <t>SVExODA4NzEuSVFfQkVUQV81WVIuNC8zLzIwMjYBAAAAh8ICAAIAAAARMC45MzUzNDc2NDU4NDAyMzkAP0/Wu66N3gjGs+olr43eCChDSVEuSVEyMDc2NTQ2My5JUV9UT1RBTF9ERUJUX0VRVUlUWS4xMDAwAQAAABfbPAECAAAABzM5LjE2MzkBCAAAAAUAAAABMQEAAAALLTE5MDg1MTMzNTMDAAAAAzE2MAIAAAAENDAzNAQAAAABMAcAAAAJMy8yOS8yMDI2CAAAAAoxMi8zMS8yMDI1CQAAAAEw3J3Wu66N3gge7eUlr43eCChDSVEuSVEyMDc2NTQ2My5JUV9UT1RBTF9ERUJUX0VCSVREQS4xMDAwAQAAABfbPAECAAAACDAuODAzODg3AQgAAAAFAAAAATEBAAAACy0xOTA4NTEzMzUzAwAAAAMxNjACAAAABDQxOTIEAAAAATAHAAAACTMvMjkvMjAyNggAAAAKMTIvMzEvMjAyNQkAAAABMNyd1ruujd4IBYTqJa+N3ggpQ0lRLklRMjA3NjU0NjMuSVFfVE9UQUxfREVCVF9DQVBJVEFMLjEwMDABAAAAF9s8AQIAAAAHMjguMTQyMwEIAAAABQAAAAExAQAAAAstMTkwODUxMzM1MwMAAAADMTYwAgAAAAQ0MTg2BAAAAAEwBwAAAAkzLzI5LzIwMjYIAAAACjEyLzMxLzIwMjUJAAAAATDcnda7ro3eCB7t5SWvjd4IJ0NJUS5JUTI2OTIzMS5JUV9ESVZJREVORF9ZSUVMRC40LzMvMjAyNgEAAACvGwQAAwAAAAAAP0/Wu66N3gg0c+clr43eCCRDSVEuSVEyMDc2NTQ2My5JUV9SRVRVUk5fQVNTRVRTLjIwMDABAAAAF9s8AQIA</t>
  </si>
  <si>
    <t>AAAHMTYuMjEyMgEIAAAABQAAAAExAQAAAAstMTkwODUxMTUwMAMAAAADMTYwAgAAAAQ0MTc4BAAAAAEwBwAAAAkzLzI5LzIwMjYIAAAACjEyLzMxLzIwMjUJAAAAATDcnda7ro3eCAWE6iWvjd4IJkNJUS5JUTk3MTk5LklRX0RJVklERU5EX1lJRUxELjQvMy8yMDI2AQAAAK97AQADAAAAAAA/T9a7ro3eCBGB4iWvjd4IJkNJUS5JUTI5MDk2LklRX0RJVklERU5EX1lJRUxELjQvMy8yMDI2AQAAAKhxAAADAAAAAAA/T9a7ro3eCDRz5yWvjd4IJENJUS5JUTIwNzY1NDYzLklRX1JFVFVSTl9FUVVJVFkuMjAwMAEAAAAX2zwBAgAAAAYzMC4yMzgBCAAAAAUAAAABMQEAAAALLTE5MDg1MTE1MDADAAAAAzE2MAIAAAAENDEyOAQAAAABMAcAAAAJMy8yOS8yMDI2CAAAAAoxMi8zMS8yMDI1CQAAAAEw3J3Wu66N3gg1cuMlr43eCCZDSVEuSVEyMjc1MS5JUV9ESVZJREVORF9ZSUVMRC40LzMvMjAyNgEAAADfWAAAAwAAAAAAP0/Wu66N3gixDmeWr43eCCZDSVEuSVEyMDc2NTQ2My5JUV9FRkZFQ1RfVEFYX1JBVEUuMTAwMAEAAAAX2zwBAgAAAAcyOS42NDQzAQgAAAAFAAAAATEBAAAACy0xOTA4NTEzMzUzAwAAAAMxNjACAAAABDQzNzYEAAAAATAHAAAACTMvMjkvMjAyNggAAAAKMTIvMzEvMjAyNQkAAAABMNyd1ruujd4IHu3lJa+N3ggnQ0lRLklRMjg1ODI3LklRX0RJVklERU5EX1lJRUxELjQvMy8yMDI2AQAAAINc</t>
  </si>
  <si>
    <t>BAADAAAAAAA/T9a7ro3eCN5lZ5avjd4IH0NJUS5JUTIwNzY1NDYzLklRX09QRVJfSU5DLjIwMDABAAAAF9s8AQIAAAAFODMyNzYBCAAAAAUAAAABMQEAAAALLTE5MDg1MTE1MDADAAAAAzE2MAIAAAACMjEEAAAAATAHAAAACTMvMjkvMjAyNggAAAAKMTIvMzEvMjAyNQkAAAABMNyd1ruujd4IHu3lJa+N3ggqQ0lRLklRMjI0MDU1MjgzLklRX0RJVklERU5EX1lJRUxELjQvMy8yMDI2AQAAAPPPWg0DAAAAAAA/T9a7ro3eCDTM5yWvjd4IIUNJUS5JUTIwNzY1NDYzLklRX1RPVEFMX0RFQlQuMjAwMAEAAAAX2zwBAgAAAAU4NTA4MQEIAAAABQAAAAExAQAAAAstMTkwODUxMTUwMAMAAAADMTYwAgAAAAQ0MTczBAAAAAEwBwAAAAkzLzI5LzIwMjYIAAAACjEyLzMxLzIwMjUJAAAAATDcnda7ro3eCB7t5SWvjd4II0NJUS5JUTIwNzY1NDYzLklRX1RPVEFMX0VRVUlUWS4yMDAwAQAAABfbPAECAAAABjIxNzI0MwEIAAAABQAAAAExAQAAAAstMTkwODUxMTUwMAMAAAADMTYwAgAAAAQxMjc1BAAAAAEwBwAAAAkzLzI5LzIwMjYIAAAACjEyLzMxLzIwMjUJAAAAATDcnda7ro3eCB7t5SWvjd4IKENJUS5JUTEzNDA3NDAuSVFfRElWSURFTkRfWUlFTEQuNC8zLzIwMjYBAAAARHUUAAMAAAAAAD9P1ruujd4IXrRnlq+N3gghQ0lRLklRMjA3NjU0NjMuSVFfQ0FTSF9FUVVJVi4yMDAwAQAAABfbPAECAAAABTM1ODczAQgA</t>
  </si>
  <si>
    <t>AAAFAAAAATEBAAAACy0xOTA4NTExNTAwAwAAAAMxNjACAAAABDEwOTYEAAAAATAHAAAACTMvMjkvMjAyNggAAAAKMTIvMzEvMjAyNQkAAAABMNyd1ruujd4IHu3lJa+N3ggnQ0lRLklRMzYzMjYzLklRX0RJVklERU5EX1lJRUxELjQvMy8yMDI2AQAAAP+KBQADAAAAAAA/T9a7ro3eCIACaJavjd4IIkNJUS5JUTI4OTE5NC5JUV9DVVJSRU5UX1JBVElPLjEwMDABAAAAqmkEAAIAAAAIMS43MDc4NjgBCAAAAAUAAAABMQEAAAALLTE5MDgwMjA2NzUDAAAAAzE2MAIAAAAENDAzMAQAAAABMAcAAAAJMy8yOS8yMDI2CAAAAAoxMi8zMS8yMDI1CQAAAAEw3J3Wu66N3gicEGmWr43eCCdDSVEuSVExNzcwMzEuSVFfRElWSURFTkRfWUlFTEQuNC8zLzIwMjYBAAAAh7MCAAMAAAAAAD9P1ruujd4I44Nolq+N3gggQ0lRLklRMjg5MTk0LklRX1FVSUNLX1JBVElPLjEwMDABAAAAqmkEAAIAAAAIMS4xOTQ5OTcBCAAAAAUAAAABMQEAAAALLTE5MDgwMjA2NzUDAAAAAzE2MAIAAAAENDEyMQQAAAABMAcAAAAJMy8yOS8yMDI2CAAAAAoxMi8zMS8yMDI1CQAAAAEw3J3Wu66N3gicEGmWr43eCB1DSVEuSVEyODkxOTQuSVFfRUJJVF9JTlQuMTAwMAEAAACqaQQAAgAAAAg0Ljk3Njc0NAEIAAAABQAAAAExAQAAAAstMTkwODAyMDY3NQMAAAADMTYwAgAAAAQ0MTg5BAAAAAEwBwAAAAkzLzI5LzIwMjYIAAAACjEyLzMxLzIwMjUJ</t>
  </si>
  <si>
    <t>AAAAATDcnda7ro3eCJwQaZavjd4IJUNJUS5JUTI4OTE5NC5JUV9FQklUREFfQ0FQRVhfSU5ULjEwMDABAAAAqmkEAAIAAAAINS43MjMwNDQBCAAAAAUAAAABMQEAAAALLTE5MDgwMjA2NzUDAAAAAzE2MAIAAAAENDE5MQQAAAABMAcAAAAJMy8yOS8yMDI2CAAAAAoxMi8zMS8yMDI1CQAAAAEw3J3Wu66N3gicEGmWr43eCB9DSVEuSVEyODkxOTQuSVFfRUJJVERBX0lOVC4xMDAwAQAAAKppBAACAAAACDYuNjg0OTg5AQgAAAAFAAAAATEBAAAACy0xOTA4MDIwNjc1AwAAAAMxNjACAAAABDQxOTAEAAAAATAHAAAACTMvMjkvMjAyNggAAAAKMTIvMzEvMjAyNQkAAAABMNyd1ruujd4InBBplq+N3ggmQ0lRLklRMjg5MTk0LklRX1RPVEFMX0RFQlRfRVFVSVRZLjEwMDABAAAAqmkEAAIAAAAIMjc2LjYzNzgBCAAAAAUAAAABMQEAAAALLTE5MDgwMjA2NzUDAAAAAzE2MAIAAAAENDAzNAQAAAABMAcAAAAJMy8yOS8yMDI2CAAAAAoxMi8zMS8yMDI1CQAAAAEw3J3Wu66N3ghXOmmWr43eCCZDSVEuSVEyODkxOTQuSVFfVE9UQUxfREVCVF9FQklUREEuMTAwMAEAAACqaQQAAgAAAAgyLjA3NjUzMwEIAAAABQAAAAExAQAAAAstMTkwODAyMDY3NQMAAAADMTYwAgAAAAQ0MTkyBAAAAAEwBwAAAAkzLzI5LzIwMjYIAAAACjEyLzMxLzIwMjUJAAAAATDcnda7ro3eCFc6aZavjd4IJ0NJUS5JUTI4OTE5NC5JUV9UT1RBTF9E</t>
  </si>
  <si>
    <t>RUJUX0NBUElUQUwuMTAwMAEAAACqaQQAAgAAAAc3My40NDkyAQgAAAAFAAAAATEBAAAACy0xOTA4MDIwNjc1AwAAAAMxNjACAAAABDQxODYEAAAAATAHAAAACTMvMjkvMjAyNggAAAAKMTIvMzEvMjAyNQkAAAABMNyd1ruujd4IVzpplq+N3ggiQ0lRLklRMjg5MTk0LklRX1JFVFVSTl9BU1NFVFMuMjAwMAEAAACqaQQAAgAAAAY3LjU4MzYBCAAAAAUAAAABMQEAAAALLTE5MDgwMTg1NTgDAAAAAzE2MAIAAAAENDE3OAQAAAABMAcAAAAJMy8yOS8yMDI2CAAAAAoxMi8zMS8yMDI1CQAAAAEw3J3Wu66N3ghXOmmWr43eCCJDSVEuSVEyODkxOTQuSVFfUkVUVVJOX0VRVUlUWS4yMDAwAQAAAKppBAACAAAABzc1LjUwMDUBCAAAAAUAAAABMQEAAAALLTE5MDgwMTg1NTgDAAAAAzE2MAIAAAAENDEyOAQAAAABMAcAAAAJMy8yOS8yMDI2CAAAAAoxMi8zMS8yMDI1CQAAAAEw3J3Wu66N3ghXOmmWr43eCCZDSVEuSVEyMTgzNS5JUV9ESVZJREVORF9ZSUVMRC40LzMvMjAyNgEAAABLVQAAAwAAAAAAP0/Wu66N3ghhH+Mlr43eCCRDSVEuSVEyODkxOTQuSVFfRUZGRUNUX1RBWF9SQVRFLjEwMDABAAAAqmkEAAIAAAAHMjMuNTE2OQEIAAAABQAAAAExAQAAAAstMTkwODAyMDY3NQMAAAADMTYwAgAAAAQ0Mzc2BAAAAAEwBwAAAAkzLzI5LzIwMjYIAAAACjEyLzMxLzIwMjUJAAAAATDcnda7ro3eCFc6aZavjd4IIkNJUS5J</t>
  </si>
  <si>
    <t>UTE1OTIzMC5JUV9DVVJSRU5UX1JBVElPLjEwMDABAAAA/m0CAAIAAAAIMS4wMjYzMzMBCAAAAAUAAAABMQEAAAALLTE5MDc2MDQ5MjQDAAAAAzE2MAIAAAAENDAzMAQAAAABMAcAAAAJMy8yOS8yMDI2CAAAAAoxMi8zMS8yMDI1CQAAAAEw3J3Wu66N3ghXOmmWr43eCClDSVEuSVEyMDc2NTQ2My5JUV9ESVZJREVORF9ZSUVMRC40LzMvMjAyNgEAAAAX2zwBAwAAAAAAP0/Wu66N3gge7eUlr43eCCdDSVEuSVEyODkxOTQuSVFfRElWSURFTkRfWUlFTEQuNC8zLzIwMjYBAAAAqmkEAAMAAAAAAD9P1ruujd4IVzpplq+N3ggnQ0lRLklRMTU5MjMwLklRX0RJVklERU5EX1lJRUxELjQvMy8yMDI2AQAAAP5tAgADAAAAAAA/T9a7ro3eCDplaZavjd4IJ0NJUS5JUTI3ODY3OS5JUV9ESVZJREVORF9ZSUVMRC40LzMvMjAyNgEAAACXQAQAAwAAAAAAP0/Wu66N3gi39uclr43eCCdDSVEuSVExODA4NzEuSVFfRElWSURFTkRfWUlFTEQuNC8zLzIwMjYBAAAAh8ICAAMAAAAAAD9P1ruujd4I6QDmJa+N3gggQ0lRLklRMTU5MjMwLklRX1FVSUNLX1JBVElPLjEwMDABAAAA/m0CAAIAAAAIMC42NjczMjQBCAAAAAUAAAABMQEAAAALLTE5MDc2MDQ5MjQDAAAAAzE2MAIAAAAENDEyMQQAAAABMAcAAAAJMy8yOS8yMDI2CAAAAAoxMi8zMS8yMDI1CQAAAAEw3J3Wu66N3ghXOmmWr43eCCdDSVEuSVEzNzA4NTcuSVFfRElWSURF</t>
  </si>
  <si>
    <t>TkRfWUlFTEQuNC8zLzIwMjYBAAAAqagFAAMAAAAAAJl21ruujd4IPdJolq+N3gghQ0lRLklRMjgyMTY3Nzg5LklRX0NPTVBBTllfVElDS0VSAQAAAO2J0RADAAAACUNOU1g6UUVTUwCZdta7ro3eCKT05iWvjd4IH0NJUS5JUTMxNjAwMzQuSVFfQ09NUEFOWV9USUNLRVIBAAAA4jcwAAMAAAAIVFNYVjpJTlgAmXbWu66N3gjg0Oslr43eCB1DSVEuSVEzMjI2MS5JUV9DT01QQU5ZX1RJQ0tFUgEAAAAFfgAAAwAAAA1OYXNkYXFHUzpJTlNHAJl21ruujd4I0KXrJa+N3ggdQ0lRLklRMzIwNTIuSVFfQ09NUEFOWV9USUNLRVIBAAAANH0AAAMAAAANTmFzZGFxR1M6TlRBUACZdta7ro3eCPg55SWvjd4IHUNJUS5JUTI5MjgyLklRX0NPTVBBTllfVElDS0VSAQAAAGJyAAADAAAADU5hc2RhcUdTOkhMSVQAmXbWu66N3giu++slr43eCB1DSVEuSVEyNzkyOC5JUV9DT01QQU5ZX1RJQ0tFUgEAAAAYbQAAAwAAAA1OYXNkYXFDTTpFR0FOAJl21ruujd4I4NDrJa+N3ggdQ0lRLklRMjY3ODkuSVFfQ09NUEFOWV9USUNLRVIBAAAApWgAAAMAAAANTmFzZGFxR1M6Q1ZMVACZdta7ro3eCCIf5yWvjd4IHUNJUS5JUTI2NzY3LklRX0NPTVBBTllfVElDS0VSAQAAAI9oAAADAAAADE9UQ1BLOkNZUk4uUQCZdta7ro3eCK776yWvjd4IHUNJUS5JUTI2NTI0LklRX0NPTVBBTllfVElDS0VSAQAAAJxnAAADAAAADU5hc2RhcUdNOkNU</t>
  </si>
  <si>
    <t>WFMAmXbWu66N3gjg0Oslr43eCB1DSVEuSVExNTkyMzAuSVFfRUJJVF9JTlQuMTAwMAEAAAD+bQIAAgAAAAg1LjY0NDE0MQEIAAAABQAAAAExAQAAAAstMTkwNzYwNDkyNAMAAAADMTYwAgAAAAQ0MTg5BAAAAAEwBwAAAAkzLzI5LzIwMjYIAAAACjEyLzMxLzIwMjUJAAAAATDcnda7ro3eCFc6aZavjd4IJUNJUS5JUTE1OTIzMC5JUV9FQklUREFfQ0FQRVhfSU5ULjEwMDABAAAA/m0CAAIAAAAINi44NjgxMTkBCAAAAAUAAAABMQEAAAALLTE5MDc2MDQ5MjQDAAAAAzE2MAIAAAAENDE5MQQAAAABMAcAAAAJMy8yOS8yMDI2CAAAAAoxMi8zMS8yMDI1CQAAAAEw3J3Wu66N3ghXOmmWr43eCB1DSVEuSVEyMjI0Ny5JUV9DT01QQU5ZX1RJQ0tFUgEAAADnVgAAAwAAAAlOWVNFOk9SQ0wAmXbWu66N3gjQpeslr43eCB9DSVEuSVExNTkyMzAuSVFfRUJJVERBX0lOVC4xMDAwAQAAAP5tAgACAAAACDguMjk5NzI3AQgAAAAFAAAAATEBAAAACy0xOTA3NjA0OTI0AwAAAAMxNjACAAAABDQxOTAEAAAAATAHAAAACTMvMjkvMjAyNggAAAAKMTIvMzEvMjAyNQkAAAABMNyd1ruujd4IVzpplq+N3ggdQ0lRLklRMjQ5MzcuSVFfQ09NUEFOWV9USUNLRVIBAAAAaWEAAAMAAAANTmFzZGFxR1M6QUFQTACZdta7ro3eCK776yWvjd4IJkNJUS5JUTE1OTIzMC5JUV9UT1RBTF9ERUJUX0VRVUlUWS4xMDAwAQAAAP5tAgACAAAABzU5</t>
  </si>
  <si>
    <t>LjUxMzIBCAAAAAUAAAABMQEAAAALLTE5MDc2MDQ5MjQDAAAAAzE2MAIAAAAENDAzNAQAAAABMAcAAAAJMy8yOS8yMDI2CAAAAAoxMi8zMS8yMDI1CQAAAAEw3J3Wu66N3ghXOmmWr43eCCZDSVEuSVExNTkyMzAuSVFfVE9UQUxfREVCVF9FQklUREEuMTAwMAEAAAD+bQIAAgAAAAgyLjYyMzUwNgEIAAAABQAAAAExAQAAAAstMTkwNzYwNDkyNAMAAAADMTYwAgAAAAQ0MTkyBAAAAAEwBwAAAAkzLzI5LzIwMjYIAAAACjEyLzMxLzIwMjUJAAAAATDcnda7ro3eCFc6aZavjd4IJ0NJUS5JUTE1OTIzMC5JUV9UT1RBTF9ERUJUX0NBUElUQUwuMTAwMAEAAAD+bQIAAgAAAAczNy4zMDkyAQgAAAAFAAAAATEBAAAACy0xOTA3NjA0OTI0AwAAAAMxNjACAAAABDQxODYEAAAAATAHAAAACTMvMjkvMjAyNggAAAAKMTIvMzEvMjAyNQkAAAABMNyd1ruujd4IVzpplq+N3ggeQ0lRLklRMjY5MjMxLklRX0NPTVBBTllfVElDS0VSAQAAAK8bBAADAAAACE5ZU0U6RU1SAJl21ruujd4I4NDrJa+N3ggiQ0lRLklRMTU5MjMwLklRX1JFVFVSTl9BU1NFVFMuMjAwMAEAAAD+bQIAAgAAAAYzLjg3NjgBCAAAAAUAAAABMQEAAAALLTE5MDc2MDQ2NjgDAAAAAzE2MAIAAAAENDE3OAQAAAABMAcAAAAJMy8yOS8yMDI2CAAAAAoxMi8zMS8yMDI1CQAAAAEw3J3Wu66N3gg6ZWmWr43eCCJDSVEuSVExNTkyMzAuSVFfUkVUVVJOX0VRVUlU</t>
  </si>
  <si>
    <t>WS4yMDAwAQAAAP5tAgACAAAABzEwLjk1MTUBCAAAAAUAAAABMQEAAAALLTE5MDc2MDQ2NjgDAAAAAzE2MAIAAAAENDEyOAQAAAABMAcAAAAJMy8yOS8yMDI2CAAAAAoxMi8zMS8yMDI1CQAAAAEw3J3Wu66N3gg6ZWmWr43eCCRDSVEuSVExNTkyMzAuSVFfRUZGRUNUX1RBWF9SQVRFLjEwMDABAAAA/m0CAAIAAAAHMTkuMDU0MQEIAAAABQAAAAExAQAAAAstMTkwNzYwNDkyNAMAAAADMTYwAgAAAAQ0Mzc2BAAAAAEwBwAAAAkzLzI5LzIwMjYIAAAACjEyLzMxLzIwMjUJAAAAATDcnda7ro3eCDplaZavjd4IHUNJUS5JUTIyNzUxLklRX0NPTVBBTllfVElDS0VSAQAAAN9YAAADAAAADE5hc2RhcUdTOlJPUACZdta7ro3eCNCl6yWvjd4IIkNJUS5JUTI3ODY3OS5JUV9DVVJSRU5UX1JBVElPLjEwMDABAAAAl0AEAAIAAAAIMS4wNjA2NjQBCAAAAAUAAAABMQEAAAALLTE5MDA5OTUyOTUDAAAAAzE2MAIAAAAENDAzMAQAAAABMAcAAAAJMy8yOS8yMDI2CAAAAAgyLzEvMjAyNgkAAAABMNyd1ruujd4I6QDmJa+N3gggQ0lRLklRMjc4Njc5LklRX1FVSUNLX1JBVElPLjEwMDABAAAAl0AEAAIAAAAIMC4yMTU0NTcBCAAAAAUAAAABMQEAAAALLTE5MDA5OTUyOTUDAAAAAzE2MAIAAAAENDEyMQQAAAABMAcAAAAJMy8yOS8yMDI2CAAAAAgyLzEvMjAyNgkAAAABMNyd1ruujd4INXLjJa+N3ggeQ0lRLklRMjc4Njc5LklR</t>
  </si>
  <si>
    <t>X0NPTVBBTllfVElDS0VSAQAAAJdABAADAAAAB05ZU0U6SEQAmXbWu66N3ghrV+Ilr43eCB5DSVEuSVExNzcwMzEuSVFfQ09NUEFOWV9USUNLRVIBAAAAh7MCAAMAAAAHTllTRTpHRQCZdta7ro3eCK776yWvjd4IHUNJUS5JUTI3ODY3OS5JUV9FQklUX0lOVC4xMDAwAQAAAJdABAACAAAACDguNjYwODYyAQgAAAAFAAAAATEBAAAACy0xOTAwOTk1Mjk1AwAAAAMxNjACAAAABDQxODkEAAAAATAHAAAACTMvMjkvMjAyNggAAAAIMi8xLzIwMjYJAAAAATDcnda7ro3eCAWE6iWvjd4IHkNJUS5JUTI4OTE5NC5JUV9DT01QQU5ZX1RJQ0tFUgEAAACqaQQAAwAAAAhOWVNFOk1NTQCZdta7ro3eCB9jiyWvjd4IJUNJUS5JUTI3ODY3OS5JUV9FQklUREFfQ0FQRVhfSU5ULjEwMDABAAAAl0AEAAIAAAAHOS44NTE5OQEIAAAABQAAAAExAQAAAAstMTkwMDk5NTI5NQMAAAADMTYwAgAAAAQ0MTkxBAAAAAEwBwAAAAkzLzI5LzIwMjYIAAAACDIvMS8yMDI2CQAAAAEw3J3Wu66N3gi39uclr43eCCVDSVEuSVEzNzA4NTcuSVFfQ09NUEFOWV9OQU1FLjQvMy8yMDI2AQAAAKmoBQADAAAAElRoZSBCb2VpbmcgQ29tcGFueQCZdta7ro3eCOEab5avjd4IJ0NJUS5JUTIwNzY1NDYzLklRX0NPTVBBTllfTkFNRS40LzMvMjAyNgEAAAAX2zwBAwAAABRNZXRhIFBsYXRmb3JtcywgSW5jLgCZdta7ro3eCMvm6SWvjd4IH0NJUS5JUTI3</t>
  </si>
  <si>
    <t>ODY3OS5JUV9FQklUREFfSU5ULjEwMDABAAAAl0AEAAIAAAAIMTEuMzc3MjgBCAAAAAUAAAABMQEAAAALLTE5MDA5OTUyOTUDAAAAAzE2MAIAAAAENDE5MAQAAAABMAcAAAAJMy8yOS8yMDI2CAAAAAgyLzEvMjAyNgkAAAABMNyd1ruujd4IBYTqJa+N3gglQ0lRLklRMjg5MTk0LklRX0NPTVBBTllfTkFNRS40LzMvMjAyNgEAAACqaQQAAwAAAAozTSBDb21wYW55AJl21ruujd4ITEtslq+N3ggmQ0lRLklRMjc4Njc5LklRX1RPVEFMX0RFQlRfRVFVSVRZLjEwMDABAAAAl0AEAAIAAAAINTE0LjM5MTYBCAAAAAUAAAABMQEAAAALLTE5MDA5OTUyOTUDAAAAAzE2MAIAAAAENDAzNAQAAAABMAcAAAAJMy8yOS8yMDI2CAAAAAgyLzEvMjAyNgkAAAABMNyd1ruujd4I6QDmJa+N3gglQ0lRLklRMTU5MjMwLklRX0NPTVBBTllfTkFNRS40LzMvMjAyNgEAAAD+bQIAAwAAAA9SVFggQ29ycG9yYXRpb24AmXbWu66N3gjkdmyWr43eCCZDSVEuSVEyNzg2NzkuSVFfVE9UQUxfREVCVF9FQklUREEuMTAwMAEAAACXQAQAAgAAAAgyLjQwMTc1NgEIAAAABQAAAAExAQAAAAstMTkwMDk5NTI5NQMAAAADMTYwAgAAAAQ0MTkyBAAAAAEwBwAAAAkzLzI5LzIwMjYIAAAACDIvMS8yMDI2CQAAAAEw3J3Wu66N3gi39uclr43eCCVDSVEuSVEyNzg2NzkuSVFfQ09NUEFOWV9OQU1FLjQvMy8yMDI2AQAAAJdABAADAAAAFFRoZSBIb21l</t>
  </si>
  <si>
    <t>IERlcG90LCBJbmMuAJl21ruujd4IYFDrJa+N3gglQ0lRLklRMjY5MjMxLklRX0NPTVBBTllfTkFNRS40LzMvMjAyNgEAAACvGwQAAwAAABRFbWVyc29uIEVsZWN0cmljIENvLgCZdta7ro3eCFwo5iWvjd4IJ0NJUS5JUTI3ODY3OS5JUV9UT1RBTF9ERUJUX0NBUElUQUwuMTAwMAEAAACXQAQAAgAAAAc4My43MjM3AQgAAAAFAAAAATEBAAAACy0xOTAwOTk1Mjk1AwAAAAMxNjACAAAABDQxODYEAAAAATAHAAAACTMvMjkvMjAyNggAAAAIMi8xLzIwMjYJAAAAATDcnda7ro3eCDVy4yWvjd4IJENJUS5JUTk3MTk5LklRX0NPTVBBTllfTkFNRS40LzMvMjAyNgEAAACvewEAAwAAABxOb3J0aHJvcCBHcnVtbWFuIENvcnBvcmF0aW9uAJl21ruujd4Ib+njJa+N3ggkQ0lRLklRMjkwOTYuSVFfQ09NUEFOWV9OQU1FLjQvMy8yMDI2AQAAAKhxAAADAAAADUFscGhhYmV0IEluYy4AmXbWu66N3ghcKOYlr43eCCJDSVEuSVEyNzg2NzkuSVFfUkVUVVJOX0FTU0VUUy4yMDAwAQAAAJdABAACAAAABzEyLjk3NzQBCAAAAAUAAAABMQEAAAALLTE5MDA5OTIxODUDAAAAAzE2MAIAAAAENDE3OAQAAAABMAcAAAAJMy8yOS8yMDI2CAAAAAgyLzEvMjAyNgkAAAABMNyd1ruujd4IBYTqJa+N3ggiQ0lRLklRMjc4Njc5LklRX1JFVFVSTl9FUVVJVFkuMjAwMAEAAACXQAQAAgAAAAgxNDUuNTQwNQEIAAAABQAAAAExAQAAAAstMTkw</t>
  </si>
  <si>
    <t>MDk5MjE4NQMAAAADMTYwAgAAAAQ0MTI4BAAAAAEwBwAAAAkzLzI5LzIwMjYIAAAACDIvMS8yMDI2CQAAAAEw3J3Wu66N3gjImuMlr43eCCRDSVEuSVEyMjc1MS5JUV9DT01QQU5ZX05BTUUuNC8zLzIwMjYBAAAA31gAAAMAAAAYUm9wZXIgVGVjaG5vbG9naWVzLCBJbmMuAJl21ruujd4IRJRtlq+N3ggkQ0lRLklRMjc4Njc5LklRX0VGRkVDVF9UQVhfUkFURS4xMDAwAQAAAJdABAACAAAABzIzLjkwMDYBCAAAAAUAAAABMQEAAAALLTE5MDA5OTUyOTUDAAAAAzE2MAIAAAAENDM3NgQAAAABMAcAAAAJMy8yOS8yMDI2CAAAAAgyLzEvMjAyNgkAAAABMNyd1ruujd4I6QDmJa+N3gglQ0lRLklRMjg1ODI3LklRX0NPTVBBTllfTkFNRS40LzMvMjAyNgEAAACDXAQAAwAAABtMb2NraGVlZCBNYXJ0aW4gQ29ycG9yYXRpb24AmXbWu66N3ghj4m2Wr43eCChDSVEuSVEyMjQwNTUyODMuSVFfQ09NUEFOWV9OQU1FLjQvMy8yMDI2AQAAAPPPWg0DAAAACVNuYXAgSW5jLgCZdta7ro3eCN1P5iWvjd4IIkNJUS5JUTE4MDg3MS5JUV9DVVJSRU5UX1JBVElPLjEwMDABAAAAh8ICAAIAAAAIMS4wNzY2NTgBCAAAAAUAAAABMQEAAAALLTE5MDA0OTYyNjEDAAAAAzE2MAIAAAAENDAzMAQAAAABMAcAAAAJMy8yOS8yMDI2CAAAAAkxLzMwLzIwMjYJAAAAATDcnda7ro3eCMaz6iWvjd4IJkNJUS5JUTEzNDA3NDAuSVFfQ09NUEFO</t>
  </si>
  <si>
    <t>WV9OQU1FLjQvMy8yMDI2AQAAAER1FAADAAAAHEhvbmV5d2VsbCBJbnRlcm5hdGlvbmFsIEluYy4AmXbWu66N3giTV26Wr43eCCVDSVEuSVEzNjMyNjMuSVFfQ09NUEFOWV9OQU1FLjQvMy8yMDI2AQAAAP+KBQADAAAAI0h1bnRpbmd0b24gSW5nYWxscyBJbmR1c3RyaWVzLCBJbmMuAJl21ruujd4IsaVulq+N3gggQ0lRLklRMTgwODcxLklRX1FVSUNLX1JBVElPLjEwMDABAAAAh8ICAAIAAAAIMC4xMDY0NTgBCAAAAAUAAAABMQEAAAALLTE5MDA0OTYyNjEDAAAAAzE2MAIAAAAENDEyMQQAAAABMAcAAAAJMy8yOS8yMDI2CAAAAAkxLzMwLzIwMjYJAAAAATDcnda7ro3eCGwh6CWvjd4IJENJUS5JUTIxODM1LklRX0NPTVBBTllfTkFNRS40LzMvMjAyNgEAAABLVQAAAwAAABVNaWNyb3NvZnQgQ29ycG9yYXRpb24AmXbWu66N3giuduQlr43eCB1DSVEuSVExODA4NzEuSVFfRUJJVF9JTlQuMTAwMAEAAACHwgIAAgAAAAg2LjY4MzY5MwEIAAAABQAAAAExAQAAAAstMTkwMDQ5NjI2MQMAAAADMTYwAgAAAAQ0MTg5BAAAAAEwBwAAAAkzLzI5LzIwMjYIAAAACTEvMzAvMjAyNgkAAAABMNyd1ruujd4IbCHoJa+N3gglQ0lRLklRMTgwODcxLklRX0NPTVBBTllfTkFNRS40LzMvMjAyNgEAAACHwgIAAwAAABZMb3dlJ3MgQ29tcGFuaWVzLCBJbmMuAJl21ruujd4Ifx3pJa+N3gglQ0lRLklRMTgwODcxLklRX0VCSVRE</t>
  </si>
  <si>
    <t>QV9DQVBFWF9JTlQuMTAwMAEAAACHwgIAAgAAAAg3LjkzNjQ3NgEIAAAABQAAAAExAQAAAAstMTkwMDQ5NjI2MQMAAAADMTYwAgAAAAQ0MTkxBAAAAAEwBwAAAAkzLzI5LzIwMjYIAAAACTEvMzAvMjAyNgkAAAABMNyd1ruujd4It/bnJa+N3gglQ0lRLklRMTc3MDMxLklRX0NPTVBBTllfTkFNRS40LzMvMjAyNgEAAACHswIAAwAAABhHZW5lcmFsIEVsZWN0cmljIENvbXBhbnkAmXbWu66N3gjR826Wr43eCB9DSVEuSVExODA4NzEuSVFfRUJJVERBX0lOVC4xMDAwAQAAAIfCAgACAAAACDkuMzg1NzIzAQgAAAAFAAAAATEBAAAACy0xOTAwNDk2MjYxAwAAAAMxNjACAAAABDQxOTAEAAAAATAHAAAACTMvMjkvMjAyNggAAAAJMS8zMC8yMDI2CQAAAAEw3J3Wu66N3gjGs+olr43eCB5DSVEuMzMwNC5JUV9FVl9PVkVSX0xUTV9FQklUREEFAAAAAAAAAAgAAAAUKEludmFsaWQgSWRlbnRpZmllcimZdta7ro3eCPhJ5yWvjd4IJkNJUS5JUTE4MDg3MS5JUV9UT1RBTF9ERUJUX0VRVUlUWS4xMDAwAQAAAIfCAgADAAAAAk5NAQgAAAAFAAAAATEBAAAACy0xOTAwNDk2MjYxAwAAAAMxNjACAAAABDQwMzQEAAAAATAHAAAACTMvMjkvMjAyNggAAAAJMS8zMC8yMDI2CQAAAAEw3J3Wu66N3gghwuMlr43eCCJDSVEuSVEyNjkyMzEuSVFfQ1VSUkVOVF9SQVRJTy4xMDAwAQAAAK8bBAACAAAACDAuODc2MDg0AQgAAAAFAAAA</t>
  </si>
  <si>
    <t>ATEBAAAACy0xOTE3NDg2OTUyAwAAAAMxNjACAAAABDQwMzAEAAAAATAHAAAACTMvMjkvMjAyNggAAAAJOS8zMC8yMDI1CQAAAAEw3J3Wu66N3gj4Seclr43eCCZDSVEuSVExODA4NzEuSVFfVE9UQUxfREVCVF9FQklUREEuMTAwMAEAAACHwgIAAgAAAAgzLjExNzI4OQEIAAAABQAAAAExAQAAAAstMTkwMDQ5NjI2MQMAAAADMTYwAgAAAAQ0MTkyBAAAAAEwBwAAAAkzLzI5LzIwMjYIAAAACTEvMzAvMjAyNgkAAAABMNyd1ruujd4IbCHoJa+N3gggQ0lRLklRMjY5MjMxLklRX1FVSUNLX1JBVElPLjEwMDABAAAArxsEAAIAAAAIMC42MDI5MzkBCAAAAAUAAAABMQEAAAALLTE5MTc0ODY5NTIDAAAAAzE2MAIAAAAENDEyMQQAAAABMAcAAAAJMy8yOS8yMDI2CAAAAAk5LzMwLzIwMjUJAAAAATDcnda7ro3eCPhJ5yWvjd4IJ0NJUS5JUTE4MDg3MS5JUV9UT1RBTF9ERUJUX0NBUElUQUwuMTAwMAEAAACHwgIAAgAAAAgxMjguNTI5OQEIAAAABQAAAAExAQAAAAstMTkwMDQ5NjI2MQMAAAADMTYwAgAAAAQ0MTg2BAAAAAEwBwAAAAkzLzI5LzIwMjYIAAAACTEvMzAvMjAyNgkAAAABMNyd1ruujd4IIcLjJa+N3ggdQ0lRLklRMjY5MjMxLklRX0VCSVRfSU5ULjEwMDABAAAArxsEAAIAAAAJMTEuNDEwODUyAQgAAAAFAAAAATEBAAAACy0xOTE3NDg2OTUyAwAAAAMxNjACAAAABDQxODkEAAAAATAHAAAACTMvMjkvMjAy</t>
  </si>
  <si>
    <t>NggAAAAJOS8zMC8yMDI1CQAAAAEw3J3Wu66N3ghrV+Ilr43eCCJDSVEuSVExODA4NzEuSVFfUkVUVVJOX0FTU0VUUy4yMDAwAQAAAIfCAgACAAAABzEzLjExODcBCAAAAAUAAAABMQEAAAALLTE5MDA0OTYxMDUDAAAAAzE2MAIAAAAENDE3OAQAAAABMAcAAAAJMy8yOS8yMDI2CAAAAAkxLzMwLzIwMjYJAAAAATDcnda7ro3eCMaz6iWvjd4IJUNJUS5JUTI2OTIzMS5JUV9FQklUREFfQ0FQRVhfSU5ULjEwMDABAAAArxsEAAIAAAAJMTQuNTgzOTc5AQgAAAAFAAAAATEBAAAACy0xOTE3NDg2OTUyAwAAAAMxNjACAAAABDQxOTEEAAAAATAHAAAACTMvMjkvMjAyNggAAAAJOS8zMC8yMDI1CQAAAAEw3J3Wu66N3gj4Seclr43eCB9DSVEuSVEyNjkyMzEuSVFfRUJJVERBX0lOVC4xMDAwAQAAAK8bBAACAAAACTE1LjY5NzY3NAEIAAAABQAAAAExAQAAAAstMTkxNzQ4Njk1MgMAAAADMTYwAgAAAAQ0MTkwBAAAAAEwBwAAAAkzLzI5LzIwMjYIAAAACTkvMzAvMjAyNQkAAAABMNyd1ruujd4Ia1fiJa+N3ggiQ0lRLklRMTgwODcxLklRX1JFVFVSTl9FUVVJVFkuMjAwMAEAAACHwgIAAwAAAAJOTQEIAAAABQAAAAExAQAAAAstMTkwMDQ5NjEwNQMAAAADMTYwAgAAAAQ0MTI4BAAAAAEwBwAAAAkzLzI5LzIwMjYIAAAACTEvMzAvMjAyNgkAAAABMNyd1ruujd4IxrPqJa+N3ggmQ0lRLklRMjY5MjMxLklRX1RPVEFMX0RF</t>
  </si>
  <si>
    <t>QlRfRVFVSVRZLjEwMDABAAAArxsEAAIAAAAGNjcuNzg1AQgAAAAFAAAAATEBAAAACy0xOTE3NDg2OTUyAwAAAAMxNjACAAAABDQwMzQEAAAAATAHAAAACTMvMjkvMjAyNggAAAAJOS8zMC8yMDI1CQAAAAEw3J3Wu66N3gg0c+clr43eCCRDSVEuSVExODA4NzEuSVFfRUZGRUNUX1RBWF9SQVRFLjEwMDABAAAAh8ICAAIAAAAHMjMuOTI4MgEIAAAABQAAAAExAQAAAAstMTkwMDQ5NjI2MQMAAAADMTYwAgAAAAQ0Mzc2BAAAAAEwBwAAAAkzLzI5LzIwMjYIAAAACTEvMzAvMjAyNgkAAAABMNyd1ruujd4IxrPqJa+N3ggmQ0lRLklRMjY5MjMxLklRX1RPVEFMX0RFQlRfRUJJVERBLjEwMDABAAAArxsEAAIAAAAIMi4yNjQ4NTUBCAAAAAUAAAABMQEAAAALLTE5MTc0ODY5NTIDAAAAAzE2MAIAAAAENDE5MgQAAAABMAcAAAAJMy8yOS8yMDI2CAAAAAk5LzMwLzIwMjUJAAAAATDcnda7ro3eCBGB4iWvjd4IHUNJUS5JUTE4MDg3MS5JUV9PUEVSX0lOQy4yMDAwAQAAAIfCAgACAAAABTEwMjA2AQgAAAAFAAAAATEBAAAACy0xOTAwNDk2MTA1AwAAAAMxNjACAAAAAjIxBAAAAAEwBwAAAAkzLzI5LzIwMjYIAAAACTEvMzAvMjAyNgkAAAABMNyd1ruujd4IxrPqJa+N3ggnQ0lRLklRMjY5MjMxLklRX1RPVEFMX0RFQlRfQ0FQSVRBTC4xMDAwAQAAAK8bBAACAAAABzQwLjM5OTkBCAAAAAUAAAABMQEAAAALLTE5MTc0ODY5</t>
  </si>
  <si>
    <t>NTIDAAAAAzE2MAIAAAAENDE4NgQAAAABMAcAAAAJMy8yOS8yMDI2CAAAAAk5LzMwLzIwMjUJAAAAATDcnda7ro3eCBGB4iWvjd4IH0NJUS5JUTE4MDg3MS5JUV9UT1RBTF9ERUJULjIwMDABAAAAh8ICAAIAAAAFNDQ2NzcBCAAAAAUAAAABMQEAAAALLTE5MDA0OTYxMDUDAAAAAzE2MAIAAAAENDE3MwQAAAABMAcAAAAJMy8yOS8yMDI2CAAAAAkxLzMwLzIwMjYJAAAAATDcnda7ro3eCMaz6iWvjd4IIkNJUS5JUTI2OTIzMS5JUV9SRVRVUk5fQVNTRVRTLjIwMDABAAAArxsEAAIAAAAGNi42MTQ1AQgAAAAFAAAAATEBAAAACy0xOTA4MDgwMTAwAwAAAAMxNjACAAAABDQxNzgEAAAAATAHAAAACTMvMjkvMjAyNggAAAAKMTIvMzEvMjAyNQkAAAABMNyd1ruujd4INHPnJa+N3gghQ0lRLklRMTgwODcxLklRX1RPVEFMX0VRVUlUWS4yMDAwAQAAAIfCAgACAAAABS05OTE3AQgAAAAFAAAAATEBAAAACy0xOTAwNDk2MTA1AwAAAAMxNjACAAAABDEyNzUEAAAAATAHAAAACTMvMjkvMjAyNggAAAAJMS8zMC8yMDI2CQAAAAEw3J3Wu66N3gjGs+olr43eCCJDSVEuSVEyNjkyMzEuSVFfUkVUVVJOX0VRVUlUWS4yMDAwAQAAAK8bBAACAAAABjkuNjQ2MgEIAAAABQAAAAExAQAAAAstMTkwODA4MDEwMAMAAAADMTYwAgAAAAQ0MTI4BAAAAAEwBwAAAAkzLzI5LzIwMjYIAAAACjEyLzMxLzIwMjUJAAAAATDcnda7ro3eCBGB</t>
  </si>
  <si>
    <t>4iWvjd4IH0NJUS5JUTE4MDg3MS5JUV9DQVNIX0VRVUlWLjIwMDABAAAAh8ICAAIAAAADOTgyAQgAAAAFAAAAATEBAAAACy0xOTAwNDk2MTA1AwAAAAMxNjACAAAABDEwOTYEAAAAATAHAAAACTMvMjkvMjAyNggAAAAJMS8zMC8yMDI2CQAAAAEw3J3Wu66N3gjGs+olr43eCCRDSVEuSVEyNjkyMzEuSVFfRUZGRUNUX1RBWF9SQVRFLjEwMDABAAAArxsEAAIAAAAHMjMuNzIxOAEIAAAABQAAAAExAQAAAAstMTkxNzQ4Njk1MgMAAAADMTYwAgAAAAQ0Mzc2BAAAAAEwBwAAAAkzLzI5LzIwMjYIAAAACTkvMzAvMjAyNQkAAAABMNyd1ruujd4IEYHiJa+N3gghQ0lRLklROTcxOTkuSVFfQ1VSUkVOVF9SQVRJTy4xMDAwAQAAAK97AQACAAAABzEuMTAxMjEBCAAAAAUAAAABMQEAAAALLTE5MDg4Mzk3NjEDAAAAAzE2MAIAAAAENDAzMAQAAAABMAcAAAAJMy8yOS8yMDI2CAAAAAoxMi8zMS8yMDI1CQAAAAEw3J3Wu66N3gg0c+clr43eCB9DSVEuSVE5NzE5OS5JUV9RVUlDS19SQVRJTy4xMDAwAQAAAK97AQACAAAACDAuOTU0MTg1AQgAAAAFAAAAATEBAAAACy0xOTA4ODM5NzYxAwAAAAMxNjACAAAABDQxMjEEAAAAATAHAAAACTMvMjkvMjAyNggAAAAKMTIvMzEvMjAyNQkAAAABMNyd1ruujd4IEYHiJa+N3ggcQ0lRLklROTcxOTkuSVFfRUJJVF9JTlQuMTAwMAEAAACvewEAAgAAAAg4LjA0MjEwNQEIAAAABQAAAAEx</t>
  </si>
  <si>
    <t>AQAAAAstMTkwODgzOTc2MQMAAAADMTYwAgAAAAQ0MTg5BAAAAAEwBwAAAAkzLzI5LzIwMjYIAAAACjEyLzMxLzIwMjUJAAAAATDcnda7ro3eCDRz5yWvjd4IJENJUS5JUTk3MTk5LklRX0VCSVREQV9DQVBFWF9JTlQuMTAwMAEAAACvewEAAgAAAAg4Ljg0NTExMgEIAAAABQAAAAExAQAAAAstMTkwODgzOTc2MQMAAAADMTYwAgAAAAQ0MTkxBAAAAAEwBwAAAAkzLzI5LzIwMjYIAAAACjEyLzMxLzIwMjUJAAAAATDcnda7ro3eCBGB4iWvjd4IHkNJUS5JUTk3MTk5LklRX0VCSVREQV9JTlQuMTAwMAEAAACvewEAAgAAAAkxMS4wMjU1NjMBCAAAAAUAAAABMQEAAAALLTE5MDg4Mzk3NjEDAAAAAzE2MAIAAAAENDE5MAQAAAABMAcAAAAJMy8yOS8yMDI2CAAAAAoxMi8zMS8yMDI1CQAAAAEw3J3Wu66N3gg0c+clr43eCCVDSVEuSVE5NzE5OS5JUV9UT1RBTF9ERUJUX0VRVUlUWS4xMDAwAQAAAK97AQACAAAACDEwNy4yNTY4AQgAAAAFAAAAATEBAAAACy0xOTA4ODM5NzYxAwAAAAMxNjACAAAABDQwMzQEAAAAATAHAAAACTMvMjkvMjAyNggAAAAKMTIvMzEvMjAyNQkAAAABMNyd1ruujd4IEYHiJa+N3gglQ0lRLklROTcxOTkuSVFfVE9UQUxfREVCVF9FQklUREEuMTAwMAEAAACvewEAAgAAAAcyLjQzOTE3AQgAAAAFAAAAATEBAAAACy0xOTA4ODM5NzYxAwAAAAMxNjACAAAABDQxOTIEAAAAATAHAAAACTMvMjkv</t>
  </si>
  <si>
    <t>MjAyNggAAAAKMTIvMzEvMjAyNQkAAAABMNyd1ruujd4INHPnJa+N3ggmQ0lRLklROTcxOTkuSVFfVE9UQUxfREVCVF9DQVBJVEFMLjEwMDABAAAAr3sBAAIAAAAHNTEuNzUwNgEIAAAABQAAAAExAQAAAAstMTkwODgzOTc2MQMAAAADMTYwAgAAAAQ0MTg2BAAAAAEwBwAAAAkzLzI5LzIwMjYIAAAACjEyLzMxLzIwMjUJAAAAATDcnda7ro3eCBGB4iWvjd4IIUNJUS5JUTk3MTk5LklRX1JFVFVSTl9BU1NFVFMuMjAwMAEAAACvewEAAgAAAAY2LjYzNjEBCAAAAAUAAAABMQEAAAALLTE5MDg4MzkxODcDAAAAAzE2MAIAAAAENDE3OAQAAAABMAcAAAAJMy8yOS8yMDI2CAAAAAoxMi8zMS8yMDI1CQAAAAEw3J3Wu66N3ggRgeIlr43eCCFDSVEuSVE5NzE5OS5JUV9SRVRVUk5fRVFVSVRZLjIwMDABAAAAr3sBAAIAAAAHMjYuMTY2OQEIAAAABQAAAAExAQAAAAstMTkwODgzOTE4NwMAAAADMTYwAgAAAAQ0MTI4BAAAAAEwBwAAAAkzLzI5LzIwMjYIAAAACjEyLzMxLzIwMjUJAAAAATDcnda7ro3eCDRz5yWvjd4II0NJUS5JUTk3MTk5LklRX0VGRkVDVF9UQVhfUkFURS4xMDAwAQAAAK97AQACAAAABzE3LjQ4MjIBCAAAAAUAAAABMQEAAAALLTE5MDg4Mzk3NjEDAAAAAzE2MAIAAAAENDM3NgQAAAABMAcAAAAJMy8yOS8yMDI2CAAAAAoxMi8zMS8yMDI1CQAAAAEw3J3Wu66N3ghhqOIlr43eCCFDSVEuSVEyOTA5Ni5J</t>
  </si>
  <si>
    <t>UV9DVVJSRU5UX1JBVElPLjEwMDABAAAAqHEAAAIAAAAIMi4wMDUzMzMBCAAAAAUAAAABMQEAAAALLTE5MDc4MjMxNzYDAAAAAzE2MAIAAAAENDAzMAQAAAABMAcAAAAJMy8yOS8yMDI2CAAAAAoxMi8zMS8yMDI1CQAAAAEw3J3Wu66N3ghhqOIlr43eCB9DSVEuSVEyOTA5Ni5JUV9RVUlDS19SQVRJTy4xMDAwAQAAAKhxAAACAAAABjEuODQ2NgEIAAAABQAAAAExAQAAAAstMTkwNzgyMzE3NgMAAAADMTYwAgAAAAQ0MTIxBAAAAAEwBwAAAAkzLzI5LzIwMjYIAAAACjEyLzMxLzIwMjUJAAAAATDcnda7ro3eCDRz5yWvjd4IJENJUS5JUTI5MDk2LklRX0VCSVREQV9DQVBFWF9JTlQuMTAwMAEAAACocQAAAgAAAAk4Ni43MDEwODYBCAAAAAUAAAABMQEAAAALLTE5MDc4MjMxNzYDAAAAAzE2MAIAAAAENDE5MQQAAAABMAcAAAAJMy8yOS8yMDI2CAAAAAoxMi8zMS8yMDI1CQAAAAEw3J3Wu66N3gg0c+clr43eCB5DSVEuSVEyOTA5Ni5JUV9FQklUREFfSU5ULjEwMDABAAAAqHEAAAIAAAAKMjEwLjk0OTcyOAEIAAAABQAAAAExAQAAAAstMTkwNzgyMzE3NgMAAAADMTYwAgAAAAQ0MTkwBAAAAAEwBwAAAAkzLzI5LzIwMjYIAAAACjEyLzMxLzIwMjUJAAAAATDcnda7ro3eCGGo4iWvjd4IJUNJUS5JUTI5MDk2LklRX1RPVEFMX0RFQlRfRVFVSVRZLjEwMDABAAAAqHEAAAIAAAAHMTYuMTMzMwEIAAAABQAAAAExAQAA</t>
  </si>
  <si>
    <t>AAstMTkwNzgyMzE3NgMAAAADMTYwAgAAAAQ0MDM0BAAAAAEwBwAAAAkzLzI5LzIwMjYIAAAACjEyLzMxLzIwMjUJAAAAATDcnda7ro3eCGGo4iWvjd4IJUNJUS5JUTI5MDk2LklRX1RPVEFMX0RFQlRfRUJJVERBLjEwMDABAAAAqHEAAAIAAAAIMC40MzE1MTEBCAAAAAUAAAABMQEAAAALLTE5MDc4MjMxNzYDAAAAAzE2MAIAAAAENDE5MgQAAAABMAcAAAAJMy8yOS8yMDI2CAAAAAoxMi8zMS8yMDI1CQAAAAEw3J3Wu66N3gg0c+clr43eCCZDSVEuSVEyOTA5Ni5JUV9UT1RBTF9ERUJUX0NBUElUQUwuMTAwMAEAAACocQAAAgAAAAYxMy44OTIBCAAAAAUAAAABMQEAAAALLTE5MDc4MjMxNzYDAAAAAzE2MAIAAAAENDE4NgQAAAABMAcAAAAJMy8yOS8yMDI2CAAAAAoxMi8zMS8yMDI1CQAAAAEw3J3Wu66N3ghhqOIlr43eCCFDSVEuSVEyOTA5Ni5JUV9SRVRVUk5fQVNTRVRTLjIwMDABAAAAqHEAAAIAAAAHMTUuNDI3MwEIAAAABQAAAAExAQAAAAstMTkwNzgyMjY4MwMAAAADMTYwAgAAAAQ0MTc4BAAAAAEwBwAAAAkzLzI5LzIwMjYIAAAACjEyLzMxLzIwMjUJAAAAATDcnda7ro3eCDRz5yWvjd4IIUNJUS5JUTI5MDk2LklRX1JFVFVSTl9FUVVJVFkuMjAwMAEAAACocQAAAgAAAAczNS43MDQ3AQgAAAAFAAAAATEBAAAACy0xOTA3ODIyNjgzAwAAAAMxNjACAAAABDQxMjgEAAAAATAHAAAACTMvMjkvMjAyNggA</t>
  </si>
  <si>
    <t>AAAKMTIvMzEvMjAyNQkAAAABMNyd1ruujd4ICmHlJa+N3ggjQ0lRLklRMjkwOTYuSVFfRUZGRUNUX1RBWF9SQVRFLjEwMDABAAAAqHEAAAIAAAAHMTYuNzgzMQEIAAAABQAAAAExAQAAAAstMTkwNzgyMzE3NgMAAAADMTYwAgAAAAQ0Mzc2BAAAAAEwBwAAAAkzLzI5LzIwMjYIAAAACjEyLzMxLzIwMjUJAAAAATDcnda7ro3eCAph5SWvjd4IIUNJUS5JUTIyNzUxLklRX0NVUlJFTlRfUkFUSU8uMTAwMAEAAADfWAAAAgAAAAgwLjUxNzUyNwEIAAAABQAAAAExAQAAAAstMTkwNTE0NTEwNgMAAAADMTYwAgAAAAQ0MDMwBAAAAAEwBwAAAAkzLzI5LzIwMjYIAAAACjEyLzMxLzIwMjUJAAAAATDcnda7ro3eCF/nZpavjd4IH0NJUS5JUTIyNzUxLklRX1FVSUNLX1JBVElPLjEwMDABAAAA31gAAAIAAAAIMC40MTYyMDEBCAAAAAUAAAABMQEAAAALLTE5MDUxNDUxMDYDAAAAAzE2MAIAAAAENDEyMQQAAAABMAcAAAAJMy8yOS8yMDI2CAAAAAoxMi8zMS8yMDI1CQAAAAEw3J3Wu66N3ghf52aWr43eCBxDSVEuSVEyMjc1MS5JUV9FQklUX0lOVC4xMDAwAQAAAN9YAAACAAAACDYuODc4MTUzAQgAAAAFAAAAATEBAAAACy0xOTA1MTQ1MTA2AwAAAAMxNjACAAAABDQxODkEAAAAATAHAAAACTMvMjkvMjAyNggAAAAKMTIvMzEvMjAyNQkAAAABMNyd1ruujd4IX+dmlq+N3ggeQ0lRLklRMjI3NTEuSVFfRUJJVERBX0lOVC4x</t>
  </si>
  <si>
    <t>MDAwAQAAAN9YAAACAAAACDkuODI2NzY5AQgAAAAFAAAAATEBAAAACy0xOTA1MTQ1MTA2AwAAAAMxNjACAAAABDQxOTAEAAAAATAHAAAACTMvMjkvMjAyNggAAAAKMTIvMzEvMjAyNQkAAAABMNyd1ruujd4IsQ5nlq+N3gglQ0lRLklRMjI3NTEuSVFfVE9UQUxfREVCVF9FUVVJVFkuMTAwMAEAAADfWAAAAgAAAAc0Ny45NTY2AQgAAAAFAAAAATEBAAAACy0xOTA1MTQ1MTA2AwAAAAMxNjACAAAABDQwMzQEAAAAATAHAAAACTMvMjkvMjAyNggAAAAKMTIvMzEvMjAyNQkAAAABMNyd1ruujd4IsQ5nlq+N3ggmQ0lRLklRMjI3NTEuSVFfVE9UQUxfREVCVF9DQVBJVEFMLjEwMDABAAAA31gAAAIAAAAHMzIuNDEyNgEIAAAABQAAAAExAQAAAAstMTkwNTE0NTEwNgMAAAADMTYwAgAAAAQ0MTg2BAAAAAEwBwAAAAkzLzI5LzIwMjYIAAAACjEyLzMxLzIwMjUJAAAAATDcnda7ro3eCLEOZ5avjd4IIUNJUS5JUTIyNzUxLklRX1JFVFVSTl9BU1NFVFMuMjAwMAEAAADfWAAAAgAAAAY0LjIzOTMBCAAAAAUAAAABMQEAAAALLTE5MDUxNDEyMDEDAAAAAzE2MAIAAAAENDE3OAQAAAABMAcAAAAJMy8yOS8yMDI2CAAAAAoxMi8zMS8yMDI1CQAAAAEw3J3Wu66N3gixDmeWr43eCCBDSVEuSVEyODU4MjcuSVFfUVVJQ0tfUkFUSU8uMTAwMAEAAACDXAQAAgAAAAgwLjkwMDkyMQEIAAAABQAAAAExAQAAAAstMTkwODQ2MDgwMgMA</t>
  </si>
  <si>
    <t>AAADMTYwAgAAAAQ0MTIxBAAAAAEwBwAAAAkzLzI5LzIwMjYIAAAACjEyLzMxLzIwMjUJAAAAATDcnda7ro3eCPA1Z5avjd4IHUNJUS5JUTI4NTgyNy5JUV9FQklUX0lOVC4xMDAwAQAAAINcBAACAAAABzYuMjUzMTMBCAAAAAUAAAABMQEAAAALLTE5MDg0NjA4MDIDAAAAAzE2MAIAAAAENDE4OQQAAAABMAcAAAAJMy8yOS8yMDI2CAAAAAoxMi8zMS8yMDI1CQAAAAEw3J3Wu66N3gjwNWeWr43eCB9DSVEuSVEyODU4MjcuSVFfRUJJVERBX0lOVC4xMDAwAQAAAINcBAACAAAACDcuNjQxMzIzAQgAAAAFAAAAATEBAAAACy0xOTA4NDYwODAyAwAAAAMxNjACAAAABDQxOTAEAAAAATAHAAAACTMvMjkvMjAyNggAAAAKMTIvMzEvMjAyNQkAAAABMNyd1ruujd4I3mVnlq+N3ggmQ0lRLklRMjg1ODI3LklRX1RPVEFMX0RFQlRfRVFVSVRZLjEwMDABAAAAg1wEAAIAAAAIMzM4LjgwMzcBCAAAAAUAAAABMQEAAAALLTE5MDg0NjA4MDIDAAAAAzE2MAIAAAAENDAzNAQAAAABMAcAAAAJMy8yOS8yMDI2CAAAAAoxMi8zMS8yMDI1CQAAAAEw3J3Wu66N3gjeZWeWr43eCCdDSVEuSVEyODU4MjcuSVFfVE9UQUxfREVCVF9DQVBJVEFMLjEwMDABAAAAg1wEAAIAAAAHNzcuMjEwNwEIAAAABQAAAAExAQAAAAstMTkwODQ2MDgwMgMAAAADMTYwAgAAAAQ0MTg2BAAAAAEwBwAAAAkzLzI5LzIwMjYIAAAACjEyLzMxLzIwMjUJAAAA</t>
  </si>
  <si>
    <t>ATDcnda7ro3eCN5lZ5avjd4IIkNJUS5JUTI4NTgyNy5JUV9SRVRVUk5fRVFVSVRZLjIwMDABAAAAg1wEAAIAAAAHNzYuODY1MwEIAAAABQAAAAExAQAAAAstMTkwODQ1OTM2OQMAAAADMTYwAgAAAAQ0MTI4BAAAAAEwBwAAAAkzLzI5LzIwMjYIAAAACjEyLzMxLzIwMjUJAAAAATDcnda7ro3eCN5lZ5avjd4IJENJUS5JUTI4NTgyNy5JUV9FRkZFQ1RfVEFYX1JBVEUuMTAwMAEAAACDXAQAAgAAAAcxNS4yODE5AQgAAAAFAAAAATEBAAAACy0xOTA4NDYwODAyAwAAAAMxNjACAAAABDQzNzYEAAAAATAHAAAACTMvMjkvMjAyNggAAAAKMTIvMzEvMjAyNQkAAAABMNyd1ruujd4I3mVnlq+N3gglQ0lRLklRMjI0MDU1MjgzLklRX0NVUlJFTlRfUkFUSU8uMTAwMAEAAADzz1oNAgAAAAgzLjU2MjgxNgEIAAAABQAAAAExAQAAAAstMTkwNzc1Mjc0NgMAAAADMTYwAgAAAAQ0MDMwBAAAAAEwBwAAAAkzLzI5LzIwMjYIAAAACjEyLzMxLzIwMjUJAAAAATDcnda7ro3eCKnP4iWvjd4IIENJUS5JUTIyNDA1NTI4My5JUV9FQklUX0lOVC4xMDAwAQAAAPPPWg0DAAAAAk5NAQgAAAAFAAAAATEBAAAACy0xOTA3NzUyNzQ2AwAAAAMxNjACAAAABDQxODkEAAAAATAHAAAACTMvMjkvMjAyNggAAAAKMTIvMzEvMjAyNQkAAAABMNyd1ruujd4Iqc/iJa+N3ggoQ0lRLklRMjI0MDU1MjgzLklRX0VCSVREQV9DQVBFWF9JTlQuMTAw</t>
  </si>
  <si>
    <t>MAEAAADzz1oNAwAAAAJOTQEIAAAABQAAAAExAQAAAAstMTkwNzc1Mjc0NgMAAAADMTYwAgAAAAQ0MTkxBAAAAAEwBwAAAAkzLzI5LzIwMjYIAAAACjEyLzMxLzIwMjUJAAAAATDcnda7ro3eCKme5yWvjd4IKUNJUS5JUTIyNDA1NTI4My5JUV9UT1RBTF9ERUJUX0VRVUlUWS4xMDAwAQAAAPPPWg0CAAAACDE4MS41OTcxAQgAAAAFAAAAATEBAAAACy0xOTA3NzUyNzQ2AwAAAAMxNjACAAAABDQwMzQEAAAAATAHAAAACTMvMjkvMjAyNggAAAAKMTIvMzEvMjAyNQkAAAABMNyd1ruujd4IqZ7nJa+N3ggeQ0lRLklRMjY5MjMxLklRX05JX01BUkdJTi4yMDAwAQAAAK8bBAACAAAABzEyLjcxNzgBCAAAAAUAAAABMQEAAAALLTE5MDgwODAxMDADAAAAAzE2MAIAAAAENDA5NAQAAAABMAcAAAAJMy8yOS8yMDI2CAAAAAoxMi8zMS8yMDI1CQAAAAEw3J3Wu66N3ggN2+olr43eCCpDSVEuSVEyMjQwNTUyODMuSVFfVE9UQUxfREVCVF9DQVBJVEFMLjEwMDABAAAA889aDQIAAAAHNjQuNDg4MgEIAAAABQAAAAExAQAAAAstMTkwNzc1Mjc0NgMAAAADMTYwAgAAAAQ0MTg2BAAAAAEwBwAAAAkzLzI5LzIwMjYIAAAACjEyLzMxLzIwMjUJAAAAATDcnda7ro3eCKnP4iWvjd4IIkNJUS5JUTI2OTIzMS5JUV9FQklUREFfTUFSR0lOLjIwMDABAAAArxsEAAIAAAAHMzIuMzE5NwEIAAAABQAAAAExAQAAAAstMTkwODA4MDEwMAMA</t>
  </si>
  <si>
    <t>AAADMTYwAgAAAAQ0MDQ3BAAAAAEwBwAAAAkzLzI5LzIwMjYIAAAACjEyLzMxLzIwMjUJAAAAATDcnda7ro3eCFwo5iWvjd4IJUNJUS5JUTIyNDA1NTI4My5JUV9SRVRVUk5fRVFVSVRZLjIwMDABAAAA889aDQIAAAAILTE5LjQ2MTcBCAAAAAUAAAABMQEAAAALLTE5MDc3NTA0MDUDAAAAAzE2MAIAAAAENDEyOAQAAAABMAcAAAAJMy8yOS8yMDI2CAAAAAoxMi8zMS8yMDI1CQAAAAEw3J3Wu66N3gipz+Ilr43eCCNDSVEuSVEyNjkyMzEuSVFfRElMVVRfRVBTX0lOQ0wuMTAwMAEAAACvGwQAAgAAAAg0LjA0NDExNgEIAAAABQAAAAExAQAAAAstMTkxNzQ4Njk1MgMAAAADMTYwAgAAAAE4BAAAAAEwBwAAAAkzLzI5LzIwMjYIAAAACTkvMzAvMjAyNQkAAAABMNyd1ruujd4IDdvqJa+N3ggnQ0lRLklRMjI0MDU1MjgzLklRX0VGRkVDVF9UQVhfUkFURS4xMDAwAQAAAPPPWg0DAAAAAk5NAQgAAAAFAAAAATEBAAAACy0xOTA3NzUyNzQ2AwAAAAMxNjACAAAABDQzNzYEAAAAATAHAAAACTMvMjkvMjAyNggAAAAKMTIvMzEvMjAyNQkAAAABMNyd1ruujd4Iqc/iJa+N3ggwQ0lRLklRMjY5MjMxLklRX0VQU18xWVJfQU5OX0dST1dUSC4yMDAwLjQvMy8yMDI2AQAAAK8bBAACAAAABzE0Ljk2ODQBCAAAAAUAAAABMQEAAAALLTE5MDgwODAxMDADAAAAAzE2MAIAAAAENDIwMAQAAAABMAcAAAAINC8zLzIwMjYIAAAACjEy</t>
  </si>
  <si>
    <t>LzMxLzIwMjUJAAAAATDcnda7ro3eCGwh6CWvjd4IHkNJUS5JUTEzNDA3NDAuSVFfRUJJVF9JTlQuMTAwMAEAAABEdRQAAgAAAAg1LjI2Nzg1NwEIAAAABQAAAAExAQAAAAstMTkwNjExOTkyNgMAAAADMTYwAgAAAAQ0MTg5BAAAAAEwBwAAAAkzLzI5LzIwMjYIAAAACjEyLzMxLzIwMjUJAAAAATDcnda7ro3eCF60Z5avjd4IHkNJUS5JUTI2OTIzMS5JUV9UT1RBTF9SRVYuMTAwMAEAAACvGwQAAgAAAAUxODAxNgEIAAAABQAAAAExAQAAAAstMTkxNzQ4Njk1MgMAAAADMTYwAgAAAAIyOAQAAAABMAcAAAAJMy8yOS8yMDI2CAAAAAk5LzMwLzIwMjUJAAAAATDcnda7ro3eCH8d6SWvjd4IIENJUS5JUTEzNDA3NDAuSVFfRUJJVERBX0lOVC4xMDAwAQAAAER1FAACAAAACDYuNDg0Mzc1AQgAAAAFAAAAATEBAAAACy0xOTA2MTE5OTI2AwAAAAMxNjACAAAABDQxOTAEAAAAATAHAAAACTMvMjkvMjAyNggAAAAKMTIvMzEvMjAyNQkAAAABMNyd1ruujd4IXrRnlq+N3gg2Q0lRLklRMjY5MjMxLklRX1RPVEFMX1JFVl8xWVJfQU5OX0dST1dUSC4yMDAwLjQvMy8yMDI2AQAAAK8bBAACAAAABjMuNjI5NgEIAAAABQAAAAExAQAAAAstMTkwODA4MDEwMAMAAAADMTYwAgAAAAQ0MTk0BAAAAAEwBwAAAAg0LzMvMjAyNggAAAAKMTIvMzEvMjAyNQkAAAABMNyd1ruujd4IDdvqJa+N3ggnQ0lRLklRMTM0MDc0MC5JUV9UT1RB</t>
  </si>
  <si>
    <t>TF9ERUJUX0VCSVREQS4xMDAwAQAAAER1FAACAAAACDQuMDgwNjY1AQgAAAAFAAAAATEBAAAACy0xOTA2MTE5OTI2AwAAAAMxNjACAAAABDQxOTIEAAAAATAHAAAACTMvMjkvMjAyNggAAAAKMTIvMzEvMjAyNQkAAAABMNyd1ruujd4IXrRnlq+N3ggdQ0lRLklROTcxOTkuSVFfTklfTUFSR0lOLjIwMDABAAAAr3sBAAIAAAAFOS45NjgBCAAAAAUAAAABMQEAAAALLTE5MDg4MzkxODcDAAAAAzE2MAIAAAAENDA5NAQAAAABMAcAAAAJMy8yOS8yMDI2CAAAAAoxMi8zMS8yMDI1CQAAAAEw3J3Wu66N3ghsIeglr43eCCFDSVEuSVE5NzE5OS5JUV9FQklUREFfTUFSR0lOLjIwMDABAAAAr3sBAAIAAAAHMTYuMjU1OAEIAAAABQAAAAExAQAAAAstMTkwODgzOTE4NwMAAAADMTYwAgAAAAQ0MDQ3BAAAAAEwBwAAAAkzLzI5LzIwMjYIAAAACjEyLzMxLzIwMjUJAAAAATDcnda7ro3eCA3b6iWvjd4II0NJUS5JUTEzNDA3NDAuSVFfUkVUVVJOX0FTU0VUUy4yMDAwAQAAAER1FAACAAAABjUuOTQ0NQEIAAAABQAAAAExAQAAAAstMTkwNjExNzY0OAMAAAADMTYwAgAAAAQ0MTc4BAAAAAEwBwAAAAkzLzI5LzIwMjYIAAAACjEyLzMxLzIwMjUJAAAAATDcnda7ro3eCF60Z5avjd4IIkNJUS5JUTk3MTk5LklRX0RJTFVUX0VQU19JTkNMLjEwMDABAAAAr3sBAAIAAAAFMjkuMDgBCAAAAAUAAAABMQEAAAALLTE5MDg4Mzk3NjED</t>
  </si>
  <si>
    <t>AAAAAzE2MAIAAAABOAQAAAABMAcAAAAJMy8yOS8yMDI2CAAAAAoxMi8zMS8yMDI1CQAAAAEw3J3Wu66N3ghsVOglr43eCCVDSVEuSVExMzQwNzQwLklRX0VGRkVDVF9UQVhfUkFURS4xMDAwAQAAAER1FAACAAAABzE4LjQwNzUBCAAAAAUAAAABMQEAAAALLTE5MDYxMTk5MjYDAAAAAzE2MAIAAAAENDM3NgQAAAABMAcAAAAJMy8yOS8yMDI2CAAAAAoxMi8zMS8yMDI1CQAAAAEw3J3Wu66N3ght22eWr43eCC9DSVEuSVE5NzE5OS5JUV9FUFNfMVlSX0FOTl9HUk9XVEguMjAwMC40LzMvMjAyNgEAAACvewEAAgAAAAYyLjYxMTEBCAAAAAUAAAABMQEAAAALLTE5MDg4MzkxODcDAAAAAzE2MAIAAAAENDIwMAQAAAABMAcAAAAINC8zLzIwMjYIAAAACjEyLzMxLzIwMjUJAAAAATDcnda7ro3eCKxE6SWvjd4IIkNJUS5JUTM2MzI2My5JUV9DVVJSRU5UX1JBVElPLjEwMDABAAAA/4oFAAIAAAAIMS4xMzMzMzMBCAAAAAUAAAABMQEAAAALLTE5MDc3NTI3NTMDAAAAAzE2MAIAAAAENDAzMAQAAAABMAcAAAAJMy8yOS8yMDI2CAAAAAoxMi8zMS8yMDI1CQAAAAEwuNjWu66N3ght22eWr43eCB1DSVEuSVE5NzE5OS5JUV9UT1RBTF9SRVYuMTAwMAEAAACvewEAAgAAAAU0MTk1NAEIAAAABQAAAAExAQAAAAstMTkwODgzOTc2MQMAAAADMTYwAgAAAAIyOAQAAAABMAcAAAAJMy8yOS8yMDI2CAAAAAoxMi8zMS8yMDI1CQAA</t>
  </si>
  <si>
    <t>AAEw3J3Wu66N3ghv6eMlr43eCB1DSVEuSVEzNjMyNjMuSVFfRUJJVF9JTlQuMTAwMAEAAAD/igUAAgAAAAg3LjYyODU3MQEIAAAABQAAAAExAQAAAAstMTkwNzc1Mjc1MwMAAAADMTYwAgAAAAQ0MTg5BAAAAAEwBwAAAAkzLzI5LzIwMjYIAAAACjEyLzMxLzIwMjUJAAAAATC42Na7ro3eCG3bZ5avjd4INUNJUS5JUTk3MTk5LklRX1RPVEFMX1JFVl8xWVJfQU5OX0dST1dUSC4yMDAwLjQvMy8yMDI2AQAAAK97AQACAAAABjIuMjQ0NQEIAAAABQAAAAExAQAAAAstMTkwODgzOTE4NwMAAAADMTYwAgAAAAQ0MTk0BAAAAAEwBwAAAAg0LzMvMjAyNggAAAAKMTIvMzEvMjAyNQkAAAABMNyd1ruujd4IbFToJa+N3gglQ0lRLklRMzYzMjYzLklRX0VCSVREQV9DQVBFWF9JTlQuMTAwMAEAAAD/igUAAgAAAAg4LjI0NzYxOQEIAAAABQAAAAExAQAAAAstMTkwNzc1Mjc1MwMAAAADMTYwAgAAAAQ0MTkxBAAAAAEwBwAAAAkzLzI5LzIwMjYIAAAACjEyLzMxLzIwMjUJAAAAATC42Na7ro3eCG3bZ5avjd4IJkNJUS5JUTM2MzI2My5JUV9UT1RBTF9ERUJUX0VRVUlUWS4xMDAwAQAAAP+KBQACAAAABjU4Ljc2MgEIAAAABQAAAAExAQAAAAstMTkwNzc1Mjc1MwMAAAADMTYwAgAAAAQ0MDM0BAAAAAEwBwAAAAkzLzI5LzIwMjYIAAAACjEyLzMxLzIwMjUJAAAAATC42Na7ro3eCG3bZ5avjd4IHUNJUS5JUTI5MDk2LklRX05J</t>
  </si>
  <si>
    <t>X01BUkdJTi4yMDAwAQAAAKhxAAACAAAABzMyLjgwOTgBCAAAAAUAAAABMQEAAAALLTE5MDc4MjI2ODMDAAAAAzE2MAIAAAAENDA5NAQAAAABMAcAAAAJMy8yOS8yMDI2CAAAAAoxMi8zMS8yMDI1CQAAAAEw3J3Wu66N3ghcKOYlr43eCCdDSVEuSVEzNjMyNjMuSVFfVE9UQUxfREVCVF9DQVBJVEFMLjEwMDABAAAA/4oFAAIAAAAHMzcuMDEyNgEIAAAABQAAAAExAQAAAAstMTkwNzc1Mjc1MwMAAAADMTYwAgAAAAQ0MTg2BAAAAAEwBwAAAAkzLzI5LzIwMjYIAAAACjEyLzMxLzIwMjUJAAAAATC42Na7ro3eCG3bZ5avjd4IIUNJUS5JUTI5MDk2LklRX0VCSVREQV9NQVJHSU4uMjAwMAEAAACocQAAAgAAAAczNy4yNzk0AQgAAAAFAAAAATEBAAAACy0xOTA3ODIyNjgzAwAAAAMxNjACAAAABDQwNDcEAAAAATAHAAAACTMvMjkvMjAyNggAAAAKMTIvMzEvMjAyNQkAAAABMNyd1ruujd4IbFToJa+N3ggiQ0lRLklRMzYzMjYzLklRX1JFVFVSTl9FUVVJVFkuMjAwMAEAAAD/igUAAgAAAAcxMi40MjQyAQgAAAAFAAAAATEBAAAACy0xOTA3NzUwMzk3AwAAAAMxNjACAAAABDQxMjgEAAAAATAHAAAACTMvMjkvMjAyNggAAAAKMTIvMzEvMjAyNQkAAAABMLjY1ruujd4Ibdtnlq+N3ggiQ0lRLklRMjkwOTYuSVFfRElMVVRfRVBTX0lOQ0wuMTAwMAEAAACocQAAAgAAAAkxMC44MDA1NzIBCAAAAAUAAAABMQEAAAALLTE5</t>
  </si>
  <si>
    <t>MDc4MjMxNzYDAAAAAzE2MAIAAAABOAQAAAABMAcAAAAJMy8yOS8yMDI2CAAAAAoxMi8zMS8yMDI1CQAAAAEw3J3Wu66N3ggN2+olr43eCCRDSVEuSVEzNjMyNjMuSVFfRUZGRUNUX1RBWF9SQVRFLjEwMDABAAAA/4oFAAIAAAAHMjIuMTM2NAEIAAAABQAAAAExAQAAAAstMTkwNzc1Mjc1MwMAAAADMTYwAgAAAAQ0Mzc2BAAAAAEwBwAAAAkzLzI5LzIwMjYIAAAACjEyLzMxLzIwMjUJAAAAATC42Na7ro3eCIACaJavjd4IL0NJUS5JUTI5MDk2LklRX0VQU18xWVJfQU5OX0dST1dUSC4yMDAwLjQvMy8yMDI2AQAAAKhxAAACAAAABzM0LjM2NjIBCAAAAAUAAAABMQEAAAALLTE5MDc4MjI2ODMDAAAAAzE2MAIAAAAENDIwMAQAAAABMAcAAAAINC8zLzIwMjYIAAAACjEyLzMxLzIwMjUJAAAAATDcnda7ro3eCG/p4yWvjd4IH0NJUS5JUTIxODM1LklRX1FVSUNLX1JBVElPLjEwMDABAAAAS1UAAAIAAAAIMS4yMjI3MTkBCAAAAAUAAAABMQEAAAALLTE5MzQyNTQyMTYDAAAAAzE2MAIAAAAENDEyMQQAAAABMAcAAAAJMy8yOS8yMDI2CAAAAAk2LzMwLzIwMjUJAAAAATC42Na7ro3eCLK15SWvjd4IHUNJUS5JUTI5MDk2LklRX1RPVEFMX1JFVi4xMDAwAQAAAKhxAAACAAAABjQwMjgzNgEIAAAABQAAAAExAQAAAAstMTkwNzgyMzE3NgMAAAADMTYwAgAAAAIyOAQAAAABMAcAAAAJMy8yOS8yMDI2CAAAAAoxMi8zMS8y</t>
  </si>
  <si>
    <t>MDI1CQAAAAEw3J3Wu66N3ghsVOglr43eCBxDSVEuSVEyMTgzNS5JUV9FQklUX0lOVC4xMDAwAQAAAEtVAAACAAAACTUzLjAwMTIzNwEIAAAABQAAAAExAQAAAAstMTkzNDI1NDIxNgMAAAADMTYwAgAAAAQ0MTg5BAAAAAEwBwAAAAkzLzI5LzIwMjYIAAAACTYvMzAvMjAyNQkAAAABMLjY1ruujd4INMznJa+N3gg1Q0lRLklRMjkwOTYuSVFfVE9UQUxfUkVWXzFZUl9BTk5fR1JPV1RILjIwMDAuNC8zLzIwMjYBAAAAqHEAAAIAAAAFMTUuMDkBCAAAAAUAAAABMQEAAAALLTE5MDc4MjI2ODMDAAAAAzE2MAIAAAAENDE5NAQAAAABMAcAAAAINC8zLzIwMjYIAAAACjEyLzMxLzIwMjUJAAAAATDcnda7ro3eCG/p4yWvjd4IHkNJUS5JUTIxODM1LklRX0VCSVREQV9JTlQuMTAwMAEAAABLVQAAAgAAAAk2Ni44MjU1NjcBCAAAAAUAAAABMQEAAAALLTE5MzQyNTQyMTYDAAAAAzE2MAIAAAAENDE5MAQAAAABMAcAAAAJMy8yOS8yMDI2CAAAAAk2LzMwLzIwMjUJAAAAATC42Na7ro3eCGEf4yWvjd4IHUNJUS5JUTIyNzUxLklRX05JX01BUkdJTi4yMDAwAQAAAN9YAAACAAAABzE5LjQ0MDYBCAAAAAUAAAABMQEAAAALLTE5MDUxNDEyMDEDAAAAAzE2MAIAAAAENDA5NAQAAAABMAcAAAAJMy8yOS8yMDI2CAAAAAoxMi8zMS8yMDI1CQAAAAEw3J3Wu66N3ghTu22Wr43eCCVDSVEuSVEyMTgzNS5JUV9UT1RBTF9ERUJUX0VC</t>
  </si>
  <si>
    <t>SVREQS4xMDAwAQAAAEtVAAACAAAACDAuNjkyMjcxAQgAAAAFAAAAATEBAAAACy0xOTM0MjU0MjE2AwAAAAMxNjACAAAABDQxOTIEAAAAATAHAAAACTMvMjkvMjAyNggAAAAJNi8zMC8yMDI1CQAAAAEwuNjWu66N3ghhH+Mlr43eCCFDSVEuSVEyMjc1MS5JUV9FQklUREFfTUFSR0lOLjIwMDABAAAA31gAAAIAAAAHMzkuNjUzMgEIAAAABQAAAAExAQAAAAstMTkwNTE0MTIwMQMAAAADMTYwAgAAAAQ0MDQ3BAAAAAEwBwAAAAkzLzI5LzIwMjYIAAAACjEyLzMxLzIwMjUJAAAAATDcnda7ro3eCESUbZavjd4IJkNJUS5JUTIxODM1LklRX1RPVEFMX0RFQlRfQ0FQSVRBTC4xMDAwAQAAAEtVAAACAAAABzI0LjYxOTkBCAAAAAUAAAABMQEAAAALLTE5MzQyNTQyMTYDAAAAAzE2MAIAAAAENDE4NgQAAAABMAcAAAAJMy8yOS8yMDI2CAAAAAk2LzMwLzIwMjUJAAAAATC42Na7ro3eCDTM5yWvjd4IIkNJUS5JUTIyNzUxLklRX0RJTFVUX0VQU19JTkNMLjEwMDABAAAA31gAAAIAAAAEMTQuMgEIAAAABQAAAAExAQAAAAstMTkwNTE0NTEwNgMAAAADMTYwAgAAAAE4BAAAAAEwBwAAAAkzLzI5LzIwMjYIAAAACjEyLzMxLzIwMjUJAAAAATDcnda7ro3eCESUbZavjd4IIUNJUS5JUTIxODM1LklRX1JFVFVSTl9FUVVJVFkuMjAwMAEAAABLVQAAAgAAAAczNC4zOTA3AQgAAAAFAAAAATEBAAAACy0xOTA4NjcxMjc3AwAAAAMx</t>
  </si>
  <si>
    <t>NjACAAAABDQxMjgEAAAAATAHAAAACTMvMjkvMjAyNggAAAAKMTIvMzEvMjAyNQkAAAABMLjY1ruujd4IuVzqJa+N3ggvQ0lRLklRMjI3NTEuSVFfRVBTXzFZUl9BTk5fR1JPV1RILjIwMDAuNC8zLzIwMjYBAAAA31gAAAIAAAAHLTEuMDQ1MwEIAAAABQAAAAExAQAAAAstMTkwNTE0MTIwMQMAAAADMTYwAgAAAAQ0MjAwBAAAAAEwBwAAAAg0LzMvMjAyNggAAAAKMTIvMzEvMjAyNQkAAAABMNyd1ruujd4IRJRtlq+N3ggjQ0lRLklRMjE4MzUuSVFfRUZGRUNUX1RBWF9SQVRFLjEwMDABAAAAS1UAAAIAAAAHMTcuNjI5NgEIAAAABQAAAAExAQAAAAstMTkzNDI1NDIxNgMAAAADMTYwAgAAAAQ0Mzc2BAAAAAEwBwAAAAkzLzI5LzIwMjYIAAAACTYvMzAvMjAyNQkAAAABMLjY1ruujd4IYR/jJa+N3ggdQ0lRLklRMjI3NTEuSVFfVE9UQUxfUkVWLjEwMDABAAAA31gAAAIAAAAGNzkwMi41AQgAAAAFAAAAATEBAAAACy0xOTA1MTQ1MTA2AwAAAAMxNjACAAAAAjI4BAAAAAEwBwAAAAkzLzI5LzIwMjYIAAAACjEyLzMxLzIwMjUJAAAAATDcnda7ro3eCESUbZavjd4IIENJUS5JUTE3NzAzMS5JUV9RVUlDS19SQVRJTy4xMDAwAQAAAIezAgACAAAACDAuNjg5NjM1AQgAAAAFAAAAATEBAAAACy0xOTA4Mjc0Mjk1AwAAAAMxNjACAAAABDQxMjEEAAAAATAHAAAACTMvMjkvMjAyNggAAAAKMTIvMzEvMjAyNQkAAAABMLjY</t>
  </si>
  <si>
    <t>1ruujd4Ib1lolq+N3gg1Q0lRLklRMjI3NTEuSVFfVE9UQUxfUkVWXzFZUl9BTk5fR1JPV1RILjIwMDAuNC8zLzIwMjYBAAAA31gAAAIAAAAHMTIuMjY0MQEIAAAABQAAAAExAQAAAAstMTkwNTE0MTIwMQMAAAADMTYwAgAAAAQ0MTk0BAAAAAEwBwAAAAg0LzMvMjAyNggAAAAKMTIvMzEvMjAyNQkAAAABMNyd1ruujd4IRJRtlq+N3ggiQ0lRLklRMjE4MzUuSVFfRElMVVRfRVBTX0lOQ0wuMTAwMAEAAABLVQAAAgAAAAUxMy42NAEIAAAABQAAAAExAQAAAAstMTkzNDI1NDIxNgMAAAADMTYwAgAAAAE4BAAAAAEwBwAAAAkzLzI5LzIwMjYIAAAACTYvMzAvMjAyNQkAAAABMNyd1ruujd4IvnfmJa+N3ggeQ0lRLklRMTc3MDMxLklRX1RPVEFMX1JFVi4xMDAwAQAAAIezAgACAAAABTQ1ODU1AQgAAAAFAAAAATEBAAAACy0xOTA4Mjc0Mjk1AwAAAAMxNjACAAAAAjI4BAAAAAEwBwAAAAkzLzI5LzIwMjYIAAAACjEyLzMxLzIwMjUJAAAAATDcnda7ro3eCNHzbpavjd4IMENJUS5JUTM3MDg1Ny5JUV9FUFNfMVlSX0FOTl9HUk9XVEguMjAwMC40LzMvMjAyNgEAAACpqAUAAwAAAAJOTQEIAAAABQAAAAExAQAAAAstMTkwODMzMjk2MAMAAAADMTYwAgAAAAQ0MjAwBAAAAAEwBwAAAAg0LzMvMjAyNggAAAAKMTIvMzEvMjAyNQkAAAABMLjY1ruujd4I4Rpvlq+N3gggQ0lRLklRMjA3NjU0NjMuSVFfVE9UQUxfUkVWLjEw</t>
  </si>
  <si>
    <t>MDABAAAAF9s8AQIAAAAGMjAwOTY2AQgAAAAFAAAAATEBAAAACy0xOTA4NTEzMzUzAwAAAAMxNjACAAAAAjI4BAAAAAEwBwAAAAkzLzI5LzIwMjYIAAAACjEyLzMxLzIwMjUJAAAAATC42Na7ro3eCBGf5iWvjd4IIkNJUS5JUTI4OTE5NC5JUV9FQklUREFfTUFSR0lOLjIwMDABAAAAqmkEAAIAAAAHMjQuMTE0MQEIAAAABQAAAAExAQAAAAstMTkwODAxODU1OAMAAAADMTYwAgAAAAQ0MDQ3BAAAAAEwBwAAAAkzLzI5LzIwMjYIAAAACjEyLzMxLzIwMjUJAAAAATC42Na7ro3eCDQgbJavjd4INkNJUS5JUTI4OTE5NC5JUV9UT1RBTF9SRVZfMVlSX0FOTl9HUk9XVEguMjAwMC40LzMvMjAyNgEAAACqaQQAAgAAAAYxLjUxNzgBCAAAAAUAAAABMQEAAAALLTE5MDgwMTg1NTgDAAAAAzE2MAIAAAAENDE5NAQAAAABMAcAAAAINC8zLzIwMjYIAAAACjEyLzMxLzIwMjUJAAAAATC42Na7ro3eCExLbJavjd4IIkNJUS5JUTE1OTIzMC5JUV9FQklUREFfTUFSR0lOLjIwMDABAAAA/m0CAAIAAAAHMTYuNjMwMwEIAAAABQAAAAExAQAAAAstMTkwNzYwNDY2OAMAAAADMTYwAgAAAAQ0MDQ3BAAAAAEwBwAAAAkzLzI5LzIwMjYIAAAACjEyLzMxLzIwMjUJAAAAATC42Na7ro3eCOR2bJavjd4INkNJUS5JUTE1OTIzMC5JUV9UT1RBTF9SRVZfMVlSX0FOTl9HUk9XVEguMjAwMC40LzMvMjAyNgEAAAD+bQIAAgAAAAY5Ljc0MTMB</t>
  </si>
  <si>
    <t>CAAAAAUAAAABMQEAAAALLTE5MDc2MDQ2NjgDAAAAAzE2MAIAAAAENDE5NAQAAAABMAcAAAAINC8zLzIwMjYIAAAACjEyLzMxLzIwMjUJAAAAATC42Na7ro3eCOR2bJavjd4IIkNJUS5JUTI3ODY3OS5JUV9FQklUREFfTUFSR0lOLjIwMDABAAAAl0AEAAIAAAAHMTUuMTg3MwEIAAAABQAAAAExAQAAAAstMTkwMDk5MjE4NQMAAAADMTYwAgAAAAQ0MDQ3BAAAAAEwBwAAAAkzLzI5LzIwMjYIAAAACDIvMS8yMDI2CQAAAAEwuNjWu66N3ggeDuolr43eCCJDSVEuSVExODA4NzEuSVFfRUJJVERBX01BUkdJTi4yMDAwAQAAAIfCAgACAAAABzE0LjM3MDgBCAAAAAUAAAABMQEAAAALLTE5MDA0OTYxMDUDAAAAAzE2MAIAAAAENDA0NwQAAAABMAcAAAAJMy8yOS8yMDI2CAAAAAkxLzMwLzIwMjYJAAAAATC42Na7ro3eCGBQ6yWvjd4INkNJUS5JUTE4MDg3MS5JUV9UT1RBTF9SRVZfMVlSX0FOTl9HUk9XVEguMjAwMC40LzMvMjAyNgEAAACHwgIAAgAAAAYzLjEyMTYBCAAAAAUAAAABMQEAAAALLTE5MDA0OTYxMDUDAAAAAzE2MAIAAAAENDE5NAQAAAABMAcAAAAINC8zLzIwMjYIAAAACTEvMzAvMjAyNgkAAAABMLjY1ruujd4IYFDrJa+N3ggcQ0lRLklRMjkwOTYuSVFfRUJJVF9JTlQuMTAwMAEAAACocQAAAgAAAAoxNzUuMzI0NzI4AQgAAAAFAAAAATEBAAAACy0xOTA3ODIzMTc2AwAAAAMxNjACAAAABDQxODkEAAAA</t>
  </si>
  <si>
    <t>ATAHAAAACTMvMjkvMjAyNggAAAAKMTIvMzEvMjAyNQkAAAABMNyd1ruujd4ICmHlJa+N3ggkQ0lRLklRMjI3NTEuSVFfRUJJVERBX0NBUEVYX0lOVC4xMDAwAQAAAN9YAAACAAAACDkuNjgwOTIzAQgAAAAFAAAAATEBAAAACy0xOTA1MTQ1MTA2AwAAAAMxNjACAAAABDQxOTEEAAAAATAHAAAACTMvMjkvMjAyNggAAAAKMTIvMzEvMjAyNQkAAAABMNyd1ruujd4IX+dmlq+N3gglQ0lRLklRMjI3NTEuSVFfVE9UQUxfREVCVF9FQklUREEuMTAwMAEAAADfWAAAAgAAAAgyLjk4NTQwOAEIAAAABQAAAAExAQAAAAstMTkwNTE0NTEwNgMAAAADMTYwAgAAAAQ0MTkyBAAAAAEwBwAAAAkzLzI5LzIwMjYIAAAACjEyLzMxLzIwMjUJAAAAATDcnda7ro3eCLEOZ5avjd4IIUNJUS5JUTIyNzUxLklRX1JFVFVSTl9FUVVJVFkuMjAwMAEAAADfWAAAAgAAAAY3LjkyOTQBCAAAAAUAAAABMQEAAAALLTE5MDUxNDEyMDEDAAAAAzE2MAIAAAAENDEyOAQAAAABMAcAAAAJMy8yOS8yMDI2CAAAAAoxMi8zMS8yMDI1CQAAAAEw3J3Wu66N3gixDmeWr43eCCNDSVEuSVEyMjc1MS5JUV9FRkZFQ1RfVEFYX1JBVEUuMTAwMAEAAADfWAAAAgAAAAcyMC42NDk3AQgAAAAFAAAAATEBAAAACy0xOTA1MTQ1MTA2AwAAAAMxNjACAAAABDQzNzYEAAAAATAHAAAACTMvMjkvMjAyNggAAAAKMTIvMzEvMjAyNQkAAAABMNyd1ruujd4IsQ5nlq+N</t>
  </si>
  <si>
    <t>3ggiQ0lRLklRMjg1ODI3LklRX0NVUlJFTlRfUkFUSU8uMTAwMAEAAACDXAQAAgAAAAgxLjA4Njg2NQEIAAAABQAAAAExAQAAAAstMTkwODQ2MDgwMgMAAAADMTYwAgAAAAQ0MDMwBAAAAAEwBwAAAAkzLzI5LzIwMjYIAAAACjEyLzMxLzIwMjUJAAAAATDcnda7ro3eCPA1Z5avjd4IJUNJUS5JUTI4NTgyNy5JUV9FQklUREFfQ0FQRVhfSU5ULjEwMDABAAAAg1wEAAIAAAAINi4xNjYzNjgBCAAAAAUAAAABMQEAAAALLTE5MDg0NjA4MDIDAAAAAzE2MAIAAAAENDE5MQQAAAABMAcAAAAJMy8yOS8yMDI2CAAAAAoxMi8zMS8yMDI1CQAAAAEw3J3Wu66N3gjwNWeWr43eCCZDSVEuSVEyODU4MjcuSVFfVE9UQUxfREVCVF9FQklUREEuMTAwMAEAAACDXAQAAgAAAAgyLjY2NTQ1NwEIAAAABQAAAAExAQAAAAstMTkwODQ2MDgwMgMAAAADMTYwAgAAAAQ0MTkyBAAAAAEwBwAAAAkzLzI5LzIwMjYIAAAACjEyLzMxLzIwMjUJAAAAATDcnda7ro3eCN5lZ5avjd4IIkNJUS5JUTI4NTgyNy5JUV9SRVRVUk5fQVNTRVRTLjIwMDABAAAAg1wEAAIAAAAGNy41Njg4AQgAAAAFAAAAATEBAAAACy0xOTA4NDU5MzY5AwAAAAMxNjACAAAABDQxNzgEAAAAATAHAAAACTMvMjkvMjAyNggAAAAKMTIvMzEvMjAyNQkAAAABMNyd1ruujd4I3mVnlq+N3ggjQ0lRLklRMjI0MDU1MjgzLklRX1FVSUNLX1JBVElPLjEwMDABAAAA889aDQIA</t>
  </si>
  <si>
    <t>AAAIMy4zNTEzOTkBCAAAAAUAAAABMQEAAAALLTE5MDc3NTI3NDYDAAAAAzE2MAIAAAAENDEyMQQAAAABMAcAAAAJMy8yOS8yMDI2CAAAAAoxMi8zMS8yMDI1CQAAAAEw3J3Wu66N3gipnuclr43eCCJDSVEuSVEyMjQwNTUyODMuSVFfRUJJVERBX0lOVC4xMDAwAQAAAPPPWg0DAAAAAk5NAQgAAAAFAAAAATEBAAAACy0xOTA3NzUyNzQ2AwAAAAMxNjACAAAABDQxOTAEAAAAATAHAAAACTMvMjkvMjAyNggAAAAKMTIvMzEvMjAyNQkAAAABMNyd1ruujd4Iqc/iJa+N3ggpQ0lRLklRMjI0MDU1MjgzLklRX1RPVEFMX0RFQlRfRUJJVERBLjEwMDABAAAA889aDQMAAAACTk0BCAAAAAUAAAABMQEAAAALLTE5MDc3NTI3NDYDAAAAAzE2MAIAAAAENDE5MgQAAAABMAcAAAAJMy8yOS8yMDI2CAAAAAoxMi8zMS8yMDI1CQAAAAEw3J3Wu66N3ghgjuUlr43eCCVDSVEuSVEyMjQwNTUyODMuSVFfUkVUVVJOX0FTU0VUUy4yMDAwAQAAAPPPWg0CAAAABy00LjI2MDIBCAAAAAUAAAABMQEAAAALLTE5MDc3NTA0MDUDAAAAAzE2MAIAAAAENDE3OAQAAAABMAcAAAAJMy8yOS8yMDI2CAAAAAoxMi8zMS8yMDI1CQAAAAEw3J3Wu66N3gipnuclr43eCCNDSVEuSVExMzQwNzQwLklRX0NVUlJFTlRfUkFUSU8uMTAwMAEAAABEdRQAAgAAAAgxLjI5NzgxMwEIAAAABQAAAAExAQAAAAstMTkwNjExOTkyNgMAAAADMTYwAgAAAAQ0MDMw</t>
  </si>
  <si>
    <t>BAAAAAEwBwAAAAkzLzI5LzIwMjYIAAAACjEyLzMxLzIwMjUJAAAAATDcnda7ro3eCF60Z5avjd4IIUNJUS5JUTEzNDA3NDAuSVFfUVVJQ0tfUkFUSU8uMTAwMAEAAABEdRQAAgAAAAgwLjg3NzkzNgEIAAAABQAAAAExAQAAAAstMTkwNjExOTkyNgMAAAADMTYwAgAAAAQ0MTIxBAAAAAEwBwAAAAkzLzI5LzIwMjYIAAAACjEyLzMxLzIwMjUJAAAAATDcnda7ro3eCF60Z5avjd4IHkNJUS5JUTI4NTgyNy5JUV9OSV9NQVJHSU4uMjAwMAEAAACDXAQAAgAAAAU2LjY4NQEIAAAABQAAAAExAQAAAAstMTkwODQ1OTM2OQMAAAADMTYwAgAAAAQ0MDk0BAAAAAEwBwAAAAkzLzI5LzIwMjYIAAAACjEyLzMxLzIwMjUJAAAAATDcnda7ro3eCHMJbpavjd4IJkNJUS5JUTEzNDA3NDAuSVFfRUJJVERBX0NBUEVYX0lOVC4xMDAwAQAAAER1FAACAAAACDUuNzUwNzQ0AQgAAAAFAAAAATEBAAAACy0xOTA2MTE5OTI2AwAAAAMxNjACAAAABDQxOTEEAAAAATAHAAAACTMvMjkvMjAyNggAAAAKMTIvMzEvMjAyNQkAAAABMNyd1ruujd4IXrRnlq+N3ggiQ0lRLklRMjg1ODI3LklRX0VCSVREQV9NQVJHSU4uMjAwMAEAAACDXAQAAgAAAAcxMS4wMzk2AQgAAAAFAAAAATEBAAAACy0xOTA4NDU5MzY5AwAAAAMxNjACAAAABDQwNDcEAAAAATAHAAAACTMvMjkvMjAyNggAAAAKMTIvMzEvMjAyNQkAAAABMNyd1ruujd4IY+Jtlq+N3ggn</t>
  </si>
  <si>
    <t>Q0lRLklRMTM0MDc0MC5JUV9UT1RBTF9ERUJUX0VRVUlUWS4xMDAwAQAAAER1FAACAAAACDIzNi42MTM0AQgAAAAFAAAAATEBAAAACy0xOTA2MTE5OTI2AwAAAAMxNjACAAAABDQwMzQEAAAAATAHAAAACTMvMjkvMjAyNggAAAAKMTIvMzEvMjAyNQkAAAABMNyd1ruujd4IXrRnlq+N3ggjQ0lRLklRMjg1ODI3LklRX0RJTFVUX0VQU19JTkNMLjEwMDABAAAAg1wEAAIAAAAFMjEuNDkBCAAAAAUAAAABMQEAAAALLTE5MDg0NjA4MDIDAAAAAzE2MAIAAAABOAQAAAABMAcAAAAJMy8yOS8yMDI2CAAAAAoxMi8zMS8yMDI1CQAAAAEw3J3Wu66N3ghj4m2Wr43eCChDSVEuSVExMzQwNzQwLklRX1RPVEFMX0RFQlRfQ0FQSVRBTC4xMDAwAQAAAER1FAACAAAABzcwLjI5MjMBCAAAAAUAAAABMQEAAAALLTE5MDYxMTk5MjYDAAAAAzE2MAIAAAAENDE4NgQAAAABMAcAAAAJMy8yOS8yMDI2CAAAAAoxMi8zMS8yMDI1CQAAAAEw3J3Wu66N3ghetGeWr43eCDBDSVEuSVEyODU4MjcuSVFfRVBTXzFZUl9BTk5fR1JPV1RILjIwMDAuNC8zLzIwMjYBAAAAg1wEAAIAAAAHLTMuNjc1NQEIAAAABQAAAAExAQAAAAstMTkwODQ1OTM2OQMAAAADMTYwAgAAAAQ0MjAwBAAAAAEwBwAAAAg0LzMvMjAyNggAAAAKMTIvMzEvMjAyNQkAAAABMNyd1ruujd4IY+Jtlq+N3ggjQ0lRLklRMTM0MDc0MC5JUV9SRVRVUk5fRVFVSVRZLjIwMDAB</t>
  </si>
  <si>
    <t>AAAARHUUAAIAAAAHMjYuMTM1NQEIAAAABQAAAAExAQAAAAstMTkwNjExNzY0OAMAAAADMTYwAgAAAAQ0MTI4BAAAAAEwBwAAAAkzLzI5LzIwMjYIAAAACjEyLzMxLzIwMjUJAAAAATDcnda7ro3eCF60Z5avjd4IIENJUS5JUTM2MzI2My5JUV9RVUlDS19SQVRJTy4xMDAwAQAAAP+KBQACAAAACDEuMDM2MTI0AQgAAAAFAAAAATEBAAAACy0xOTA3NzUyNzUzAwAAAAMxNjACAAAABDQxMjEEAAAAATAHAAAACTMvMjkvMjAyNggAAAAKMTIvMzEvMjAyNQkAAAABMLjY1ruujd4Ibdtnlq+N3ggeQ0lRLklRMjg1ODI3LklRX1RPVEFMX1JFVi4xMDAwAQAAAINcBAACAAAABTc1MDQ4AQgAAAAFAAAAATEBAAAACy0xOTA4NDYwODAyAwAAAAMxNjACAAAAAjI4BAAAAAEwBwAAAAkzLzI5LzIwMjYIAAAACjEyLzMxLzIwMjUJAAAAATDcnda7ro3eCGPibZavjd4IH0NJUS5JUTM2MzI2My5JUV9FQklUREFfSU5ULjEwMDABAAAA/4oFAAIAAAAIMTIuMDc2MTkBCAAAAAUAAAABMQEAAAALLTE5MDc3NTI3NTMDAAAAAzE2MAIAAAAENDE5MAQAAAABMAcAAAAJMy8yOS8yMDI2CAAAAAoxMi8zMS8yMDI1CQAAAAEwuNjWu66N3ght22eWr43eCCZDSVEuSVEzNjMyNjMuSVFfVE9UQUxfREVCVF9FQklUREEuMTAwMAEAAAD/igUAAgAAAAgyLjM1MDk0NgEIAAAABQAAAAExAQAAAAstMTkwNzc1Mjc1MwMAAAADMTYwAgAAAAQ0MTky</t>
  </si>
  <si>
    <t>BAAAAAEwBwAAAAkzLzI5LzIwMjYIAAAACjEyLzMxLzIwMjUJAAAAATC42Na7ro3eCG3bZ5avjd4INkNJUS5JUTI4NTgyNy5JUV9UT1RBTF9SRVZfMVlSX0FOTl9HUk9XVEguMjAwMC40LzMvMjAyNgEAAACDXAQAAgAAAAY1LjYzNzQBCAAAAAUAAAABMQEAAAALLTE5MDg0NTkzNjkDAAAAAzE2MAIAAAAENDE5NAQAAAABMAcAAAAINC8zLzIwMjYIAAAACjEyLzMxLzIwMjUJAAAAATDcnda7ro3eCGPibZavjd4IIkNJUS5JUTM2MzI2My5JUV9SRVRVUk5fQVNTRVRTLjIwMDABAAAA/4oFAAIAAAAGNC4wMjI2AQgAAAAFAAAAATEBAAAACy0xOTA3NzUwMzk3AwAAAAMxNjACAAAABDQxNzgEAAAAATAHAAAACTMvMjkvMjAyNggAAAAKMTIvMzEvMjAyNQkAAAABMLjY1ruujd4Ibdtnlq+N3gghQ0lRLklRMjI0MDU1MjgzLklRX05JX01BUkdJTi4yMDAwAQAAAPPPWg0CAAAABy03Ljc2MzUBCAAAAAUAAAABMQEAAAALLTE5MDc3NTA0MDUDAAAAAzE2MAIAAAAENDA5NAQAAAABMAcAAAAJMy8yOS8yMDI2CAAAAAoxMi8zMS8yMDI1CQAAAAEw3J3Wu66N3gifkuklr43eCCFDSVEuSVEyMTgzNS5JUV9DVVJSRU5UX1JBVElPLjEwMDABAAAAS1UAAAIAAAAIMS4zNTM0NDYBCAAAAAUAAAABMQEAAAALLTE5MzQyNTQyMTYDAAAAAzE2MAIAAAAENDAzMAQAAAABMAcAAAAJMy8yOS8yMDI2CAAAAAk2LzMwLzIwMjUJAAAAATC4</t>
  </si>
  <si>
    <t>2Na7ro3eCDTM5yWvjd4IJUNJUS5JUTIyNDA1NTI4My5JUV9FQklUREFfTUFSR0lOLjIwMDABAAAA889aDQIAAAAHLTYuMjEzMgEIAAAABQAAAAExAQAAAAstMTkwNzc1MDQwNQMAAAADMTYwAgAAAAQ0MDQ3BAAAAAEwBwAAAAkzLzI5LzIwMjYIAAAACjEyLzMxLzIwMjUJAAAAATDcnda7ro3eCJ+S6SWvjd4IJENJUS5JUTIxODM1LklRX0VCSVREQV9DQVBFWF9JTlQuMTAwMAEAAABLVQAAAgAAAAk0MC4yMDY1OTcBCAAAAAUAAAABMQEAAAALLTE5MzQyNTQyMTYDAAAAAzE2MAIAAAAENDE5MQQAAAABMAcAAAAJMy8yOS8yMDI2CAAAAAk2LzMwLzIwMjUJAAAAATC42Na7ro3eCLK15SWvjd4IJkNJUS5JUTIyNDA1NTI4My5JUV9ESUxVVF9FUFNfSU5DTC4xMDAwAQAAAPPPWg0CAAAACS0wLjI3MTczOQEIAAAABQAAAAExAQAAAAstMTkwNzc1Mjc0NgMAAAADMTYwAgAAAAE4BAAAAAEwBwAAAAkzLzI5LzIwMjYIAAAACjEyLzMxLzIwMjUJAAAAATDcnda7ro3eCKkQ5CWvjd4IJUNJUS5JUTIxODM1LklRX1RPVEFMX0RFQlRfRVFVSVRZLjEwMDABAAAAS1UAAAIAAAAGMzIuNjYxAQgAAAAFAAAAATEBAAAACy0xOTM0MjU0MjE2AwAAAAMxNjACAAAABDQwMzQEAAAAATAHAAAACTMvMjkvMjAyNggAAAAJNi8zMC8yMDI1CQAAAAEwuNjWu66N3gg0zOclr43eCDNDSVEuSVEyMjQwNTUyODMuSVFfRVBTXzFZUl9BTk5f</t>
  </si>
  <si>
    <t>R1JPV1RILjIwMDAuNC8zLzIwMjYBAAAA889aDQMAAAACTk0BCAAAAAUAAAABMQEAAAALLTE5MDc3NTA0MDUDAAAAAzE2MAIAAAAENDIwMAQAAAABMAcAAAAINC8zLzIwMjYIAAAACjEyLzMxLzIwMjUJAAAAATDcnda7ro3eCEEC6yWvjd4IIUNJUS5JUTIxODM1LklRX1JFVFVSTl9BU1NFVFMuMjAwMAEAAABLVQAAAgAAAAcxNC44NTk4AQgAAAAFAAAAATEBAAAACy0xOTA4NjcxMjc3AwAAAAMxNjACAAAABDQxNzgEAAAAATAHAAAACTMvMjkvMjAyNggAAAAKMTIvMzEvMjAyNQkAAAABMLjY1ruujd4IsrXlJa+N3gghQ0lRLklRMjI0MDU1MjgzLklRX1RPVEFMX1JFVi4xMDAwAQAAAPPPWg0CAAAACDU5MzEuNDQ3AQgAAAAFAAAAATEBAAAACy0xOTA3NzUyNzQ2AwAAAAMxNjACAAAAAjI4BAAAAAEwBwAAAAkzLzI5LzIwMjYIAAAACjEyLzMxLzIwMjUJAAAAATDcnda7ro3eCJ+S6SWvjd4IIkNJUS5JUTE3NzAzMS5JUV9DVVJSRU5UX1JBVElPLjEwMDABAAAAh7MCAAIAAAAIMS4wNDE0NTcBCAAAAAUAAAABMQEAAAALLTE5MDgyNzQyOTUDAAAAAzE2MAIAAAAENDAzMAQAAAABMAcAAAAJMy8yOS8yMDI2CAAAAAoxMi8zMS8yMDI1CQAAAAEwuNjWu66N3ghvWWiWr43eCDlDSVEuSVEyMjQwNTUyODMuSVFfVE9UQUxfUkVWXzFZUl9BTk5fR1JPV1RILjIwMDAuNC8zLzIwMjYBAAAA889aDQIAAAAHMTAuNjMyNAEI</t>
  </si>
  <si>
    <t>AAAABQAAAAExAQAAAAstMTkwNzc1MDQwNQMAAAADMTYwAgAAAAQ0MTk0BAAAAAEwBwAAAAg0LzMvMjAyNggAAAAKMTIvMzEvMjAyNQkAAAABMNyd1ruujd4IZkrkJa+N3ggdQ0lRLklRMTc3MDMxLklRX0VCSVRfSU5ULjEwMDABAAAAh7MCAAIAAAAIMTEuMjQ5MTEBCAAAAAUAAAABMQEAAAALLTE5MDgyNzQyOTUDAAAAAzE2MAIAAAAENDE4OQQAAAABMAcAAAAJMy8yOS8yMDI2CAAAAAoxMi8zMS8yMDI1CQAAAAEwuNjWu66N3ghvWWiWr43eCB9DSVEuSVExMzQwNzQwLklRX05JX01BUkdJTi4yMDAwAQAAAER1FAACAAAABzEyLjYzMDIBCAAAAAUAAAABMQEAAAALLTE5MDYxMTc2NDgDAAAAAzE2MAIAAAAENDA5NAQAAAABMAcAAAAJMy8yOS8yMDI2CAAAAAoxMi8zMS8yMDI1CQAAAAEw3J3Wu66N3giifm6Wr43eCCNDSVEuSVExMzQwNzQwLklRX0VCSVREQV9NQVJHSU4uMjAwMAEAAABEdRQAAgAAAAcyMi42MTYzAQgAAAAFAAAAATEBAAAACy0xOTA2MTE3NjQ4AwAAAAMxNjACAAAABDQwNDcEAAAAATAHAAAACTMvMjkvMjAyNggAAAAKMTIvMzEvMjAyNQkAAAABMNyd1ruujd4Ion5ulq+N3ggdQ0lRLklRMjE4MzUuSVFfVE9UQUxfUkVWLjEwMDABAAAAS1UAAAIAAAAGMjgxNzI0AQgAAAAFAAAAATEBAAAACy0xOTM0MjU0MjE2AwAAAAMxNjACAAAAAjI4BAAAAAEwBwAAAAkzLzI5LzIwMjYIAAAACTYvMzAv</t>
  </si>
  <si>
    <t>MjAyNQkAAAABMNyd1ruujd4IrnbkJa+N3ggwQ0lRLklRMTc3MDMxLklRX0VQU18xWVJfQU5OX0dST1dUSC4yMDAwLjQvMy8yMDI2AQAAAIezAgACAAAABzMyLjU1OTIBCAAAAAUAAAABMQEAAAALLTE5MDgyNzQxOTMDAAAAAzE2MAIAAAAENDIwMAQAAAABMAcAAAAINC8zLzIwMjYIAAAACjEyLzMxLzIwMjUJAAAAATDcnda7ro3eCNHzbpavjd4IIkNJUS5JUTM3MDg1Ny5JUV9FQklUREFfTUFSR0lOLjIwMDABAAAAqagFAAIAAAAHLTMuNjE5MwEIAAAABQAAAAExAQAAAAstMTkwODMzMjk2MAMAAAADMTYwAgAAAAQ0MDQ3BAAAAAEwBwAAAAkzLzI5LzIwMjYIAAAACjEyLzMxLzIwMjUJAAAAATDcnda7ro3eCPJBb5avjd4IJUNJUS5JUTIwNzY1NDYzLklRX0RJTFVUX0VQU19JTkNMLjEwMDABAAAAF9s8AQIAAAAFMjMuNDkBCAAAAAUAAAABMQEAAAALLTE5MDg1MTMzNTMDAAAAAzE2MAIAAAABOAQAAAABMAcAAAAJMy8yOS8yMDI2CAAAAAoxMi8zMS8yMDI1CQAAAAEwuNjWu66N3gi7neQlr43eCDBDSVEuSVEyODkxOTQuSVFfRVBTXzFZUl9BTk5fR1JPV1RILjIwMDAuNC8zLzIwMjYBAAAAqmkEAAIAAAAILTE3LjM1NTQBCAAAAAUAAAABMQEAAAALLTE5MDgwMTg1NTgDAAAAAzE2MAIAAAAENDIwMAQAAAABMAcAAAAINC8zLzIwMjYIAAAACjEyLzMxLzIwMjUJAAAAATC42Na7ro3eCDQgbJavjd4IMENJUS5J</t>
  </si>
  <si>
    <t>UTE1OTIzMC5JUV9FUFNfMVlSX0FOTl9HUk9XVEguMjAwMC40LzMvMjAyNgEAAAD+bQIAAgAAAAczOS43MTgzAQgAAAAFAAAAATEBAAAACy0xOTA3NjA0NjY4AwAAAAMxNjACAAAABDQyMDAEAAAAATAHAAAACDQvMy8yMDI2CAAAAAoxMi8zMS8yMDI1CQAAAAEwuNjWu66N3gjkdmyWr43eCCNDSVEuSVEyNzg2NzkuSVFfRElMVVRfRVBTX0lOQ0wuMTAwMAEAAACXQAQAAgAAAAUxNC4yMwEIAAAABQAAAAExAQAAAAstMTkwMDk5NTI5NQMAAAADMTYwAgAAAAE4BAAAAAEwBwAAAAkzLzI5LzIwMjYIAAAACDIvMS8yMDI2CQAAAAEwuNjWu66N3ggy9uglr43eCCNDSVEuSVExODA4NzEuSVFfRElMVVRfRVBTX0lOQ0wuMTAwMAEAAACHwgIAAgAAAAUxMS44NQEIAAAABQAAAAExAQAAAAstMTkwMDQ5NjI2MQMAAAADMTYwAgAAAAE4BAAAAAEwBwAAAAkzLzI5LzIwMjYIAAAACTEvMzAvMjAyNgkAAAABMLjY1ruujd4IYFDrJa+N3ggwQ0lRLklRMTgwODcxLklRX0VQU18xWVJfQU5OX0dST1dUSC4yMDAwLjQvMy8yMDI2AQAAAIfCAgACAAAABy0zLjEwNzIBCAAAAAUAAAABMQEAAAALLTE5MDA0OTYxMDUDAAAAAzE2MAIAAAAENDIwMAQAAAABMAcAAAAINC8zLzIwMjYIAAAACTEvMzAvMjAyNgkAAAABMLjY1ruujd4IMvboJa+N3ggeQ0lRLklRMTgwODcxLklRX1RPVEFMX1JFVi4xMDAwAQAAAIfCAgACAAAABTg2Mjg2</t>
  </si>
  <si>
    <t>AQgAAAAFAAAAATEBAAAACy0xOTAwNDk2MjYxAwAAAAMxNjACAAAAAjI4BAAAAAEwBwAAAAkzLzI5LzIwMjYIAAAACTEvMzAvMjAyNgkAAAABMLjY1ruujd4Ifx3pJa+N3ggkQ0lRLklRMTM0MDc0MC5JUV9ESUxVVF9FUFNfSU5DTC4xMDAwAQAAAER1FAACAAAABDcuMzYBCAAAAAUAAAABMQEAAAALLTE5MDYxMTk5MjYDAAAAAzE2MAIAAAABOAQAAAABMAcAAAAJMy8yOS8yMDI2CAAAAAoxMi8zMS8yMDI1CQAAAAEw3J3Wu66N3giifm6Wr43eCDFDSVEuSVExMzQwNzQwLklRX0VQU18xWVJfQU5OX0dST1dUSC4yMDAwLjQvMy8yMDI2AQAAAER1FAACAAAABy04LjkzODgBCAAAAAUAAAABMQEAAAALLTE5MDYxMTc2NDgDAAAAAzE2MAIAAAAENDIwMAQAAAABMAcAAAAINC8zLzIwMjYIAAAACjEyLzMxLzIwMjUJAAAAATDcnda7ro3eCKJ+bpavjd4IH0NJUS5JUTEzNDA3NDAuSVFfVE9UQUxfUkVWLjEwMDABAAAARHUUAAIAAAAFMzc0NDIBCAAAAAUAAAABMQEAAAALLTE5MDYxMTk5MjYDAAAAAzE2MAIAAAACMjgEAAAAATAHAAAACTMvMjkvMjAyNggAAAAKMTIvMzEvMjAyNQkAAAABMNyd1ruujd4Ion5ulq+N3gg3Q0lRLklRMTM0MDc0MC5JUV9UT1RBTF9SRVZfMVlSX0FOTl9HUk9XVEguMjAwMC40LzMvMjAyNgEAAABEdRQAAgAAAAY3Ljg0OTEBCAAAAAUAAAABMQEAAAALLTE5MDYxMTc2NDgDAAAAAzE2MAIA</t>
  </si>
  <si>
    <t>AAAENDE5NAQAAAABMAcAAAAINC8zLzIwMjYIAAAACjEyLzMxLzIwMjUJAAAAATDcnda7ro3eCKJ+bpavjd4IHkNJUS5JUTM2MzI2My5JUV9OSV9NQVJHSU4uMjAwMAEAAAD/igUAAgAAAAY0Ljg0NjIBCAAAAAUAAAABMQEAAAALLTE5MDc3NTAzOTcDAAAAAzE2MAIAAAAENDA5NAQAAAABMAcAAAAJMy8yOS8yMDI2CAAAAAoxMi8zMS8yMDI1CQAAAAEw3J3Wu66N3gjBzG6Wr43eCCJDSVEuSVEzNjMyNjMuSVFfRUJJVERBX01BUkdJTi4yMDAwAQAAAP+KBQACAAAABjkuMDUxNQEIAAAABQAAAAExAQAAAAstMTkwNzc1MDM5NwMAAAADMTYwAgAAAAQ0MDQ3BAAAAAEwBwAAAAkzLzI5LzIwMjYIAAAACjEyLzMxLzIwMjUJAAAAATDcnda7ro3eCMHMbpavjd4II0NJUS5JUTM2MzI2My5JUV9ESUxVVF9FUFNfSU5DTC4xMDAwAQAAAP+KBQACAAAABTE1LjM5AQgAAAAFAAAAATEBAAAACy0xOTA3NzUyNzUzAwAAAAMxNjACAAAAATgEAAAAATAHAAAACTMvMjkvMjAyNggAAAAKMTIvMzEvMjAyNQkAAAABMNyd1ruujd4Iwcxulq+N3ggwQ0lRLklRMzYzMjYzLklRX0VQU18xWVJfQU5OX0dST1dUSC4yMDAwLjQvMy8yMDI2AQAAAP+KBQACAAAABzEwLjI0ODMBCAAAAAUAAAABMQEAAAALLTE5MDc3NTAzOTcDAAAAAzE2MAIAAAAENDIwMAQAAAABMAcAAAAINC8zLzIwMjYIAAAACjEyLzMxLzIwMjUJAAAAATDcnda7ro3e</t>
  </si>
  <si>
    <t>CMHMbpavjd4IHkNJUS5JUTM2MzI2My5JUV9UT1RBTF9SRVYuMTAwMAEAAAD/igUAAgAAAAUxMjQ4NAEIAAAABQAAAAExAQAAAAstMTkwNzc1Mjc1MwMAAAADMTYwAgAAAAIyOAQAAAABMAcAAAAJMy8yOS8yMDI2CAAAAAoxMi8zMS8yMDI1CQAAAAEw3J3Wu66N3gixpW6Wr43eCDZDSVEuSVEzNjMyNjMuSVFfVE9UQUxfUkVWXzFZUl9BTk5fR1JPV1RILjIwMDAuNC8zLzIwMjYBAAAA/4oFAAIAAAAGOC4yMjcxAQgAAAAFAAAAATEBAAAACy0xOTA3NzUwMzk3AwAAAAMxNjACAAAABDQxOTQEAAAAATAHAAAACDQvMy8yMDI2CAAAAAoxMi8zMS8yMDI1CQAAAAEw3J3Wu66N3gixpW6Wr43eCB1DSVEuSVEyMTgzNS5JUV9OSV9NQVJHSU4uMjAwMAEAAABLVQAAAgAAAAczOS4wNDQzAQgAAAAFAAAAATEBAAAACy0xOTA4NjcxMjc3AwAAAAMxNjACAAAABDQwOTQEAAAAATAHAAAACTMvMjkvMjAyNggAAAAKMTIvMzEvMjAyNQkAAAABMNyd1ruujd4IWqfoJa+N3gghQ0lRLklRMjE4MzUuSVFfRUJJVERBX01BUkdJTi4yMDAwAQAAAEtVAAACAAAABzU3LjM3NjcBCAAAAAUAAAABMQEAAAALLTE5MDg2NzEyNzcDAAAAAzE2MAIAAAAENDA0NwQAAAABMAcAAAAJMy8yOS8yMDI2CAAAAAoxMi8zMS8yMDI1CQAAAAEw3J3Wu66N3ghap+glr43eCC9DSVEuSVEyMTgzNS5JUV9FUFNfMVlSX0FOTl9HUk9XVEguMjAwMC40LzMv</t>
  </si>
  <si>
    <t>MjAyNgEAAABLVQAAAgAAAAcyOC43NzMxAQgAAAAFAAAAATEBAAAACy0xOTA4NjcxMjc3AwAAAAMxNjACAAAABDQyMDAEAAAAATAHAAAACDQvMy8yMDI2CAAAAAoxMi8zMS8yMDI1CQAAAAEw3J3Wu66N3giwueklr43eCB5DSVEuSVExNzcwMzEuSVFfTklfTUFSR0lOLjIwMDABAAAAh7MCAAIAAAAHMTguOTgxNQEIAAAABQAAAAExAQAAAAstMTkwODI3NDE5MwMAAAADMTYwAgAAAAQ0MDk0BAAAAAEwBwAAAAkzLzI5LzIwMjYIAAAACjEyLzMxLzIwMjUJAAAAATDcnda7ro3eCNHzbpavjd4II0NJUS5JUTE3NzAzMS5JUV9ESUxVVF9FUFNfSU5DTC4xMDAwAQAAAIezAgACAAAACDguMTQ3MDAzAQgAAAAFAAAAATEBAAAACy0xOTA4Mjc0Mjk1AwAAAAMxNjACAAAAATgEAAAAATAHAAAACTMvMjkvMjAyNggAAAAKMTIvMzEvMjAyNQkAAAABMNyd1ruujd4I0fNulq+N3gggQ0lRLklRMjA3NjU0NjMuSVFfTklfTUFSR0lOLjIwMDABAAAAF9s8AQIAAAAHMzAuMDgzNgEIAAAABQAAAAExAQAAAAstMTkwODUxMTUwMAMAAAADMTYwAgAAAAQ0MDk0BAAAAAEwBwAAAAkzLzI5LzIwMjYIAAAACjEyLzMxLzIwMjUJAAAAATC42Na7ro3eCFAp6yWvjd4IOENJUS5JUTIwNzY1NDYzLklRX1RPVEFMX1JFVl8xWVJfQU5OX0dST1dUSC4yMDAwLjQvMy8yMDI2AQAAABfbPAECAAAABjIyLjE2NwEIAAAABQAAAAExAQAAAAstMTkw</t>
  </si>
  <si>
    <t>ODUxMTUwMAMAAAADMTYwAgAAAAQ0MTk0BAAAAAEwBwAAAAg0LzMvMjAyNggAAAAKMTIvMzEvMjAyNQkAAAABMLjY1ruujd4IUCnrJa+N3ggeQ0lRLklRMjg5MTk0LklRX1RPVEFMX1JFVi4xMDAwAQAAAKppBAACAAAABTI0OTQ4AQgAAAAFAAAAATEBAAAACy0xOTA4MDIwNjc1AwAAAAMxNjACAAAAAjI4BAAAAAEwBwAAAAkzLzI5LzIwMjYIAAAACjEyLzMxLzIwMjUJAAAAATC42Na7ro3eCDQgbJavjd4IHkNJUS5JUTE1OTIzMC5JUV9UT1RBTF9SRVYuMTAwMAEAAAD+bQIAAgAAAAU4ODYwMwEIAAAABQAAAAExAQAAAAstMTkwNzYwNDkyNAMAAAADMTYwAgAAAAIyOAQAAAABMAcAAAAJMy8yOS8yMDI2CAAAAAoxMi8zMS8yMDI1CQAAAAEwuNjWu66N3gjkdmyWr43eCB5DSVEuSVEyNzg2NzkuSVFfVE9UQUxfUkVWLjEwMDABAAAAl0AEAAIAAAAGMTY0NjgzAQgAAAAFAAAAATEBAAAACy0xOTAwOTk1Mjk1AwAAAAMxNjACAAAAAjI4BAAAAAEwBwAAAAkzLzI5LzIwMjYIAAAACDIvMS8yMDI2CQAAAAEwuNjWu66N3gjb6+Qlr43eCCJDSVEuSVExNzcwMzEuSVFfRUJJVERBX01BUkdJTi4yMDAwAQAAAIezAgACAAAABzIzLjM0MDkBCAAAAAUAAAABMQEAAAALLTE5MDgyNzQxOTMDAAAAAzE2MAIAAAAENDA0NwQAAAABMAcAAAAJMy8yOS8yMDI2CAAAAAoxMi8zMS8yMDI1CQAAAAEw3J3Wu66N3gjR826Wr43eCDZD</t>
  </si>
  <si>
    <t>SVEuSVExNzcwMzEuSVFfVE9UQUxfUkVWXzFZUl9BTk5fR1JPV1RILjIwMDAuNC8zLzIwMjYBAAAAh7MCAAIAAAAHMTguNDgyMgEIAAAABQAAAAExAQAAAAstMTkwODI3NDE5MwMAAAADMTYwAgAAAAQ0MTk0BAAAAAEwBwAAAAg0LzMvMjAyNggAAAAKMTIvMzEvMjAyNQkAAAABMNyd1ruujd4I0fNulq+N3ggjQ0lRLklRMzcwODU3LklRX0RJTFVUX0VQU19JTkNMLjEwMDABAAAAqagFAAIAAAAEMi40OAEIAAAABQAAAAExAQAAAAstMTkwODMzMzM2MAMAAAADMTYwAgAAAAE4BAAAAAEwBwAAAAkzLzI5LzIwMjYIAAAACjEyLzMxLzIwMjUJAAAAATC42Na7ro3eCPJBb5avjd4INkNJUS5JUTM3MDg1Ny5JUV9UT1RBTF9SRVZfMVlSX0FOTl9HUk9XVEguMjAwMC40LzMvMjAyNgEAAACpqAUAAgAAAAczNC40OTY0AQgAAAAFAAAAATEBAAAACy0xOTA4MzMyOTYwAwAAAAMxNjACAAAABDQxOTQEAAAAATAHAAAACDQvMy8yMDI2CAAAAAoxMi8zMS8yMDI1CQAAAAEwuNjWu66N3gjhGm+Wr43eCDJDSVEuSVEyMDc2NTQ2My5JUV9FUFNfMVlSX0FOTl9HUk9XVEguMjAwMC40LzMvMjAyNgEAAAAX2zwBAgAAAActMS41NTA4AQgAAAAFAAAAATEBAAAACy0xOTA4NTExNTAwAwAAAAMxNjACAAAABDQyMDAEAAAAATAHAAAACDQvMy8yMDI2CAAAAAoxMi8zMS8yMDI1CQAAAAEwuNjWu66N3gjL5uklr43eCB5DSVEuSVEyODkx</t>
  </si>
  <si>
    <t>OTQuSVFfTklfTUFSR0lOLjIwMDABAAAAqmkEAAIAAAAGMTMuMDI3AQgAAAAFAAAAATEBAAAACy0xOTA4MDE4NTU4AwAAAAMxNjACAAAABDQwOTQEAAAAATAHAAAACTMvMjkvMjAyNggAAAAKMTIvMzEvMjAyNQkAAAABMLjY1ruujd4INCBslq+N3ggjQ0lRLklRMjg5MTk0LklRX0RJTFVUX0VQU19JTkNMLjEwMDABAAAAqmkEAAIAAAABNgEIAAAABQAAAAExAQAAAAstMTkwODAyMDY3NQMAAAADMTYwAgAAAAE4BAAAAAEwBwAAAAkzLzI5LzIwMjYIAAAACjEyLzMxLzIwMjUJAAAAATC42Na7ro3eCDQgbJavjd4IHkNJUS5JUTE1OTIzMC5JUV9OSV9NQVJHSU4uMjAwMAEAAAD+bQIAAgAAAAY3LjU5NzkBCAAAAAUAAAABMQEAAAALLTE5MDc2MDQ2NjgDAAAAAzE2MAIAAAAENDA5NAQAAAABMAcAAAAJMy8yOS8yMDI2CAAAAAoxMi8zMS8yMDI1CQAAAAEwuNjWu66N3ghMS2yWr43eCCNDSVEuSVExNTkyMzAuSVFfRElMVVRfRVBTX0lOQ0wuMTAwMAEAAAD+bQIAAgAAAAQ0Ljk2AQgAAAAFAAAAATEBAAAACy0xOTA3NjA0OTI0AwAAAAMxNjACAAAAATgEAAAAATAHAAAACTMvMjkvMjAyNggAAAAKMTIvMzEvMjAyNQkAAAABMLjY1ruujd4I5HZslq+N3ggeQ0lRLklRMjc4Njc5LklRX05JX01BUkdJTi4yMDAwAQAAAJdABAACAAAABjguNTk1OQEIAAAABQAAAAExAQAAAAstMTkwMDk5MjE4NQMAAAADMTYwAgAAAAQ0</t>
  </si>
  <si>
    <t>MDk0BAAAAAEwBwAAAAkzLzI5LzIwMjYIAAAACDIvMS8yMDI2CQAAAAEwuNjWu66N3gjb6+Qlr43eCDBDSVEuSVEyNzg2NzkuSVFfRVBTXzFZUl9BTk5fR1JPV1RILjIwMDAuNC8zLzIwMjYBAAAAl0AEAAIAAAAHLTQuNTYwNwEIAAAABQAAAAExAQAAAAstMTkwMDk5MjE4NQMAAAADMTYwAgAAAAQ0MjAwBAAAAAEwBwAAAAg0LzMvMjAyNggAAAAIMi8xLzIwMjYJAAAAATC42Na7ro3eCNvr5CWvjd4IHkNJUS5JUTE4MDg3MS5JUV9OSV9NQVJHSU4uMjAwMAEAAACHwgIAAgAAAAY3LjcxMTUBCAAAAAUAAAABMQEAAAALLTE5MDA0OTYxMDUDAAAAAzE2MAIAAAAENDA5NAQAAAABMAcAAAAJMy8yOS8yMDI2CAAAAAkxLzMwLzIwMjYJAAAAATC42Na7ro3eCGBQ6yWvjd4INUNJUS5JUTIxODM1LklRX1RPVEFMX1JFVl8xWVJfQU5OX0dST1dUSC4yMDAwLjQvMy8yMDI2AQAAAEtVAAACAAAABzE2LjY3MzIBCAAAAAUAAAABMQEAAAALLTE5MDg2NzEyNzcDAAAAAzE2MAIAAAAENDE5NAQAAAABMAcAAAAINC8zLzIwMjYIAAAACjEyLzMxLzIwMjUJAAAAATDcnda7ro3eCFqn6CWvjd4IHkNJUS5JUTM3MDg1Ny5JUV9OSV9NQVJHSU4uMjAwMAEAAACpqAUAAgAAAAYyLjQ5ODIBCAAAAAUAAAABMQEAAAALLTE5MDgzMzI5NjADAAAAAzE2MAIAAAAENDA5NAQAAAABMAcAAAAJMy8yOS8yMDI2CAAAAAoxMi8zMS8yMDI1CQAA</t>
  </si>
  <si>
    <t>AAEw3J3Wu66N3gjyQW+Wr43eCB5DSVEuSVEzNzA4NTcuSVFfVE9UQUxfUkVWLjEwMDABAAAAqagFAAIAAAAFODk0NjMBCAAAAAUAAAABMQEAAAALLTE5MDgzMzMzNjADAAAAAzE2MAIAAAACMjgEAAAAATAHAAAACTMvMjkvMjAyNggAAAAKMTIvMzEvMjAyNQkAAAABMLjY1ruujd4I4Rpvlq+N3ggkQ0lRLklRMjA3NjU0NjMuSVFfRUJJVERBX01BUkdJTi4yMDAwAQAAABfbPAECAAAABzUwLjcwMTEBCAAAAAUAAAABMQEAAAALLTE5MDg1MTE1MDADAAAAAzE2MAIAAAAENDA0NwQAAAABMAcAAAAJMy8yOS8yMDI2CAAAAAoxMi8zMS8yMDI1CQAAAAEwuNjWu66N3gjL5uklr43eCDZDSVEuSVEyNzg2NzkuSVFfVE9UQUxfUkVWXzFZUl9BTk5fR1JPV1RILjIwMDAuNC8zLzIwMjYBAAAAl0AEAAIAAAAGMy4yNDA0AQgAAAAFAAAAATEBAAAACy0xOTAwOTkyMTg1AwAAAAMxNjACAAAABDQxOTQEAAAAATAHAAAACDQvMy8yMDI2CAAAAAgyLzEvMjAyNgkAAAABMLjY1ruujd4IMvboJa+N3ggdQ0lRLklRMjg1ODI3LklRX09QRVJfSU5DLjIwMDABAAAAg1wEAAIAAAAENjk5MQEIAAAABQAAAAExAQAAAAstMTkwODQ1OTM2OQMAAAADMTYwAgAAAAIyMQQAAAABMAcAAAAJMy8yOS8yMDI2CAAAAAoxMi8zMS8yMDI1CQAAAAEw3J3Wu66N3gjeZWeWr43eCB9DSVEuSVEyODU4MjcuSVFfVE9UQUxfREVCVC4yMDAwAQAAAINc</t>
  </si>
  <si>
    <t>BAACAAAABTIyNzcxAQgAAAAFAAAAATEBAAAACy0xOTA4NDU5MzY5AwAAAAMxNjACAAAABDQxNzMEAAAAATAHAAAACTMvMjkvMjAyNggAAAAKMTIvMzEvMjAyNQkAAAABMNyd1ruujd4I3mVnlq+N3gghQ0lRLklRMjg1ODI3LklRX1RPVEFMX0VRVUlUWS4yMDAwAQAAAINcBAACAAAABDY3MjEBCAAAAAUAAAABMQEAAAALLTE5MDg0NTkzNjkDAAAAAzE2MAIAAAAEMTI3NQQAAAABMAcAAAAJMy8yOS8yMDI2CAAAAAoxMi8zMS8yMDI1CQAAAAEw3J3Wu66N3gjeZWeWr43eCB9DSVEuSVEyODU4MjcuSVFfQ0FTSF9FUVVJVi4yMDAwAQAAAINcBAACAAAABDQxMjEBCAAAAAUAAAABMQEAAAALLTE5MDg0NTkzNjkDAAAAAzE2MAIAAAAEMTA5NgQAAAABMAcAAAAJMy8yOS8yMDI2CAAAAAoxMi8zMS8yMDI1CQAAAAEw3J3Wu66N3gjeZWeWr43eCBxDSVEuSVEyOTA5Ni5JUV9PUEVSX0lOQy4yMDAwAQAAAKhxAAACAAAABjEyOTAzOQEIAAAABQAAAAExAQAAAAstMTkwNzgyMjY4MwMAAAADMTYwAgAAAAIyMQQAAAABMAcAAAAJMy8yOS8yMDI2CAAAAAoxMi8zMS8yMDI1CQAAAAEw3J3Wu66N3ghgjuUlr43eCB5DSVEuSVEyOTA5Ni5JUV9UT1RBTF9ERUJULjIwMDABAAAAqHEAAAIAAAAFNjY5OTYBCAAAAAUAAAABMQEAAAALLTE5MDc4MjI2ODMDAAAAAzE2MAIAAAAENDE3MwQAAAABMAcAAAAJMy8yOS8yMDI2CAAAAAox</t>
  </si>
  <si>
    <t>Mi8zMS8yMDI1CQAAAAEw3J3Wu66N3ghgjuUlr43eCCBDSVEuSVEyOTA5Ni5JUV9UT1RBTF9FUVVJVFkuMjAwMAEAAACocQAAAgAAAAY0MTUyNjUBCAAAAAUAAAABMQEAAAALLTE5MDc4MjI2ODMDAAAAAzE2MAIAAAAEMTI3NQQAAAABMAcAAAAJMy8yOS8yMDI2CAAAAAoxMi8zMS8yMDI1CQAAAAEw3J3Wu66N3ghgjuUlr43eCB5DSVEuSVEyOTA5Ni5JUV9DQVNIX0VRVUlWLjIwMDABAAAAqHEAAAIAAAAFMzA3MDgBCAAAAAUAAAABMQEAAAALLTE5MDc4MjI2ODMDAAAAAzE2MAIAAAAEMTA5NgQAAAABMAcAAAAJMy8yOS8yMDI2CAAAAAoxMi8zMS8yMDI1CQAAAAEw3J3Wu66N3ghgjuUlr43eCB1DSVEuSVEzNjMyNjMuSVFfT1BFUl9JTkMuMjAwMAEAAAD/igUAAgAAAAM4MDEBCAAAAAUAAAABMQEAAAALLTE5MDc3NTAzOTcDAAAAAzE2MAIAAAACMjEEAAAAATAHAAAACTMvMjkvMjAyNggAAAAKMTIvMzEvMjAyNQkAAAABMLjY1ruujd4IgAJolq+N3ggfQ0lRLklRMzYzMjYzLklRX1RPVEFMX0RFQlQuMjAwMAEAAAD/igUAAgAAAAQyOTgxAQgAAAAFAAAAATEBAAAACy0xOTA3NzUwMzk3AwAAAAMxNjACAAAABDQxNzMEAAAAATAHAAAACTMvMjkvMjAyNggAAAAKMTIvMzEvMjAyNQkAAAABMLjY1ruujd4IgAJolq+N3gghQ0lRLklRMzYzMjYzLklRX1RPVEFMX0VRVUlUWS4yMDAwAQAAAP+KBQACAAAABDUwNzMB</t>
  </si>
  <si>
    <t>CAAAAAUAAAABMQEAAAALLTE5MDc3NTAzOTcDAAAAAzE2MAIAAAAEMTI3NQQAAAABMAcAAAAJMy8yOS8yMDI2CAAAAAoxMi8zMS8yMDI1CQAAAAEwuNjWu66N3gifMWiWr43eCB9DSVEuSVEzNjMyNjMuSVFfQ0FTSF9FUVVJVi4yMDAwAQAAAP+KBQACAAAAAzc3NAEIAAAABQAAAAExAQAAAAstMTkwNzc1MDM5NwMAAAADMTYwAgAAAAQxMDk2BAAAAAEwBwAAAAkzLzI5LzIwMjYIAAAACjEyLzMxLzIwMjUJAAAAATC42Na7ro3eCJ8xaJavjd4IIENJUS5JUTIyNDA1NTI4My5JUV9PUEVSX0lOQy4yMDAwAQAAAPPPWg0CAAAACC01MzIuMTY3AQgAAAAFAAAAATEBAAAACy0xOTA3NzUwNDA1AwAAAAMxNjACAAAAAjIxBAAAAAEwBwAAAAkzLzI5LzIwMjYIAAAACjEyLzMxLzIwMjUJAAAAATDcnda7ro3eCKnP4iWvjd4IIkNJUS5JUTIyNDA1NTI4My5JUV9UT1RBTF9ERUJULjIwMDABAAAA889aDQIAAAAINDE0My4xMzEBCAAAAAUAAAABMQEAAAALLTE5MDc3NTA0MDUDAAAAAzE2MAIAAAAENDE3MwQAAAABMAcAAAAJMy8yOS8yMDI2CAAAAAoxMi8zMS8yMDI1CQAAAAEw3J3Wu66N3gjw9uIlr43eCCRDSVEuSVEyMjQwNTUyODMuSVFfVE9UQUxfRVFVSVRZLjIwMDABAAAA889aDQIAAAAIMjI4MS40OTUBCAAAAAUAAAABMQEAAAALLTE5MDc3NTA0MDUDAAAAAzE2MAIAAAAEMTI3NQQAAAABMAcAAAAJMy8yOS8yMDI2</t>
  </si>
  <si>
    <t>CAAAAAoxMi8zMS8yMDI1CQAAAAEw3J3Wu66N3gjw9uIlr43eCCJDSVEuSVEyMjQwNTUyODMuSVFfQ0FTSF9FUVVJVi4yMDAwAQAAAPPPWg0CAAAACDEwMzAuNDM1AQgAAAAFAAAAATEBAAAACy0xOTA3NzUwNDA1AwAAAAMxNjACAAAABDEwOTYEAAAAATAHAAAACTMvMjkvMjAyNggAAAAKMTIvMzEvMjAyNQkAAAABMNyd1ruujd4I8PbiJa+N3ggeQ0lRLklRMTM0MDc0MC5JUV9PUEVSX0lOQy4yMDAwAQAAAER1FAACAAAABDcwODABCAAAAAUAAAABMQEAAAALLTE5MDYxMTc2NDgDAAAAAzE2MAIAAAACMjEEAAAAATAHAAAACTMvMjkvMjAyNggAAAAKMTIvMzEvMjAyNQkAAAABMNyd1ruujd4Ibdtnlq+N3gggQ0lRLklRMTM0MDc0MC5JUV9UT1RBTF9ERUJULjIwMDABAAAARHUUAAIAAAAFMzU1NjMBCAAAAAUAAAABMQEAAAALLTE5MDYxMTc2NDgDAAAAAzE2MAIAAAAENDE3MwQAAAABMAcAAAAJMy8yOS8yMDI2CAAAAAoxMi8zMS8yMDI1CQAAAAEw3J3Wu66N3ght22eWr43eCCJDSVEuSVExMzQwNzQwLklRX1RPVEFMX0VRVUlUWS4yMDAwAQAAAER1FAACAAAABTE1MDMwAQgAAAAFAAAAATEBAAAACy0xOTA2MTE3NjQ4AwAAAAMxNjACAAAABDEyNzUEAAAAATAHAAAACTMvMjkvMjAyNggAAAAKMTIvMzEvMjAyNQkAAAABMLjY1ruujd4Ibdtnlq+N3gggQ0lRLklRMTM0MDc0MC5JUV9DQVNIX0VRVUlWLjIwMDAB</t>
  </si>
  <si>
    <t>AAAARHUUAAIAAAAFMTI0ODcBCAAAAAUAAAABMQEAAAALLTE5MDYxMTc2NDgDAAAAAzE2MAIAAAAEMTA5NgQAAAABMAcAAAAJMy8yOS8yMDI2CAAAAAoxMi8zMS8yMDI1CQAAAAEwuNjWu66N3ght22eWr43eCBxDSVEuSVEyMjc1MS5JUV9PUEVSX0lOQy4yMDAwAQAAAN9YAAACAAAABjIyMzUuNAEIAAAABQAAAAExAQAAAAstMTkwNTE0MTIwMQMAAAADMTYwAgAAAAIyMQQAAAABMAcAAAAJMy8yOS8yMDI2CAAAAAoxMi8zMS8yMDI1CQAAAAEw3J3Wu66N3gjwNWeWr43eCB5DSVEuSVEyMjc1MS5JUV9UT1RBTF9ERUJULjIwMDABAAAA31gAAAIAAAAGOTUzNC41AQgAAAAFAAAAATEBAAAACy0xOTA1MTQxMjAxAwAAAAMxNjACAAAABDQxNzMEAAAAATAHAAAACTMvMjkvMjAyNggAAAAKMTIvMzEvMjAyNQkAAAABMNyd1ruujd4I8DVnlq+N3gggQ0lRLklRMjI3NTEuSVFfVE9UQUxfRVFVSVRZLjIwMDABAAAA31gAAAIAAAAHMTk4ODEuNQEIAAAABQAAAAExAQAAAAstMTkwNTE0MTIwMQMAAAADMTYwAgAAAAQxMjc1BAAAAAEwBwAAAAkzLzI5LzIwMjYIAAAACjEyLzMxLzIwMjUJAAAAATDcnda7ro3eCPA1Z5avjd4IHkNJUS5JUTIyNzUxLklRX0NBU0hfRVFVSVYuMjAwMAEAAADfWAAAAgAAAAUyOTcuNAEIAAAABQAAAAExAQAAAAstMTkwNTE0MTIwMQMAAAADMTYwAgAAAAQxMDk2BAAAAAEwBwAAAAkzLzI5LzIw</t>
  </si>
  <si>
    <t>MjYIAAAACjEyLzMxLzIwMjUJAAAAATDcnda7ro3eCPA1Z5avjd4IHUNJUS5JUTI2OTIzMS5JUV9PUEVSX0lOQy4yMDAwAQAAAK8bBAACAAAABDQ0NzQBCAAAAAUAAAABMQEAAAALLTE5MDgwODAxMDADAAAAAzE2MAIAAAACMjEEAAAAATAHAAAACTMvMjkvMjAyNggAAAAKMTIvMzEvMjAyNQkAAAABMNyd1ruujd4IEYHiJa+N3ggfQ0lRLklRMjY5MjMxLklRX1RPVEFMX0RFQlQuMjAwMAEAAACvGwQAAgAAAAUxNDA1OQEIAAAABQAAAAExAQAAAAstMTkwODA4MDEwMAMAAAADMTYwAgAAAAQ0MTczBAAAAAEwBwAAAAkzLzI5LzIwMjYIAAAACjEyLzMxLzIwMjUJAAAAATDcnda7ro3eCBGB4iWvjd4IIUNJUS5JUTI2OTIzMS5JUV9UT1RBTF9FUVVJVFkuMjAwMAEAAACvGwQAAgAAAAUyMDI5MgEIAAAABQAAAAExAQAAAAstMTkwODA4MDEwMAMAAAADMTYwAgAAAAQxMjc1BAAAAAEwBwAAAAkzLzI5LzIwMjYIAAAACjEyLzMxLzIwMjUJAAAAATDcnda7ro3eCBGB4iWvjd4IH0NJUS5JUTI2OTIzMS5JUV9DQVNIX0VRVUlWLjIwMDABAAAArxsEAAIAAAAEMTc0OAEIAAAABQAAAAExAQAAAAstMTkwODA4MDEwMAMAAAADMTYwAgAAAAQxMDk2BAAAAAEwBwAAAAkzLzI5LzIwMjYIAAAACjEyLzMxLzIwMjUJAAAAATDcnda7ro3eCBGB4iWvjd4IHENJUS5JUTIxODM1LklRX09QRVJfSU5DLjIwMDABAAAAS1UAAAIAAAAG</t>
  </si>
  <si>
    <t>MTQyNTU5AQgAAAAFAAAAATEBAAAACy0xOTA4NjcxMjc3AwAAAAMxNjACAAAAAjIxBAAAAAEwBwAAAAkzLzI5LzIwMjYIAAAACjEyLzMxLzIwMjUJAAAAATC42Na7ro3eCGEf4yWvjd4IHkNJUS5JUTIxODM1LklRX1RPVEFMX0RFQlQuMjAwMAEAAABLVQAAAgAAAAYxMjMyNzgBCAAAAAUAAAABMQEAAAALLTE5MDg2NzEyNzcDAAAAAzE2MAIAAAAENDE3MwQAAAABMAcAAAAJMy8yOS8yMDI2CAAAAAoxMi8zMS8yMDI1CQAAAAEwuNjWu66N3ghhH+Mlr43eCCBDSVEuSVEyMTgzNS5JUV9UT1RBTF9FUVVJVFkuMjAwMAEAAABLVQAAAgAAAAYzOTA4NzUBCAAAAAUAAAABMQEAAAALLTE5MDg2NzEyNzcDAAAAAzE2MAIAAAAEMTI3NQQAAAABMAcAAAAJMy8yOS8yMDI2CAAAAAoxMi8zMS8yMDI1CQAAAAEwuNjWu66N3ghhH+Mlr43eCB5DSVEuSVEyMTgzNS5JUV9DQVNIX0VRVUlWLjIwMDABAAAAS1UAAAIAAAAFMjQyOTYBCAAAAAUAAAABMQEAAAALLTE5MDg2NzEyNzcDAAAAAzE2MAIAAAAEMTA5NgQAAAABMAcAAAAJMy8yOS8yMDI2CAAAAAoxMi8zMS8yMDI1CQAAAAEwuNjWu66N3ghhH+Mlr43eCBxDSVEuSVE5NzE5OS5JUV9PUEVSX0lOQy4yMDAwAQAAAK97AQACAAAABDUzNDgBCAAAAAUAAAABMQEAAAALLTE5MDg4MzkxODcDAAAAAzE2MAIAAAACMjEEAAAAATAHAAAACTMvMjkvMjAyNggAAAAKMTIvMzEvMjAy</t>
  </si>
  <si>
    <t>NQkAAAABMNyd1ruujd4IYajiJa+N3ggeQ0lRLklROTcxOTkuSVFfVE9UQUxfREVCVC4yMDAwAQAAAK97AQACAAAABTE3ODg0AQgAAAAFAAAAATEBAAAACy0xOTA4ODM5MTg3AwAAAAMxNjACAAAABDQxNzMEAAAAATAHAAAACTMvMjkvMjAyNggAAAAKMTIvMzEvMjAyNQkAAAABMNyd1ruujd4IYajiJa+N3gggQ0lRLklROTcxOTkuSVFfVE9UQUxfRVFVSVRZLjIwMDABAAAAr3sBAAIAAAAFMTY2NzQBCAAAAAUAAAABMQEAAAALLTE5MDg4MzkxODcDAAAAAzE2MAIAAAAEMTI3NQQAAAABMAcAAAAJMy8yOS8yMDI2CAAAAAoxMi8zMS8yMDI1CQAAAAEw3J3Wu66N3ghhqOIlr43eCB5DSVEuSVE5NzE5OS5JUV9DQVNIX0VRVUlWLjIwMDABAAAAr3sBAAIAAAAENDQwMwEIAAAABQAAAAExAQAAAAstMTkwODgzOTE4NwMAAAADMTYwAgAAAAQxMDk2BAAAAAEwBwAAAAkzLzI5LzIwMjYIAAAACjEyLzMxLzIwMjUJAAAAATDcnda7ro3eCGGo4iWvjd4IHUNJUS5JUTI3ODY3OS5JUV9PUEVSX0lOQy4yMDAwAQAAAJdABAACAAAABTIwODkwAQgAAAAFAAAAATEBAAAACy0xOTAwOTkyMTg1AwAAAAMxNjACAAAAAjIxBAAAAAEwBwAAAAkzLzI5LzIwMjYIAAAACDIvMS8yMDI2CQAAAAEwuNjWu66N3ghud+slr43eCB9DSVEuSVEyNzg2NzkuSVFfVE9UQUxfREVCVC4yMDAwAQAAAJdABAACAAAABTY1OTA5AQgAAAAFAAAAATEB</t>
  </si>
  <si>
    <t>AAAACy0xOTAwOTkyMTg1AwAAAAMxNjACAAAABDQxNzMEAAAAATAHAAAACTMvMjkvMjAyNggAAAAIMi8xLzIwMjYJAAAAATC42Na7ro3eCG536yWvjd4IIUNJUS5JUTI3ODY3OS5JUV9UT1RBTF9FUVVJVFkuMjAwMAEAAACXQAQAAgAAAAUxMjgxMwEIAAAABQAAAAExAQAAAAstMTkwMDk5MjE4NQMAAAADMTYwAgAAAAQxMjc1BAAAAAEwBwAAAAkzLzI5LzIwMjYIAAAACDIvMS8yMDI2CQAAAAEwuNjWu66N3ghud+slr43eCB9DSVEuSVEyNzg2NzkuSVFfQ0FTSF9FUVVJVi4yMDAwAQAAAJdABAACAAAABDEzODkBCAAAAAUAAAABMQEAAAALLTE5MDA5OTIxODUDAAAAAzE2MAIAAAAEMTA5NgQAAAABMAcAAAAJMy8yOS8yMDI2CAAAAAgyLzEvMjAyNgkAAAABMLjY1ruujd4IbnfrJa+N3ggdQ0lRLklRMjg5MTk0LklRX09QRVJfSU5DLjIwMDABAAAAqmkEAAIAAAAENDcwOAEIAAAABQAAAAExAQAAAAstMTkwODAxODU1OAMAAAADMTYwAgAAAAIyMQQAAAABMAcAAAAJMy8yOS8yMDI2CAAAAAoxMi8zMS8yMDI1CQAAAAEwuNjWu66N3ggkt2+Wr43eCB9DSVEuSVEyODkxOTQuSVFfVE9UQUxfREVCVC4yMDAwAQAAAKppBAACAAAABTEzMTMyAQgAAAAFAAAAATEBAAAACy0xOTA4MDE4NTU4AwAAAAMxNjACAAAABDQxNzMEAAAAATAHAAAACTMvMjkvMjAyNggAAAAKMTIvMzEvMjAyNQkAAAABMLjY1ruujd4IJLdvlq+N</t>
  </si>
  <si>
    <t>3gghQ0lRLklRMjg5MTk0LklRX1RPVEFMX0VRVUlUWS4yMDAwAQAAAKppBAACAAAABDQ3NDcBCAAAAAUAAAABMQEAAAALLTE5MDgwMTg1NTgDAAAAAzE2MAIAAAAEMTI3NQQAAAABMAcAAAAJMy8yOS8yMDI2CAAAAAoxMi8zMS8yMDI1CQAAAAEwuNjWu66N3ggkt2+Wr43eCB9DSVEuSVEyODkxOTQuSVFfQ0FTSF9FUVVJVi4yMDAwAQAAAKppBAACAAAABDUyMzUBCAAAAAUAAAABMQEAAAALLTE5MDgwMTg1NTgDAAAAAzE2MAIAAAAEMTA5NgQAAAABMAcAAAAJMy8yOS8yMDI2CAAAAAoxMi8zMS8yMDI1CQAAAAEwuNjWu66N3ggkt2+Wr43eCB1DSVEuSVExNTkyMzAuSVFfT1BFUl9JTkMuMjAwMAEAAAD+bQIAAgAAAAUxMDM1NwEIAAAABQAAAAExAQAAAAstMTkwNzYwNDY2OAMAAAADMTYwAgAAAAIyMQQAAAABMAcAAAAJMy8yOS8yMDI2CAAAAAoxMi8zMS8yMDI1CQAAAAEwuNjWu66N3ggQkG+Wr43eCB9DSVEuSVExNTkyMzAuSVFfVE9UQUxfREVCVC4yMDAwAQAAAP5tAgACAAAABTM5OTU2AQgAAAAFAAAAATEBAAAACy0xOTA3NjA0NjY4AwAAAAMxNjACAAAABDQxNzMEAAAAATAHAAAACTMvMjkvMjAyNggAAAAKMTIvMzEvMjAyNQkAAAABMLjY1ruujd4IJLdvlq+N3gghQ0lRLklRMTU5MjMwLklRX1RPVEFMX0VRVUlUWS4yMDAwAQAAAP5tAgACAAAABTY3MTM4AQgAAAAFAAAAATEBAAAACy0xOTA3NjA0NjY4</t>
  </si>
  <si>
    <t>AwAAAAMxNjACAAAABDEyNzUEAAAAATAHAAAACTMvMjkvMjAyNggAAAAKMTIvMzEvMjAyNQkAAAABMLjY1ruujd4IJLdvlq+N3ggfQ0lRLklRMTU5MjMwLklRX0NBU0hfRVFVSVYuMjAwMAEAAAD+bQIAAgAAAAQ3NDM1AQgAAAAFAAAAATEBAAAACy0xOTA3NjA0NjY4AwAAAAMxNjACAAAABDEwOTYEAAAAATAHAAAACTMvMjkvMjAyNggAAAAKMTIvMzEvMjAyNQkAAAABMLjY1ruujd4IJLdvlq+N3gghQ0lRLklRMjY5MjMxLklRX1NQX09VVExPT0tfV0FUQ0guAQAAAK8bBAADAAAABlN0YWJsZQC42Na7ro3eCPhJ5yWvjd4IGUNJUS5JUTI2OTIzMS5JUV9TUF9MQ19MVC4BAAAArxsEAAMAAAABQQC42Na7ro3eCGtX4iWvjd4IIENJUS5JUTk3MTk5LklRX1NQX09VVExPT0tfV0FUQ0guAQAAAK97AQADAAAABlN0YWJsZQC42Na7ro3eCBGB4iWvjd4IGENJUS5JUTk3MTk5LklRX1NQX0xDX0xULgEAAACvewEAAwAAAARCQkIrALjY1ruujd4IEYHiJa+N3gggQ0lRLklRMjkwOTYuSVFfU1BfT1VUTE9PS19XQVRDSC4BAAAAqHEAAAMAAAAGU3RhYmxlALjY1ruujd4IYajiJa+N3ggYQ0lRLklRMjkwOTYuSVFfU1BfTENfTFQuAQAAAKhxAAADAAAAA0FBKwC42Na7ro3eCDRz5yWvjd4IGENJUS5JUTIyNzUxLklRX1NQX0xDX0xULgEAAADfWAAAAwAAAARCQkIrALjY1ruujd4IX+dmlq+N3gghQ0lRLklRMjg1ODI3LklR</t>
  </si>
  <si>
    <t>X1NQX09VVExPT0tfV0FUQ0guAQAAAINcBAADAAAABlN0YWJsZQC42Na7ro3eCPA1Z5avjd4IGUNJUS5JUTI4NTgyNy5JUV9TUF9MQ19MVC4BAAAAg1wEAAMAAAACQS0AuNjWu66N3gjwNWeWr43eCCRDSVEuSVEyMjQwNTUyODMuSVFfU1BfT1VUTE9PS19XQVRDSC4BAAAA889aDQMAAAAGU3RhYmxlALjY1ruujd4Iqc/iJa+N3gghQ0lRLklRMzYzMjYzLklRX1NQX09VVExPT0tfV0FUQ0guAQAAAP+KBQADAAAABlN0YWJsZQC42Na7ro3eCG3bZ5avjd4IGENJUS5JUTIxODM1LklRX1NQX0xDX0xULgEAAABLVQAAAwAAAANBQUEAuNjWu66N3gi5XOolr43eCBlDSVEuSVExNzcwMzEuSVFfU1BfTENfTFQuAQAAAIezAgADAAAAAkEtALjY1ruujd4Ib1lolq+N3gghQ0lRLklRMzcwODU3LklRX1NQX09VVExPT0tfV0FUQ0guAQAAAKmoBQADAAAABlN0YWJsZQC42Na7ro3eCOODaJavjd4IIENJUS5JUTIyNzUxLklRX1NQX09VVExPT0tfV0FUQ0guAQAAAN9YAAADAAAABlN0YWJsZQC42Na7ro3eCF/nZpavjd4IHENJUS5JUTIyNDA1NTI4My5JUV9TUF9MQ19MVC4BAAAA889aDQMAAAACQisAuNjWu66N3ghgjuUlr43eCCJDSVEuSVExMzQwNzQwLklRX1NQX09VVExPT0tfV0FUQ0guAQAAAER1FAADAAAACE5lZ2F0aXZlALjY1ruujd4IXrRnlq+N3ggaQ0lRLklRMTM0MDc0MC5JUV9TUF9MQ19MVC4BAAAARHUUAAMA</t>
  </si>
  <si>
    <t>AAABQQC42Na7ro3eCF60Z5avjd4IGUNJUS5JUTM2MzI2My5JUV9TUF9MQ19MVC4BAAAA/4oFAAMAAAAEQkJCLQC42Na7ro3eCG3bZ5avjd4IIENJUS5JUTIxODM1LklRX1NQX09VVExPT0tfV0FUQ0guAQAAAEtVAAADAAAABlN0YWJsZQC42Na7ro3eCGEf4yWvjd4IIUNJUS5JUTE3NzAzMS5JUV9TUF9PVVRMT09LX1dBVENILgEAAACHswIAAwAAAAZTdGFibGUAuNjWu66N3ghvWWiWr43eCBlDSVEuSVEzNzA4NTcuSVFfU1BfTENfTFQuAQAAAKmoBQADAAAABEJCQi0AuNjWu66N3gjjg2iWr43eCCNDSVEuSVEyMDc2NTQ2My5JUV9TUF9PVVRMT09LX1dBVENILgEAAAAX2zwBAwAAAAZTdGFibGUAuNjWu66N3gjWRuMlr43eCBtDSVEuSVEyMDc2NTQ2My5JUV9TUF9MQ19MVC4BAAAAF9s8AQMAAAADQUEtALjY1ruujd4IsrXlJa+N3gghQ0lRLklRMjg5MTk0LklRX1NQX09VVExPT0tfV0FUQ0guAQAAAKppBAADAAAABlN0YWJsZQC42Na7ro3eCJwQaZavjd4IGUNJUS5JUTI4OTE5NC5JUV9TUF9MQ19MVC4BAAAAqmkEAAMAAAAEQkJCKwC42Na7ro3eCJwQaZavjd4IIUNJUS5JUTE1OTIzMC5JUV9TUF9PVVRMT09LX1dBVENILgEAAAD+bQIAAwAAAAZTdGFibGUAuNjWu66N3ghXOmmWr43eCBlDSVEuSVExNTkyMzAuSVFfU1BfTENfTFQuAQAAAP5tAgADAAAABEJCQisAuNjWu66N3ghXOmmWr43eCCFDSVEuSVEy</t>
  </si>
  <si>
    <t>Nzg2NzkuSVFfU1BfT1VUTE9PS19XQVRDSC4BAAAAl0AEAAMAAAAGU3RhYmxlALjY1ruujd4INXLjJa+N3ggZQ0lRLklRMjc4Njc5LklRX1NQX0xDX0xULgEAAACXQAQAAwAAAAFBALjY1ruujd4INXLjJa+N3gghQ0lRLklRMTgwODcxLklRX1NQX09VVExPT0tfV0FUQ0guAQAAAIfCAgADAAAABlN0YWJsZQC42Na7ro3eCMaz6iWvjd4IGUNJUS5JUTE4MDg3MS5JUV9TUF9MQ19MVC4BAAAAh8ICAAMAAAAEQkJCKwC42Na7ro3eCH8d6SWvjd4IG0NJUS5JUTIxODM1LklRX0VQU19FU1QuMTAwMQEAAABLVQAAAgAAAAcxNi43MjkyAQ4AAAAFAAAAATMBAAAABzI2MzA0MTMCAAAACjEwMDE3OTgyNjkDAAAABjEwMDE3MwQAAAABMgYAAAABMAcAAAADMTYwCAAAAAEwCQAAAAExCgAAAAEwCwAAAAsxNDcwOTM1NjMyMAwAAAABMQ0AAAAJMy8zMC8yMDI2EAAAAAkzLzI5LzIwMja42Na7ro3eCL535iWvjd4IG0NJUS5JUTE3NzAzMS5JUV9OSV9FU1QuMTAwMQEAAACHswIAAgAAAAo3ODE2LjY2MjI1AQ4AAAAFAAAAATMBAAAAATACAAAACjEwMDQzMjkxMTQDAAAABjEwMDI1MAQAAAABMgYAAAABMAcAAAADMTYwCAAAAAEwCQAAAAExCgAAAAEwCwAAAAsxNDcxMzA2NjQxMAwAAAABMQ0AAAAJMy8zMC8yMDI2EAAAAAkzLzI5LzIwMja42Na7ro3eCOEab5avjd4IH0NJUS5JUTE3NzAzMS5JUV9FQklUREFfRVNULjEwMDEB</t>
  </si>
  <si>
    <t>AAAAh7MCAAIAAAALMTE1NjguNjM2NTUBDgAAAAUAAAABMwEAAAABMAIAAAAKMTAwNDMyOTExNAMAAAAGMTAwMTg3BAAAAAEyBgAAAAEwBwAAAAMxNjAIAAAAATAJAAAAATEKAAAAATALAAAACzE0NzEzMDY3NTE2DAAAAAExDQAAAAkzLzMwLzIwMjYQAAAACTMvMjkvMjAyNrjY1ruujd4I4Rpvlq+N3gggQ0lRLklRMTc3MDMxLklRX1JFVkVOVUVfRVNULjEwMDEBAAAAh7MCAAIAAAALNDgyNDkuMzcwMDkBDgAAAAUAAAABMwEAAAABMAIAAAAKMTAwNDMyOTExNAMAAAAGMTAwMTgwBAAAAAEyBgAAAAEwBwAAAAMxNjAIAAAAATAJAAAAATEKAAAAATALAAAACzE0NzEzMDY4MTY0DAAAAAExDQAAAAkzLzMwLzIwMjYQAAAACTMvMjkvMjAyNrjY1ruujd4I4Rpvlq+N3ggfQ0lRLklRMzcwODU3LklRX0VCSVREQV9FU1QuMTAwMQEAAACpqAUAAgAAAAo0Nzk3LjYzMDc5AQ4AAAAFAAAAATMBAAAAATACAAAACjEwMDI3ODAyMDIDAAAABjEwMDE4NwQAAAABMgYAAAABMAcAAAADMTYwCAAAAAEwCQAAAAExCgAAAAEwCwAAAAsxNDcwOTczMzE1NAwAAAABMQ0AAAAJMy8zMC8yMDI2EAAAAAkzLzI5LzIwMja42Na7ro3eCPJBb5avjd4IIENJUS5JUTM3MDg1Ny5JUV9SRVZFTlVFX0VTVC4xMDAxAQAAAKmoBQACAAAACzk3NjczLjk1MzAyAQ4AAAAFAAAAATMBAAAAATACAAAACjEwMDI3ODAyMDIDAAAABjEwMDE4MAQAAAAB</t>
  </si>
  <si>
    <t>MgYAAAABMAcAAAADMTYwCAAAAAEwCQAAAAExCgAAAAEwCwAAAAsxNDcwOTcwNDgxMwwAAAABMQ0AAAAJMy8zMC8yMDI2EAAAAAkzLzI5LzIwMja42Na7ro3eCPJBb5avjd4IIUNJUS5JUTIwNzY1NDYzLklRX0VCSVREQV9FU1QuMTAwMQEAAAAX2zwBAgAAAAwxNDE4MTguMDE2OTgBDgAAAAUAAAABMwEAAAABMAIAAAAKMTAwMjA2MTk2MQMAAAAGMTAwMTg3BAAAAAEyBgAAAAEwBwAAAAMxNjAIAAAAATAJAAAAATEKAAAAATALAAAACzE0NzExODU5MDI5DAAAAAExDQAAAAkzLzMwLzIwMjYQAAAACTMvMjkvMjAyNvkZ17uujd4Iy+bpJa+N3ggiQ0lRLklRMjA3NjU0NjMuSVFfUkVWRU5VRV9FU1QuMTAwMQEAAAAX2zwBAgAAAAsyNTExODguMDYzMQEOAAAABQAAAAEzAQAAAAEwAgAAAAoxMDAyMDYxOTYxAwAAAAYxMDAxODAEAAAAATIGAAAAATAHAAAAAzE2MAgAAAABMAkAAAABMQoAAAABMAsAAAALMTQ3MTE4NTkxMzcMAAAAATENAAAACTMvMzAvMjAyNhAAAAAJMy8yOS8yMDI2+RnXu66N3gjmzuglr43eCBtDSVEuSVEyODkxOTQuSVFfTklfRVNULjEwMDEBAAAAqmkEAAIAAAAKNDYzMS4yODAzOQEOAAAABQAAAAEzAQAAAAEwAgAAAAoxMDAwMTkzNTY2AwAAAAYxMDAyNTAEAAAAATIGAAAAATAHAAAAAzE2MAgAAAABMAkAAAABMQoAAAABMAsAAAALMTQ3MTMxODkzNTEMAAAAATENAAAACTMvMzAvMjAyNhAA</t>
  </si>
  <si>
    <t>AAAJMy8yOS8yMDI2+RnXu66N3gg0IGyWr43eCBtDSVEuSVExNTkyMzAuSVFfTklfRVNULjEwMDEBAAAA/m0CAAIAAAAKOTMwOS4wOTc1NwEOAAAABQAAAAEzAQAAAAEwAgAAAAoxMDAyNTU0OTkwAwAAAAYxMDAyNTAEAAAAATIGAAAAATAHAAAAAzE2MAgAAAABMAkAAAABMQoAAAABMAsAAAALMTQ3MTA3MTY2NDQMAAAAATENAAAACTMvMzAvMjAyNhAAAAAJMy8yOS8yMDI2+RnXu66N3ghMS2yWr43eCB9DSVEuSVEyNzg2NzkuSVFfRUJJVERBX0VTVC4xMDAxAQAAAJdABAACAAAACzI1NjMzLjI5NDEzAQ4AAAAFAAAAATMBAAAAATACAAAACjEwMDQzMzAxMjkDAAAABjEwMDE4NwQAAAABMgYAAAABMAcAAAADMTYwCAAAAAEwCQAAAAExCgAAAAEwCwAAAAsxNDcwOTgwNzI1MgwAAAABMQ0AAAAJMy8zMC8yMDI2EAAAAAkzLzI5LzIwMjb5Gde7ro3eCObO6CWvjd4IH0NJUS5JUTE4MDg3MS5JUV9FQklUREFfRVNULjEwMDEBAAAAh8ICAAIAAAAKMTMwNzUuMjYzNQEOAAAABQAAAAEzAQAAAAEwAgAAAAoxMDAyMjY1NTA3AwAAAAYxMDAxODcEAAAAATIGAAAAATAHAAAAAzE2MAgAAAABMAkAAAABMQoAAAABMAsAAAALMTQ3MTMwMDM4ODcMAAAAATENAAAACTMvMzAvMjAyNhAAAAAJMy8yOS8yMDI2+RnXu66N3ghpNeolr43eCCBDSVEuSVExODA4NzEuSVFfUkVWRU5VRV9FU1QuMTAwMQEAAACHwgIAAgAAAAs5MzA1</t>
  </si>
  <si>
    <t>My44NzM0OQEOAAAABQAAAAEzAQAAAAEwAgAAAAoxMDAyMjY1NTA3AwAAAAYxMDAxODAEAAAAATIGAAAAATAHAAAAAzE2MAgAAAABMAkAAAABMQoAAAABMAsAAAALMTQ3MTMwMDM5NTMMAAAAATENAAAACTMvMzAvMjAyNhAAAAAJMy8yOS8yMDI2+RnXu66N3ghgUOslr43eCB9DSVEuSVEyMTgzNS5JUV9SRVZFTlVFX0VTVC4xMDAxAQAAAEtVAAACAAAADDMyNzgzNi43NTE5OAEOAAAABQAAAAEzAQAAAAEwAgAAAAoxMDAxNzk4MjY5AwAAAAYxMDAxODAEAAAAATIGAAAAATAHAAAAAzE2MAgAAAABMAkAAAABMQoAAAABMAsAAAALMTQ3MDkzNTYwODYMAAAAATENAAAACTMvMzAvMjAyNhAAAAAJMy8yOS8yMDI2uNjWu66N3giwueklr43eCBtDSVEuSVEzNzA4NTcuSVFfTklfRVNULjEwMDEBAAAAqagFAAIAAAAJNjgwLjYzNTI3AQ4AAAAFAAAAATMBAAAAATACAAAACjEwMDI3ODAyMDIDAAAABjEwMDI1MAQAAAABMgYAAAABMAcAAAADMTYwCAAAAAEwCQAAAAExCgAAAAEwCwAAAAsxNDcwOTczOTAxMgwAAAABMQ0AAAAJMy8zMC8yMDI2EAAAAAkzLzI5LzIwMja42Na7ro3eCAJpb5avjd4IHkNJUS5JUTIwNzY1NDYzLklRX0VQU19FU1QuMTAwMQEAAAAX2zwBAgAAAAgzMC4yMzY2NwEOAAAABQAAAAEzAQAAAAkxMjY5MTAzMzcCAAAACjEwMDIwNjE5NjEDAAAABjEwMDE3MwQAAAABMgYAAAABMAcAAAADMTYwCAAA</t>
  </si>
  <si>
    <t>AAEwCQAAAAExCgAAAAEwCwAAAAsxNDcxMTg1OTI5NwwAAAABMQ0AAAAJMy8zMC8yMDI2EAAAAAkzLzI5LzIwMjb5Gde7ro3eCLud5CWvjd4IH0NJUS5JUTI4OTE5NC5JUV9FQklUREFfRVNULjEwMDEBAAAAqmkEAAIAAAAKNzMwNy43OTIyOQEOAAAABQAAAAEzAQAAAAEwAgAAAAoxMDAwMTkzNTY2AwAAAAYxMDAxODcEAAAAATIGAAAAATAHAAAAAzE2MAgAAAABMAkAAAABMQoAAAABMAsAAAALMTQ3MTMxODk4MTEMAAAAATENAAAACTMvMzAvMjAyNhAAAAAJMy8yOS8yMDI2+RnXu66N3gg0IGyWr43eCB9DSVEuSVExNTkyMzAuSVFfRUJJVERBX0VTVC4xMDAxAQAAAP5tAgACAAAACjE1ODI5LjkyOTEBDgAAAAUAAAABMwEAAAABMAIAAAAKMTAwMjU1NDk5MAMAAAAGMTAwMTg3BAAAAAEyBgAAAAEwBwAAAAMxNjAIAAAAATAJAAAAATEKAAAAATALAAAACzE0NzEwNzE5MDcwDAAAAAExDQAAAAkzLzMwLzIwMjYQAAAACTMvMjkvMjAyNvkZ17uujd4ITEtslq+N3ggcQ0lRLklRMjc4Njc5LklRX0VQU19FU1QuMTAwMQEAAACXQAQAAgAAAAcxNS4wNTc5AQ4AAAAFAAAAATMBAAAABzI2MTg4MDACAAAACjEwMDQzMzAxMjkDAAAABjEwMDE3MwQAAAABMgYAAAABMAcAAAADMTYwCAAAAAEwCQAAAAExCgAAAAEwCwAAAAsxNDcwOTg0Mjg2OAwAAAABMQ0AAAAJMy8zMC8yMDI2EAAAAAkzLzI5LzIwMjb5Gde7ro3eCDL2</t>
  </si>
  <si>
    <t>6CWvjd4IHENJUS5JUTE4MDg3MS5JUV9FUFNfRVNULjEwMDEBAAAAh8ICAAIAAAAIMTIuNjIwNDkBDgAAAAUAAAABMwEAAAAHMjYyNzM1NgIAAAAKMTAwMjI2NTUwNwMAAAAGMTAwMTczBAAAAAEyBgAAAAEwBwAAAAMxNjAIAAAAATAJAAAAATEKAAAAATALAAAACzE0NzEzMDA0MTUxDAAAAAExDQAAAAkzLzMwLzIwMjYQAAAACTMvMjkvMjAyNvkZ17uujd4IYFDrJa+N3ggbQ0lRLklRMTgwODcxLklRX05JX0VTVC4xMDAxAQAAAIfCAgACAAAACjcwNzMuMjExMDkBDgAAAAUAAAABMwEAAAABMAIAAAAKMTAwMjI2NTUwNwMAAAAGMTAwMjUwBAAAAAEyBgAAAAEwBwAAAAMxNjAIAAAAATAJAAAAATEKAAAAATALAAAACzE0NzA4NDI5MzI2DAAAAAExDQAAAAkzLzMwLzIwMjYQAAAACTMvMjkvMjAyNvkZ17uujd4IYFDrJa+N3ggbQ0lRLklRMjY5MjMxLklRX05JX0VTVC4xMDAxAQAAAK8bBAACAAAACTM2NjEuNDM3NAEOAAAABQAAAAEzAQAAAAEwAgAAAAoxMDAyMTk4MTI5AwAAAAYxMDAyNTAEAAAAATIGAAAAATAHAAAAAzE2MAgAAAABMAkAAAABMQoAAAABMAsAAAALMTQ3MTE1ODY3MDcMAAAAATENAAAACTMvMzAvMjAyNhAAAAAJMy8yOS8yMDI2uNjWu66N3gghwuMlr43eCCBDSVEuSVEyNjkyMzEuSVFfUkVWRU5VRV9FU1QuMTAwMQEAAACvGwQAAgAAAAsxODk1NS4xNDk4MQEOAAAABQAAAAEzAQAAAAEwAgAA</t>
  </si>
  <si>
    <t>AAoxMDAyMTk4MTI5AwAAAAYxMDAxODAEAAAAATIGAAAAATAHAAAAAzE2MAgAAAABMAkAAAABMQoAAAABMAsAAAALMTQ3MTE1ODY3MzEMAAAAATENAAAACTMvMzAvMjAyNhAAAAAJMy8yOS8yMDI2uNjWu66N3gh/Heklr43eCB9DSVEuSVEyNjkyMzEuSVFfRUJJVERBX0VTVC4xMDAxAQAAAK8bBAACAAAACjU0MjYuOTg5MjQBDgAAAAUAAAABMwEAAAABMAIAAAAKMTAwMjE5ODEyOQMAAAAGMTAwMTg3BAAAAAEyBgAAAAEwBwAAAAMxNjAIAAAAATAJAAAAATEKAAAAATALAAAACzE0NzExNTg2NzI1DAAAAAExDQAAAAkzLzMwLzIwMjYQAAAACTMvMjkvMjAyNrjY1ruujd4IXCjmJa+N3ggcQ0lRLklRMjY5MjMxLklRX0VQU19FU1QuMTAwMQEAAACvGwQAAgAAAAc2LjUxMDU1AQ4AAAAFAAAAATMBAAAABzI2MDkwNDQCAAAACjEwMDIxOTgxMjkDAAAABjEwMDE3MwQAAAABMgYAAAABMAcAAAADMTYwCAAAAAEwCQAAAAExCgAAAAEwCwAAAAsxNDcxMTU4NjM3NQwAAAABMQ0AAAAJMy8zMC8yMDI2EAAAAAkzLzI5LzIwMja42Na7ro3eCA3b6iWvjd4IGkNJUS5JUTk3MTk5LklRX05JX0VTVC4xMDAxAQAAAK97AQACAAAACjM5ODAuNzE4ODIBDgAAAAUAAAABMwEAAAABMAIAAAAKMTAwMjY3ODE3NgMAAAAGMTAwMjUwBAAAAAEyBgAAAAEwBwAAAAMxNjAIAAAAATAJAAAAATEKAAAAATALAAAACzE0NzEwNzE2ODkwDAAA</t>
  </si>
  <si>
    <t>AAExDQAAAAkzLzMwLzIwMjYQAAAACTMvMjkvMjAyNrjY1ruujd4IDdvqJa+N3ggfQ0lRLklROTcxOTkuSVFfUkVWRU5VRV9FU1QuMTAwMQEAAACvewEAAgAAAAo0Mzg3MC4xNjk0AQ4AAAAFAAAAATMBAAAAATACAAAACjEwMDI2NzgxNzYDAAAABjEwMDE4MAQAAAABMgYAAAABMAcAAAADMTYwCAAAAAEwCQAAAAExCgAAAAEwCwAAAAsxNDcxMDcyMDEzMAwAAAABMQ0AAAAJMy8zMC8yMDI2EAAAAAkzLzI5LzIwMja42Na7ro3eCKxE6SWvjd4IHkNJUS5JUTk3MTk5LklRX0VCSVREQV9FU1QuMTAwMQEAAACvewEAAgAAAAo2MTgxLjczMTUxAQ4AAAAFAAAAATMBAAAAATACAAAACjEwMDI2NzgxNzYDAAAABjEwMDE4NwQAAAABMgYAAAABMAcAAAADMTYwCAAAAAEwCQAAAAExCgAAAAEwCwAAAAsxNDcxMDcxOTM0NgwAAAABMQ0AAAAJMy8zMC8yMDI2EAAAAAkzLzI5LzIwMja42Na7ro3eCGwh6CWvjd4IG0NJUS5JUTk3MTk5LklRX0VQU19FU1QuMTAwMQEAAACvewEAAgAAAAcyNy45MjQ2AQ4AAAAFAAAAATMBAAAABzI2MzQ3MjECAAAACjEwMDI2NzgxNzYDAAAABjEwMDE3MwQAAAABMgYAAAABMAcAAAADMTYwCAAAAAEwCQAAAAExCgAAAAEwCwAAAAsxNDcxMDcyMjMxOAwAAAABMQ0AAAAJMy8zMC8yMDI2EAAAAAkzLzI5LzIwMja42Na7ro3eCGxU6CWvjd4IGkNJUS5JUTI5MDk2LklRX05JX0VTVC4xMDAxAQAA</t>
  </si>
  <si>
    <t>AKhxAAACAAAADDEzOTI5MC43ODY0NwEOAAAABQAAAAEzAQAAAAEwAgAAAAoxMDAyNDg3MTgxAwAAAAYxMDAyNTAEAAAAATIGAAAAATAHAAAAAzE2MAgAAAABMAkAAAABMQoAAAABMAsAAAALMTQ3MTE1ODM4NjkMAAAAATENAAAACTMvMzAvMjAyNhAAAAAJMy8yOS8yMDI2uNjWu66N3gisROklr43eCB9DSVEuSVEyOTA5Ni5JUV9SRVZFTlVFX0VTVC4xMDAxAQAAAKhxAAACAAAADDQ3MTI0MS42Mzk4OAEOAAAABQAAAAEzAQAAAAEwAgAAAAoxMDAyNDg3MTgxAwAAAAYxMDAxODAEAAAAATIGAAAAATAHAAAAAzE2MAgAAAABMAkAAAABMQoAAAABMAsAAAALMTQ3MTE1ODQ4MTMMAAAAATENAAAACTMvMzAvMjAyNhAAAAAJMy8yOS8yMDI2uNjWu66N3ggN2+olr43eCB5DSVEuSVEyOTA5Ni5JUV9FQklUREFfRVNULjEwMDEBAAAAqHEAAAIAAAAMMjE4MTcyLjEyNjI3AQ4AAAAFAAAAATMBAAAAATACAAAACjEwMDI0ODcxODEDAAAABjEwMDE4NwQAAAABMgYAAAABMAcAAAADMTYwCAAAAAEwCQAAAAExCgAAAAEwCwAAAAsxNDcxMTU4NDczMAwAAAABMQ0AAAAJMy8zMC8yMDI2EAAAAAkzLzI5LzIwMja42Na7ro3eCA3b6iWvjd4IG0NJUS5JUTI5MDk2LklRX0VQU19FU1QuMTAwMQEAAACocQAAAgAAAAcxMS41NzE1AQ4AAAAFAAAAATMBAAAACDExMzExNjYyAgAAAAoxMDAyNDg3MTgxAwAAAAYxMDAxNzMEAAAAATIG</t>
  </si>
  <si>
    <t>AAAAATAHAAAAAzE2MAgAAAABMAkAAAABMQoAAAABMAsAAAALMTQ3MTE1ODUyODIMAAAAATENAAAACTMvMzAvMjAyNhAAAAAJMy8yOS8yMDI2uNjWu66N3ggN2+olr43eCBpDSVEuSVEyMjc1MS5JUV9OSV9FU1QuMTAwMQEAAADfWAAAAgAAAAkyMzA0LjUyMjQBDgAAAAUAAAABMwEAAAABMAIAAAAKMTAwMzY4NjMzMgMAAAAGMTAwMjUwBAAAAAEyBgAAAAEwBwAAAAMxNjAIAAAAATAJAAAAATEKAAAAATALAAAACzE0NzA0OTMzOTk2DAAAAAExDQAAAAkzLzMwLzIwMjYQAAAACTMvMjkvMjAyNrjY1ruujd4IY+Jtlq+N3ggfQ0lRLklRMjI3NTEuSVFfUkVWRU5VRV9FU1QuMTAwMQEAAADfWAAAAgAAAAQ4NTAwAQ4AAAAFAAAAATMBAAAAATACAAAACjEwMDM2ODYzMzIDAAAABjEwMDE4MAQAAAABMgYAAAABMAcAAAADMTYwCAAAAAEwCQAAAAExCgAAAAEwCwAAAAsxNDcwNDkzMjk3NAwAAAABMQ0AAAAJMy8zMC8yMDI2EAAAAAkzLzI5LzIwMja42Na7ro3eCFO7bZavjd4IHkNJUS5JUTIyNzUxLklRX0VCSVREQV9FU1QuMTAwMQEAAADfWAAAAgAAAAgzMzY0LjQ0MgEOAAAABQAAAAEzAQAAAAEwAgAAAAoxMDAzNjg2MzMyAwAAAAYxMDAxODcEAAAAATIGAAAAATAHAAAAAzE2MAgAAAABMAkAAAABMQoAAAABMAsAAAALMTQ3MDQ5MzQyMzgMAAAAATENAAAACTMvMzAvMjAyNhAAAAAJMy8yOS8yMDI2uNjWu66N3ghT</t>
  </si>
  <si>
    <t>u22Wr43eCBtDSVEuSVEyMjc1MS5JUV9FUFNfRVNULjEwMDEBAAAA31gAAAIAAAAIMjEuNDYyOTIBDgAAAAUAAAABMwEAAAAHMjY0MzY5MQIAAAAKMTAwMzY4NjMzMgMAAAAGMTAwMTczBAAAAAEyBgAAAAEwBwAAAAMxNjAIAAAAATAJAAAAATEKAAAAATALAAAACzE0NzA0NTMzNjQzDAAAAAExDQAAAAkzLzMwLzIwMjYQAAAACTMvMjkvMjAyNrjY1ruujd4IRJRtlq+N3ggbQ0lRLklRMjg1ODI3LklRX05JX0VTVC4xMDAxAQAAAINcBAACAAAACjY5MTUuODE2MTQBDgAAAAUAAAABMwEAAAABMAIAAAAKMTAwMjc5MTc0OQMAAAAGMTAwMjUwBAAAAAEyBgAAAAEwBwAAAAMxNjAIAAAAATAJAAAAATEKAAAAATALAAAACzE0NzEwNzI3MTU0DAAAAAExDQAAAAkzLzMwLzIwMjYQAAAACTMvMjkvMjAyNrjY1ruujd4IgzBulq+N3gggQ0lRLklRMjg1ODI3LklRX1JFVkVOVUVfRVNULjEwMDEBAAAAg1wEAAIAAAALNzkwODAuMjM0NjkBDgAAAAUAAAABMwEAAAABMAIAAAAKMTAwMjc5MTc0OQMAAAAGMTAwMTgwBAAAAAEyBgAAAAEwBwAAAAMxNjAIAAAAATAJAAAAATEKAAAAATALAAAACzE0NzEwNzI5NjQzDAAAAAExDQAAAAkzLzMwLzIwMjYQAAAACTMvMjkvMjAyNrjY1ruujd4Icwlulq+N3ggfQ0lRLklRMjg1ODI3LklRX0VCSVREQV9FU1QuMTAwMQEAAACDXAQAAgAAAAsxMTI3MC44MzA2NAEOAAAABQAAAAEzAQAA</t>
  </si>
  <si>
    <t>AAEwAgAAAAoxMDAyNzkxNzQ5AwAAAAYxMDAxODcEAAAAATIGAAAAATAHAAAAAzE2MAgAAAABMAkAAAABMQoAAAABMAsAAAALMTQ3MTA3MjkxNzUMAAAAATENAAAACTMvMzAvMjAyNhAAAAAJMy8yOS8yMDI2uNjWu66N3ghzCW6Wr43eCBxDSVEuSVEyODU4MjcuSVFfRVBTX0VTVC4xMDAxAQAAAINcBAACAAAACDI5LjkxNTQxAQ4AAAAFAAAAATMBAAAABzI2MjcwNTACAAAACjEwMDI3OTE3NDkDAAAABjEwMDE3MwQAAAABMgYAAAABMAcAAAADMTYwCAAAAAEwCQAAAAExCgAAAAEwCwAAAAsxNDcxMDczMDY5MgwAAAABMQ0AAAAJMy8zMC8yMDI2EAAAAAkzLzI5LzIwMja42Na7ro3eCGPibZavjd4IHkNJUS5JUTIyNDA1NTI4My5JUV9OSV9FU1QuMTAwMQEAAADzz1oNAgAAAAk4NTkuMjE2NDkBDgAAAAUAAAABMwEAAAABMAIAAAAKMTAwMzYzMTU3OAMAAAAGMTAwMjUwBAAAAAEyBgAAAAEwBwAAAAMxNjAIAAAAATAJAAAAATEKAAAAATALAAAACzE0NzAxNjcwNTkzDAAAAAExDQAAAAkzLzMwLzIwMjYQAAAACTMvMjkvMjAyNrjY1ruujd4IQQLrJa+N3ggjQ0lRLklRMjI0MDU1MjgzLklRX1JFVkVOVUVfRVNULjEwMDEBAAAA889aDQIAAAAKNjcwNS44MzA4NQEOAAAABQAAAAEzAQAAAAEwAgAAAAoxMDAzNjMxNTc4AwAAAAYxMDAxODAEAAAAATIGAAAAATAHAAAAAzE2MAgAAAABMAkAAAABMQoAAAABMAsAAAAL</t>
  </si>
  <si>
    <t>MTQ3MDE2ODEyNTMMAAAAATENAAAACTMvMzAvMjAyNhAAAAAJMy8yOS8yMDI2uNjWu66N3gifkuklr43eCCJDSVEuSVEyMjQwNTUyODMuSVFfRUJJVERBX0VTVC4xMDAxAQAAAPPPWg0CAAAACjEwNTEuNDY2MzMBDgAAAAUAAAABMwEAAAABMAIAAAAKMTAwMzYzMTU3OAMAAAAGMTAwMTg3BAAAAAEyBgAAAAEwBwAAAAMxNjAIAAAAATAJAAAAATEKAAAAATALAAAACzE0NzAxNjgxMTkxDAAAAAExDQAAAAkzLzMwLzIwMjYQAAAACTMvMjkvMjAyNrjY1ruujd4IQQLrJa+N3ggfQ0lRLklRMjI0MDU1MjgzLklRX0VQU19FU1QuMTAwMQEAAADzz1oNAgAAAAcwLjQ5NzU0AQ4AAAAFAAAAATMBAAAACTQxOTE1MTU0NAIAAAAKMTAwMzYzMTU3OAMAAAAGMTAwMTczBAAAAAEyBgAAAAEwBwAAAAMxNjAIAAAAATAJAAAAATEKAAAAATALAAAACzE0NzAxNjgxMzMxDAAAAAExDQAAAAkzLzMwLzIwMjYQAAAACTMvMjkvMjAyNrjY1ruujd4IqRDkJa+N3ggcQ0lRLklRMTM0MDc0MC5JUV9OSV9FU1QuMTAwMQEAAABEdRQAAgAAAAo2NzEzLjE2NjY4AQ4AAAAFAAAAATMBAAAAATACAAAACjEwMDQyNDAyMzIDAAAABjEwMDI1MAQAAAABMgYAAAABMAcAAAADMTYwCAAAAAEwCQAAAAExCgAAAAEwCwAAAAsxNDcxMjU0MTkzMQwAAAABMQ0AAAAJMy8zMC8yMDI2EAAAAAkzLzI5LzIwMja42Na7ro3eCLGlbpavjd4IIUNJUS5JUTEz</t>
  </si>
  <si>
    <t>NDA3NDAuSVFfUkVWRU5VRV9FU1QuMTAwMQEAAABEdRQAAgAAAAszOTU1NC43MDQ1OQEOAAAABQAAAAEzAQAAAAEwAgAAAAoxMDA0MjQwMjMyAwAAAAYxMDAxODAEAAAAATIGAAAAATAHAAAAAzE2MAgAAAABMAkAAAABMQoAAAABMAsAAAALMTQ3MTI1NDIxNDIMAAAAATENAAAACTMvMzAvMjAyNhAAAAAJMy8yOS8yMDI2uNjWu66N3gixpW6Wr43eCCBDSVEuSVExMzQwNzQwLklRX0VCSVREQV9FU1QuMTAwMQEAAABEdRQAAgAAAAsxMDAzMy4yODA4NgEOAAAABQAAAAEzAQAAAAEwAgAAAAoxMDA0MjQwMjMyAwAAAAYxMDAxODcEAAAAATIGAAAAATAHAAAAAzE2MAgAAAABMAkAAAABMQoAAAABMAsAAAALMTQ3MTE0NDEyMjgMAAAAATENAAAACTMvMzAvMjAyNhAAAAAJMy8yOS8yMDI2uNjWu66N3gixpW6Wr43eCB1DSVEuSVExMzQwNzQwLklRX0VQU19FU1QuMTAwMQEAAABEdRQAAgAAAAcxMC41MzQ5AQ4AAAAFAAAAATMBAAAABzI2MTg5NTACAAAACjEwMDQyNDAyMzIDAAAABjEwMDE3MwQAAAABMgYAAAABMAcAAAADMTYwCAAAAAEwCQAAAAExCgAAAAEwCwAAAAsxNDcxMjU0MjIxNAwAAAABMQ0AAAAJMy8zMC8yMDI2EAAAAAkzLzI5LzIwMja42Na7ro3eCKJ+bpavjd4IG0NJUS5JUTM2MzI2My5JUV9OSV9FU1QuMTAwMQEAAAD/igUAAgAAAAk2ODQuOTIzMTgBDgAAAAUAAAABMwEAAAABMAIAAAAKMTAwNDEw</t>
  </si>
  <si>
    <t>MDQ3NwMAAAAGMTAwMjUwBAAAAAEyBgAAAAEwBwAAAAMxNjAIAAAAATAJAAAAATEKAAAAATALAAAACzE0NjkxNjc3NDc4DAAAAAExDQAAAAkzLzMwLzIwMjYQAAAACTMvMjkvMjAyNrjY1ruujd4I0fNulq+N3gggQ0lRLklRMzYzMjYzLklRX1JFVkVOVUVfRVNULjEwMDEBAAAA/4oFAAIAAAALMTI5MzcuMDY2MzkBDgAAAAUAAAABMwEAAAABMAIAAAAKMTAwNDEwMDQ3NwMAAAAGMTAwMTgwBAAAAAEyBgAAAAEwBwAAAAMxNjAIAAAAATAJAAAAATEKAAAAATALAAAACzE0NzExMzExOTIyDAAAAAExDQAAAAkzLzMwLzIwMjYQAAAACTMvMjkvMjAyNrjY1ruujd4Iwcxulq+N3ggfQ0lRLklRMzYzMjYzLklRX0VCSVREQV9FU1QuMTAwMQEAAAD/igUAAgAAAAoxMDQzLjcwNzM1AQ4AAAAFAAAAATMBAAAAATACAAAACjEwMDQxMDA0NzcDAAAABjEwMDE4NwQAAAABMgYAAAABMAcAAAADMTYwCAAAAAEwCQAAAAExCgAAAAEwCwAAAAsxNDcxMTMxMTg1MAwAAAABMQ0AAAAJMy8zMC8yMDI2EAAAAAkzLzI5LzIwMja42Na7ro3eCMHMbpavjd4IHENJUS5JUTM2MzI2My5JUV9FUFNfRVNULjEwMDEBAAAA/4oFAAIAAAAHMTcuMzkyMgEOAAAABQAAAAEzAQAAAAkxMjg4NDQ3MzACAAAACjEwMDQxMDA0NzcDAAAABjEwMDI3OAQAAAABMgYAAAABMAcAAAADMTYwCAAAAAEwCQAAAAExCgAAAAEwCwAAAAsxNDcxMTMxMjA1NAwA</t>
  </si>
  <si>
    <t>AAABMQ0AAAAJMy8zMC8yMDI2EAAAAAkzLzI5LzIwMja42Na7ro3eCMHMbpavjd4IGkNJUS5JUTIxODM1LklRX05JX0VTVC4xMDAxAQAAAEtVAAACAAAADDEyNDQ2Ni44NjA4MQEOAAAABQAAAAEzAQAAAAEwAgAAAAoxMDAxNzk4MjY5AwAAAAYxMDAyNTAEAAAAATIGAAAAATAHAAAAAzE2MAgAAAABMAkAAAABMQoAAAABMAsAAAALMTQ3MDkzNTU1NzYMAAAAATENAAAACTMvMzAvMjAyNhAAAAAJMy8yOS8yMDI2uNjWu66N3ghQKeslr43eCB5DSVEuSVEyMTgzNS5JUV9FQklUREFfRVNULjEwMDEBAAAAS1UAAAIAAAAMMTk3NDk1Ljc2OTExAQ4AAAAFAAAAATMBAAAAATACAAAACjEwMDE3OTgyNjkDAAAABjEwMDE4NwQAAAABMgYAAAABMAcAAAADMTYwCAAAAAEwCQAAAAExCgAAAAEwCwAAAAsxNDcwOTM1NTk5NAwAAAABMQ0AAAAJMy8zMC8yMDI2EAAAAAkzLzI5LzIwMja42Na7ro3eCFqn6CWvjd4IHENJUS5JUTE3NzAzMS5JUV9FUFNfRVNULjEwMDEBAAAAh7MCAAIAAAAHNy40NDg0NAEOAAAABQAAAAEzAQAAAAcyNjE0NjMyAgAAAAoxMDA0MzI5MTE0AwAAAAYxMDAxNzMEAAAAATIGAAAAATAHAAAAAzE2MAgAAAABMAkAAAABMQoAAAABMAsAAAALMTQ3MTMwNjk1OTIMAAAAATENAAAACTMvMzAvMjAyNhAAAAAJMy8yOS8yMDI2uNjWu66N3gjR826Wr43eCBxDSVEuSVEzNzA4NTcuSVFfRVBTX0VTVC4xMDAx</t>
  </si>
  <si>
    <t>AQAAAKmoBQACAAAABzAuMDk1MzMBDgAAAAUAAAABMwEAAAAHMjU5NDg4NAIAAAAKMTAwMjc4MDIwMgMAAAAGMTAwMTczBAAAAAEyBgAAAAEwBwAAAAMxNjAIAAAAATAJAAAAATEKAAAAATALAAAACzE0NzA5NzU0MDc5DAAAAAExDQAAAAkzLzMwLzIwMjYQAAAACTMvMjkvMjAyNrjY1ruujd4I8kFvlq+N3ggdQ0lRLklRMjA3NjU0NjMuSVFfTklfRVNULjEwMDEBAAAAF9s8AQIAAAAKNzcxMjIuODk1NQEOAAAABQAAAAEzAQAAAAEwAgAAAAoxMDAyMDYxOTYxAwAAAAYxMDAyNTAEAAAAATIGAAAAATAHAAAAAzE2MAgAAAABMAkAAAABMQoAAAABMAsAAAALMTQ3MTE4NTg0NzMMAAAAATENAAAACTMvMzAvMjAyNhAAAAAJMy8yOS8yMDI2+RnXu66N3gjL5uklr43eCCBDSVEuSVEyODkxOTQuSVFfUkVWRU5VRV9FU1QuMTAwMQEAAACqaQQAAgAAAAsyNTE1MS43OTcyNwEOAAAABQAAAAEzAQAAAAEwAgAAAAoxMDAwMTkzNTY2AwAAAAYxMDAxODAEAAAAATIGAAAAATAHAAAAAzE2MAgAAAABMAkAAAABMQoAAAABMAsAAAALMTQ3MTMxODk5NjEMAAAAATENAAAACTMvMzAvMjAyNhAAAAAJMy8yOS8yMDI2+RnXu66N3gg0IGyWr43eCCBDSVEuSVExNTkyMzAuSVFfUkVWRU5VRV9FU1QuMTAwMQEAAAD+bQIAAgAAAAs5MzQyMS43NDM4NQEOAAAABQAAAAEzAQAAAAEwAgAAAAoxMDAyNTU0OTkwAwAAAAYxMDAxODAEAAAA</t>
  </si>
  <si>
    <t>ATIGAAAAATAHAAAAAzE2MAgAAAABMAkAAAABMQoAAAABMAsAAAALMTQ3MTA3MTk4MTQMAAAAATENAAAACTMvMzAvMjAyNhAAAAAJMy8yOS8yMDI2+RnXu66N3gjkdmyWr43eCBtDSVEuSVEyNzg2NzkuSVFfTklfRVNULjEwMDEBAAAAl0AEAAIAAAALMTQ5OTMuMTc4NzIBDgAAAAUAAAABMwEAAAABMAIAAAAKMTAwNDMzMDEyOQMAAAAGMTAwMjUwBAAAAAEyBgAAAAEwBwAAAAMxNjAIAAAAATAJAAAAATEKAAAAATALAAAACzE0NzA5Mzk2NjQ4DAAAAAExDQAAAAkzLzMwLzIwMjYQAAAACTMvMjkvMjAyNvkZ17uujd4IHg7qJa+N3gggQ0lRLklRMjc4Njc5LklRX1JFVkVOVUVfRVNULjEwMDEBAAAAl0AEAAIAAAAMMTcxMTY0Ljc3NzQ1AQ4AAAAFAAAAATMBAAAAATACAAAACjEwMDQzMzAxMjkDAAAABjEwMDE4MAQAAAABMgYAAAABMAcAAAADMTYwCAAAAAEwCQAAAAExCgAAAAEwCwAAAAsxNDcwOTc5OTExNwwAAAABMQ0AAAAJMy8zMC8yMDI2EAAAAAkzLzI5LzIwMjb5Gde7ro3eCB4O6iWvjd4IHENJUS5JUTI4OTE5NC5JUV9FUFNfRVNULjEwMDEBAAAAqmkEAAIAAAAHOC42NjM5MwEOAAAABQAAAAEzAQAAAAcyNjU3OTkyAgAAAAoxMDAwMTkzNTY2AwAAAAYxMDAxNzMEAAAAATIGAAAAATAHAAAAAzE2MAgAAAABMAkAAAABMQoAAAABMAsAAAALMTQ3MTMxOTAyMTMMAAAAATENAAAACTMvMzAvMjAyNhAAAAAJ</t>
  </si>
  <si>
    <t>My8yOS8yMDI2+RnXu66N3gg0IGyWr43eCBxDSVEuSVExNTkyMzAuSVFfRVBTX0VTVC4xMDAxAQAAAP5tAgACAAAABzYuODE0NTUBDgAAAAUAAAABMwEAAAAHMjY2MTAzNQIAAAAKMTAwMjU1NDk5MAMAAAAGMTAwMTczBAAAAAEyBgAAAAEwBwAAAAMxNjAIAAAAATAJAAAAATEKAAAAATALAAAACzE0NzEwNzIyMjQ2DAAAAAExDQAAAAkzLzMwLzIwMjYQAAAACTMvMjkvMjAyNvkZ17uujd4I5HZslq+N3ggzQ0lRUkFOR0UuQVhQLklRX0NPTVBBTllfSURfUVVJQ0tfTUFUQ0guMS41Li4uLi4uLklEBAAAACKaewgFAAAAAwAAAAdJUTkyMDAxAwAAAApJUTI2NTU5Mjk4AwAAAAlJUTU3NDE5MzUDAAAACElRMTMzMDU1AwAAAAtJUTE0MjMxODExNALLjiGvjd4ICmHlJa+N3gg3Q0lRUkFOR0UuQVhQLklRX0NPTVBBTllfTkFNRV9RVUlDS19NQVRDSC4xLjUuLi4uLi4uTkFNRQQAAAAimnsIBQAAAAMAAAAYQW1lcmljYW4gRXhwcmVzcyBDb21wYW55AwAAAA9QaGFybWFaZWxsIEdtYkgDAAAAD0F4cG8gSG9sZGluZyBBRwMAAAATTm92YXNlcCBIb2xkaW5nIFNBUwMAAAANWmVsbGJpb3MgR21iSALLjiGvjd4ICmHlJa+N3ggdQ0lRLklROTIwMDEuSVFfQ09NUEFOWV9USUNLRVIBAAAAYWcBAAMAAAAITllTRTpBWFAAV9MCJq+N3ghOTxcmr43eCDRDSVFSQU5HRS5WSVNBLklRX0NPTVBBTllfSURfUVVJQ0tfTUFUQ0gu</t>
  </si>
  <si>
    <t>MS41Li4uLi4uLklEBAAAAFQljw8FAAAAAwAAAApJUTM4MDQzNDY3AwAAAAlJUTMwMjc3NjcDAAAACElRODk4ODgzAwAAAAlJUTc5ODUzMzYDAAAAC0lRMjYxMDM5NDQ01E/+KK+N3ggKuBkpr43eCDhDSVFSQU5HRS5WSVNBLklRX0NPTVBBTllfTkFNRV9RVUlDS19NQVRDSC4xLjUuLi4uLi4uTkFNRQQAAABUJY8PBQAAAAMAAAAJVmlzYSBJbmMuAwAAACZWaXNhIEludGVybmF0aW9uYWwgU2VydmljZSBBc3NvY2lhdGlvbgMAAAAQVmlzYSBVLlMuQS4gSW5jLgMAAAATVmlzYSBFdXJvcGUgTGltaXRlZAMAAAALVmlzYXNRIEluYy7UT/4or43eCAq4GSmvjd4IIENJUS5JUTM4MDQzNDY3LklRX0NPTVBBTllfVElDS0VSAQAAAEt/RAIDAAAABk5ZU0U6VgABUC0pr43eCJHZSCmvjd4IMkNJUVJBTkdFLk1BLklRX0NPTVBBTllfSURfUVVJQ0tfTUFUQ0guMS41Li4uLi4uLklEBAAAAJTQAgAFAAAAAwAAAAlJUTY0NzcxOTYDAAAAB0lRMzExOTcDAAAAB0lRMzExNDgDAAAACElRMjg1ODgwAwAAAAhJUTE4NDQ2OHnpFCqvjd4IRZ8vKq+N3gg2Q0lRUkFOR0UuTUEuSVFfQ09NUEFOWV9OQU1FX1FVSUNLX01BVENILjEuNS4uLi4uLi5OQU1FBAAAAJTQAgAFAAAAAwAAABdNYXN0ZXJjYXJkIEluY29ycG9yYXRlZAMAAAAMTWF0dGVsLCBJbmMuAwAAABxNYXJyaW90dCBJbnRlcm5hdGlvbmFsLCBJbmMuAwAAABhNYWdu</t>
  </si>
  <si>
    <t>YSBJbnRlcm5hdGlvbmFsIEluYy4DAAAAEk1hcnMsIEluY29ycG9yYXRlZHnpFCqvjd4IRZ8vKq+N3ggfQ0lRLklRNjQ3NzE5Ni5JUV9DT01QQU5ZX1RJQ0tFUgEAAACM1WIAAwAAAAdOWVNFOk1BADunQCqvjd4ILJxVKq+N3gg7Q0lRUkFOR0UuQ0FQSVRBTCBPTkUuSVFfQ09NUEFOWV9JRF9RVUlDS19NQVRDSC4xLjUuLi4uLi4uSUQEAAAALiSoDQUAAAADAAAACElRMzM2MjQxAwAAAAtJUTIwNjQ5MzkxMgMAAAAKSVEyNzk3NjI4NQMAAAAJSVEzMTIyMTI0AwAAAAtJUTIyOTEyMzExOAbxsCyvjd4I3B7OLK+N3gg/Q0lRUkFOR0UuQ0FQSVRBTCBPTkUuSVFfQ09NUEFOWV9OQU1FX1FVSUNLX01BVENILjEuNS4uLi4uLi5OQU1FBAAAAC4kqA0FAAAAAwAAACFDYXBpdGFsIE9uZSBGaW5hbmNpYWwgQ29ycG9yYXRpb24DAAAAC0NhcGl0YWwgT25lAwAAACFDYXBpdGFsIE9uZSwgTmF0aW9uYWwgQXNzb2NpYXRpb24DAAAALENhcGl0YWwgT25lIEJhbmsgKFVTQSksIE5hdGlvbmFsIEFzc29jaWF0aW9uAwAAABFDYXBpdGFsIE9uZSwgTi5BLgbxsCyvjd4I3B7OLK+N3ggeQ0lRLklRMzM2MjQxLklRX0NPTVBBTllfVElDS0VSAQAAAHEhBQADAAAACE5ZU0U6Q09GAAdy3yyvjd4IMlP1LK+N3ggzQ0lRUkFOR0UuSlBNLklRX0NPTVBBTllfSURfUVVJQ0tfTUFUQ0guMS41Li4uLi4uLklEBAAAAIJ0wQAFAAAAAwAA</t>
  </si>
  <si>
    <t>AAhJUTY1ODc3NgMAAAAJSVEzNzExNjA0AwAAAAlJUTE5MjUxMzMDAAAACUlRMzUzNDIwMQMAAAAKSVExMjY3ODI3NFJNOy+vjd4I4YxXL6+N3gg3Q0lRUkFOR0UuSlBNLklRX0NPTVBBTllfTkFNRV9RVUlDS19NQVRDSC4xLjUuLi4uLi4uTkFNRQQAAACCdMEABQAAAAMAAAAUSlBNb3JnYW4gQ2hhc2UgJiBDby4DAAAAGUpQTW9yZ2FuIENoYXNlIEJhbmssIE4uQS4DAAAAGkpQIE1vcmdhbiBBc3NldCBNYW5hZ2VtZW50AwAAABpKLlAuIE1vcmdhbiBTZWN1cml0aWVzIExMQwMAAAAaSi5QLiBNb3JnYW4gU2VjdXJpdGllcyBwbGNSTTsvr43eCOGMVy+vjd4IHkNJUS5JUTY1ODc3Ni5JUV9DT01QQU5ZX1RJQ0tFUgEAAABYDQoAAwAAAAhOWVNFOkpQTQBRiWkvr43eCOA9gC+vjd4IJENJUS5JUTkyMDAxLklRX0NPTVBBTllfTkFNRS40LzMvMjAyNgEAAABhZwEAAwAAABhBbWVyaWNhbiBFeHByZXNzIENvbXBhbnkAynnNO6+N3gjQ92yWr43eCCBDSVEuSVE5MjAwMS5JUV9CRVRBXzVZUi40LzMvMjAyNgEAAABhZwEAAgAAABAxLjE1MTA5NjMwNDAxMjM5AMp5zTuvjd4IJUZtlq+N3ggmQ0lRLklROTIwMDEuSVFfRElWSURFTkRfWUlFTEQuNC8zLzIwMjYBAAAAYWcBAAMAAAAAAMp5zTuvjd4IJUZtlq+N3gghQ0lRLklROTIwMDEuSVFfTUFSS0VUQ0FQLjQvMy8yMDI2AQAAAGFnAQACAAAADTIwMDQzMy45MzM2</t>
  </si>
  <si>
    <t>MDgBBgAAAAUAAAABMQEAAAALLTE5MDc1ODQ0MTEDAAAAAzE2MAIAAAAGMTAwMDU0BAAAAAEwBwAAAAkzLzI3LzIwMjasrM07r43eCOk0cJavjd4IG0NJUS5JUTkyMDAxLklRX1RFVi40LzMvMjAyNgEAAABhZwEAAwAAAAAAynnNO6+N3gjaDXCWr43eCBtDSVEuSVE5MjAwMS5JUV9QRV9FWENMLjIwMDABAAAAYWcBAAIAAAAQMTkuMDAzMjUwOTc1MjkyNgEHAAAABQAAAAExAQAAAAstMTkwNzU4NDQwOQMAAAABMAIAAAAGMTAwMDY2BAAAAAEwBwAAAAkzLzI3LzIwMjYIAAAACTMvMjcvMjAyNqyszTuvjd4I2g1wlq+N3gghQ0lRLklROTIwMDEuSVFfVEVWX1RPVEFMX1JFVi4yMDAwAQAAAGFnAQADAAAAAACsrM07r43eCNoNcJavjd4IHkNJUS5JUTkyMDAxLklRX1RFVl9FQklUREEuMjAwMAEAAABhZwEAAwAAAAAArKzNO6+N3gjpNHCWr43eCCBDSVEuSVE5MjAwMS5JUV9TUF9PVVRMT09LX1dBVENILgEAAABhZwEAAwAAAAZTdGFibGUArKzNO6+N3gg1bW2Wr43eCBhDSVEuSVE5MjAwMS5JUV9TUF9MQ19MVC4BAAAAYWcBAAMAAAACQS0ArKzNO6+N3gg1bW2Wr43eCCFDSVEuSVE5MjAwMS5JUV9DVVJSRU5UX1JBVElPLjEwMDABAAAAYWcBAAIAAAAIMS40MDQ2NTQBCAAAAAUAAAABMQEAAAALLTE5MDc1ODUwMTADAAAAAzE2MAIAAAAENDAzMAQAAAABMAcAAAAJMy8yOS8yMDI2CAAAAAoxMi8zMS8yMDI1CQAA</t>
  </si>
  <si>
    <t>AAEwrKzNO6+N3gg1bW2Wr43eCB9DSVEuSVE5MjAwMS5JUV9RVUlDS19SQVRJTy4xMDAwAQAAAGFnAQACAAAACDEuMzkwOTI0AQgAAAAFAAAAATEBAAAACy0xOTA3NTg1MDEwAwAAAAMxNjACAAAABDQxMjEEAAAAATAHAAAACTMvMjkvMjAyNggAAAAKMTIvMzEvMjAyNQkAAAABMKyszTuvjd4INW1tlq+N3ggcQ0lRLklROTIwMDEuSVFfRUJJVF9JTlQuMTAwMAEAAABhZwEAAwAAAAJOQQCsrM07r43eCDVtbZavjd4IJENJUS5JUTkyMDAxLklRX0VCSVREQV9DQVBFWF9JTlQuMTAwMAEAAABhZwEAAwAAAAJOQQCsrM07r43eCDVtbZavjd4IHkNJUS5JUTkyMDAxLklRX0VCSVREQV9JTlQuMTAwMAEAAABhZwEAAwAAAAJOQQCsrM07r43eCDVtbZavjd4IJUNJUS5JUTkyMDAxLklRX1RPVEFMX0RFQlRfRVFVSVRZLjEwMDABAAAAYWcBAAIAAAAIMTkwLjkyMTMBCAAAAAUAAAABMQEAAAALLTE5MDc1ODUwMTADAAAAAzE2MAIAAAAENDAzNAQAAAABMAcAAAAJMy8yOS8yMDI2CAAAAAoxMi8zMS8yMDI1CQAAAAEwrKzNO6+N3gg1bW2Wr43eCCVDSVEuSVE5MjAwMS5JUV9UT1RBTF9ERUJUX0VCSVREQS4xMDAwAQAAAGFnAQADAAAAAk5BAKyszTuvjd4INW1tlq+N3ggmQ0lRLklROTIwMDEuSVFfVE9UQUxfREVCVF9DQVBJVEFMLjEwMDABAAAAYWcBAAIAAAAHNjUuNjI2NAEIAAAABQAAAAExAQAAAAstMTkwNzU4NTAx</t>
  </si>
  <si>
    <t>MAMAAAADMTYwAgAAAAQ0MTg2BAAAAAEwBwAAAAkzLzI5LzIwMjYIAAAACjEyLzMxLzIwMjUJAAAAATCsrM07r43eCDVtbZavjd4IIUNJUS5JUTkyMDAxLklRX1JFVFVSTl9BU1NFVFMuMjAwMAEAAABhZwEAAgAAAAYzLjc5MDkBCAAAAAUAAAABMQEAAAALLTE5MDc1ODQ0MDkDAAAAAzE2MAIAAAAENDE3OAQAAAABMAcAAAAJMy8yOS8yMDI2CAAAAAoxMi8zMS8yMDI1CQAAAAEwrKzNO6+N3gg1bW2Wr43eCCFDSVEuSVE5MjAwMS5JUV9SRVRVUk5fRVFVSVRZLjIwMDABAAAAYWcBAAIAAAAHMzMuOTkyMgEIAAAABQAAAAExAQAAAAstMTkwNzU4NDQwOQMAAAADMTYwAgAAAAQ0MTI4BAAAAAEwBwAAAAkzLzI5LzIwMjYIAAAACjEyLzMxLzIwMjUJAAAAATCsrM07r43eCDVtbZavjd4II0NJUS5JUTkyMDAxLklRX0VGRkVDVF9UQVhfUkFURS4xMDAwAQAAAGFnAQACAAAABzIxLjQ3MTUBCAAAAAUAAAABMQEAAAALLTE5MDc1ODUwMTADAAAAAzE2MAIAAAAENDM3NgQAAAABMAcAAAAJMy8yOS8yMDI2CAAAAAoxMi8zMS8yMDI1CQAAAAEwrKzNO6+N3gglRm2Wr43eCBxDSVEuSVE5MjAwMS5JUV9PUEVSX0lOQy4yMDAwAQAAAGFnAQACAAAABTEzNjU1AQgAAAAFAAAAATEBAAAACy0xOTA3NTg0NDA5AwAAAAMxNjACAAAAAjIxBAAAAAEwBwAAAAkzLzI5LzIwMjYIAAAACjEyLzMxLzIwMjUJAAAAATCsrM07r43eCCVG</t>
  </si>
  <si>
    <t>bZavjd4IHkNJUS5JUTkyMDAxLklRX1RPVEFMX0RFQlQuMjAwMAEAAABhZwEAAgAAAAU2MzkwOQEIAAAABQAAAAExAQAAAAstMTkwNzU4NDQwOQMAAAADMTYwAgAAAAQ0MTczBAAAAAEwBwAAAAkzLzI5LzIwMjYIAAAACjEyLzMxLzIwMjUJAAAAATCsrM07r43eCCVGbZavjd4IIENJUS5JUTkyMDAxLklRX1RPVEFMX0VRVUlUWS4yMDAwAQAAAGFnAQACAAAABTMzNDc0AQgAAAAFAAAAATEBAAAACy0xOTA3NTg0NDA5AwAAAAMxNjACAAAABDEyNzUEAAAAATAHAAAACTMvMjkvMjAyNggAAAAKMTIvMzEvMjAyNQkAAAABMKyszTuvjd4IJUZtlq+N3ggeQ0lRLklROTIwMDEuSVFfQ0FTSF9FUVVJVi4yMDAwAQAAAGFnAQACAAAABTQ3NjIzAQgAAAAFAAAAATEBAAAACy0xOTA3NTg0NDA5AwAAAAMxNjACAAAABDEwOTYEAAAAATAHAAAACTMvMjkvMjAyNggAAAAKMTIvMzEvMjAyNQkAAAABMKyszTuvjd4IJUZtlq+N3ggdQ0lRLklROTIwMDEuSVFfTklfTUFSR0lOLjIwMDABAAAAYWcBAAIAAAAHMTYuMTc1MQEIAAAABQAAAAExAQAAAAstMTkwNzU4NDQwOQMAAAADMTYwAgAAAAQ0MDk0BAAAAAEwBwAAAAkzLzI5LzIwMjYIAAAACjEyLzMxLzIwMjUJAAAAATCsrM07r43eCOk0cJavjd4IIUNJUS5JUTkyMDAxLklRX0VCSVREQV9NQVJHSU4uMjAwMAEAAABhZwEAAwAAAAJOQQCsrM07r43eCLvmb5avjd4IIkNJUS5J</t>
  </si>
  <si>
    <t>UTkyMDAxLklRX0RJTFVUX0VQU19JTkNMLjEwMDABAAAAYWcBAAIAAAAFMTUuMzgBCAAAAAUAAAABMQEAAAALLTE5MDc1ODUwMTADAAAAAzE2MAIAAAABOAQAAAABMAcAAAAJMy8yOS8yMDI2CAAAAAoxMi8zMS8yMDI1CQAAAAEwrKzNO6+N3gi75m+Wr43eCC9DSVEuSVE5MjAwMS5JUV9FUFNfMVlSX0FOTl9HUk9XVEguMjAwMC40LzMvMjAyNgEAAABhZwEAAgAAAAY5Ljc3ODcBCAAAAAUAAAABMQEAAAALLTE5MDc1ODQ0MDkDAAAAAzE2MAIAAAAENDIwMAQAAAABMAcAAAAINC8zLzIwMjYIAAAACjEyLzMxLzIwMjUJAAAAATCsrM07r43eCLvmb5avjd4IHUNJUS5JUTkyMDAxLklRX1RPVEFMX1JFVi4xMDAwAQAAAGFnAQACAAAABTY2OTczAQgAAAAFAAAAATEBAAAACy0xOTA3NTg1MDEwAwAAAAMxNjACAAAAAjI4BAAAAAEwBwAAAAkzLzI5LzIwMjYIAAAACjEyLzMxLzIwMjUJAAAAATCsrM07r43eCOk0cJavjd4INUNJUS5JUTkyMDAxLklRX1RPVEFMX1JFVl8xWVJfQU5OX0dST1dUSC4yMDAwLjQvMy8yMDI2AQAAAGFnAQACAAAABzEwLjIxODIBCAAAAAUAAAABMQEAAAALLTE5MDc1ODQ0MDkDAAAAAzE2MAIAAAAENDE5NAQAAAABMAcAAAAINC8zLzIwMjYIAAAACjEyLzMxLzIwMjUJAAAAATCsrM07r43eCNoNcJavjd4IGkNJUS5JUTkyMDAxLklRX05JX0VTVC4xMDAxAQAAAGFnAQACAAAACzExOTYyLjAx</t>
  </si>
  <si>
    <t>ODE5AQ4AAAAFAAAAATMBAAAAATACAAAACjEwMDI1Mzc5MTMDAAAABjEwMDI1MAQAAAABMgYAAAABMAcAAAADMTYwCAAAAAEwCQAAAAExCgAAAAEwCwAAAAsxNDcwNzM2MTUwNQwAAAABMQ0AAAAJMy8zMC8yMDI2EAAAAAkzLzI5LzIwMjasrM07r43eCOk0cJavjd4IH0NJUS5JUTkyMDAxLklRX1JFVkVOVUVfRVNULjEwMDEBAAAAYWcBAAIAAAALNzg3OTQuNTYzMzMBDgAAAAUAAAABMwEAAAABMAIAAAAKMTAwMjUzNzkxMwMAAAAGMTAwMTgwBAAAAAEyBgAAAAEwBwAAAAMxNjAIAAAAATAJAAAAATEKAAAAATALAAAACzE0NzA3MzYyMDA2DAAAAAExDQAAAAkzLzMwLzIwMjYQAAAACTMvMjkvMjAyNl7YzTuvjd4I6TRwlq+N3ggeQ0lRLklROTIwMDEuSVFfRUJJVERBX0VTVC4xMDAxAQAAAGFnAQACAAAABzI3MzU5LjUBDgAAAAUAAAABMwEAAAABMAIAAAAKMTAwMjUzNzkxMwMAAAAGMTAwMTg3BAAAAAEyBgAAAAEwBwAAAAMxNjAIAAAAATAJAAAAATEKAAAAATALAAAACzE0Njg1Njc5NDk1DAAAAAExDQAAAAkzLzMwLzIwMjYQAAAACTMvMjkvMjAyNl7YzTuvjd4I6TRwlq+N3ggbQ0lRLklROTIwMDEuSVFfRVBTX0VTVC4xMDAxAQAAAGFnAQACAAAACDE3LjU5MDY5AQ4AAAAFAAAAATMBAAAABzI1ODg5MTMCAAAACjEwMDI1Mzc5MTMDAAAABjEwMDE3MwQAAAABMgYAAAABMAcAAAADMTYwCAAAAAEwCQAAAAEx</t>
  </si>
  <si>
    <t>CgAAAAEwCwAAAAsxNDcwNzM2MjI2NgwAAAABMQ0AAAAJMy8zMC8yMDI2EAAAAAkzLzI5LzIwMjZe2M07r43eCLvmb5avjd4IJ0NJUS5JUTM4MDQzNDY3LklRX0NPTVBBTllfTkFNRS40LzMvMjAyNgEAAABLf0QCAwAAAAlWaXNhIEluYy4AWK8aSa+N3gj3oWyWr43eCCNDSVEuSVEzODA0MzQ2Ny5JUV9CRVRBXzVZUi40LzMvMjAyNgEAAABLf0QCAgAAABEwLjc5MDU0MTM5NDkwNTY3NQBYrxpJr43eCPGPaZavjd4IHkNJUS5JUTM4MDQzNDY3LklRX1BFX0VYQ0wuMjAwMAEAAABLf0QCAgAAAA4yNy43NTgzMDAyNzM3NgEHAAAABQAAAAExAQAAAAstMTkwODM3NjU2OAMAAAABMAIAAAAGMTAwMDY2BAAAAAEwBwAAAAkzLzI3LzIwMjYIAAAACTMvMjcvMjAyNlivGkmvjd4I5HZslq+N3ggkQ0lRLklRMzgwNDM0NjcuSVFfVEVWX1RPVEFMX1JFVi4yMDAwAQAAAEt/RAICAAAADzEzLjczNzE2MTk0NjA1NAEHAAAABQAAAAExAQAAAAstMTkwODM3NjU2OAMAAAABMAIAAAAGMTAwMDYxBAAAAAEwBwAAAAkzLzI3LzIwMjYIAAAACTMvMjcvMjAyNlivGkmvjd4I5HZslq+N3gghQ0lRLklRMzgwNDM0NjcuSVFfVEVWX0VCSVREQS4yMDAwAQAAAEt/RAICAAAAEDE5LjQ4NDQzODAxMzQ3MTMBBwAAAAUAAAABMQEAAAALLTE5MDgzNzY1NjgDAAAAATACAAAABjEwMDA2MwQAAAABMAcAAAAJMy8yNy8yMDI2CAAAAAkzLzI3</t>
  </si>
  <si>
    <t>LzIwMjZYrxpJr43eCOR2bJavjd4IKUNJUS5JUTM4MDQzNDY3LklRX0RJVklERU5EX1lJRUxELjQvMy8yMDI2AQAAAEt/RAIDAAAAAABYrxpJr43eCDplaZavjd4IJENJUS5JUTM4MDQzNDY3LklRX01BUktFVENBUC40LzMvMjAyNgEAAABLf0QCAgAAAA01NjMyNjMuODcwMTA5AQYAAAAFAAAAATEBAAAACy0xOTA4Mzc5ODA5AwAAAAMxNjACAAAABjEwMDA1NAQAAAABMAcAAAAJMy8yNy8yMDI2WK8aSa+N3gj3oWyWr43eCB5DSVEuSVEzODA0MzQ2Ny5JUV9URVYuNC8zLzIwMjYBAAAAS39EAgIAAAANNTY4NTk0Ljg3MDEwOQEGAAAABQAAAAExAQAAAAstMTkwODM3OTgwOQMAAAADMTYwAgAAAAYxMDAwNjAEAAAAATAHAAAACTMvMjcvMjAyNlivGkmvjd4I96Fslq+N3ggjQ0lRLklRMzgwNDM0NjcuSVFfU1BfT1VUTE9PS19XQVRDSC4BAAAAS39EAgMAAAAGU3RhYmxlAFivGkmvjd4IOmVplq+N3ggbQ0lRLklRMzgwNDM0NjcuSVFfU1BfTENfTFQuAQAAAEt/RAIDAAAAA0FBLQBYrxpJr43eCDplaZavjd4IJENJUS5JUTM4MDQzNDY3LklRX0NVUlJFTlRfUkFUSU8uMTAwMAEAAABLf0QCAgAAAAcxLjA3NzU1AQgAAAAFAAAAATEBAAAACy0xOTE4MDg5MzI5AwAAAAMxNjACAAAABDQwMzAEAAAAATAHAAAACTMvMjkvMjAyNggAAAAJOS8zMC8yMDI1CQAAAAEwWK8aSa+N3gg6ZWmWr43eCCJDSVEuSVEzODA0MzQ2</t>
  </si>
  <si>
    <t>Ny5JUV9RVUlDS19SQVRJTy4xMDAwAQAAAEt/RAICAAAACDAuNzU3NDE4AQgAAAAFAAAAATEBAAAACy0xOTE4MDg5MzI5AwAAAAMxNjACAAAABDQxMjEEAAAAATAHAAAACTMvMjkvMjAyNggAAAAJOS8zMC8yMDI1CQAAAAEwWK8aSa+N3gg6ZWmWr43eCB9DSVEuSVEzODA0MzQ2Ny5JUV9FQklUX0lOVC4xMDAwAQAAAEt/RAICAAAACTQ1LjUxNDQzMQEIAAAABQAAAAExAQAAAAstMTkxODA4OTMyOQMAAAADMTYwAgAAAAQ0MTg5BAAAAAEwBwAAAAkzLzI5LzIwMjYIAAAACTkvMzAvMjAyNQkAAAABMFivGkmvjd4IOmVplq+N3ggnQ0lRLklRMzgwNDM0NjcuSVFfRUJJVERBX0NBUEVYX0lOVC4xMDAwAQAAAEt/RAICAAAACTQ1LjQwMDY3OQEIAAAABQAAAAExAQAAAAstMTkxODA4OTMyOQMAAAADMTYwAgAAAAQ0MTkxBAAAAAEwBwAAAAkzLzI5LzIwMjYIAAAACTkvMzAvMjAyNQkAAAABMFivGkmvjd4IOmVplq+N3gghQ0lRLklRMzgwNDM0NjcuSVFfRUJJVERBX0lOVC4xMDAwAQAAAEt/RAICAAAACTQ3LjkxNjgwOAEIAAAABQAAAAExAQAAAAstMTkxODA4OTMyOQMAAAADMTYwAgAAAAQ0MTkwBAAAAAEwBwAAAAkzLzI5LzIwMjYIAAAACTkvMzAvMjAyNQkAAAABMFivGkmvjd4IOmVplq+N3ggoQ0lRLklRMzgwNDM0NjcuSVFfVE9UQUxfREVCVF9FUVVJVFkuMTAwMAEAAABLf0QCAgAAAAc2OC44MDY4AQgAAAAF</t>
  </si>
  <si>
    <t>AAAAATEBAAAACy0xOTE4MDg5MzI5AwAAAAMxNjACAAAABDQwMzQEAAAAATAHAAAACTMvMjkvMjAyNggAAAAJOS8zMC8yMDI1CQAAAAEwWK8aSa+N3gg6ZWmWr43eCChDSVEuSVEzODA0MzQ2Ny5JUV9UT1RBTF9ERUJUX0VCSVREQS4xMDAwAQAAAEt/RAICAAAABzAuOTI0MjEBCAAAAAUAAAABMQEAAAALLTE5MTgwODkzMjkDAAAAAzE2MAIAAAAENDE5MgQAAAABMAcAAAAJMy8yOS8yMDI2CAAAAAk5LzMwLzIwMjUJAAAAATBYrxpJr43eCDplaZavjd4IKUNJUS5JUTM4MDQzNDY3LklRX1RPVEFMX0RFQlRfQ0FQSVRBTC4xMDAwAQAAAEt/RAICAAAABzQwLjc2MDcBCAAAAAUAAAABMQEAAAALLTE5MTgwODkzMjkDAAAAAzE2MAIAAAAENDE4NgQAAAABMAcAAAAJMy8yOS8yMDI2CAAAAAk5LzMwLzIwMjUJAAAAATBYrxpJr43eCDplaZavjd4IJENJUS5JUTM4MDQzNDY3LklRX1JFVFVSTl9BU1NFVFMuMjAwMAEAAABLf0QCAgAAAAcxOC4zNjQyAQgAAAAFAAAAATEBAAAACy0xOTA4Mzc2NTY4AwAAAAMxNjACAAAABDQxNzgEAAAAATAHAAAACTMvMjkvMjAyNggAAAAKMTIvMzEvMjAyNQkAAAABMFivGkmvjd4IOmVplq+N3ggkQ0lRLklRMzgwNDM0NjcuSVFfUkVUVVJOX0VRVUlUWS4yMDAwAQAAAEt/RAICAAAABjUzLjk1NAEIAAAABQAAAAExAQAAAAstMTkwODM3NjU2OAMAAAADMTYwAgAAAAQ0MTI4BAAAAAEw</t>
  </si>
  <si>
    <t>BwAAAAkzLzI5LzIwMjYIAAAACjEyLzMxLzIwMjUJAAAAATBYrxpJr43eCDplaZavjd4IJkNJUS5JUTM4MDQzNDY3LklRX0VGRkVDVF9UQVhfUkFURS4xMDAwAQAAAEt/RAICAAAABzE3LjA5NTEBCAAAAAUAAAABMQEAAAALLTE5MTgwODkzMjkDAAAAAzE2MAIAAAAENDM3NgQAAAABMAcAAAAJMy8yOS8yMDI2CAAAAAk5LzMwLzIwMjUJAAAAATBYrxpJr43eCPGPaZavjd4IIENJUS5JUTM4MDQzNDY3LklRX05JX01BUkdJTi4yMDAwAQAAAEt/RAICAAAABzUwLjIzMzEBCAAAAAUAAAABMQEAAAALLTE5MDgzNzY1NjgDAAAAAzE2MAIAAAAENDA5NAQAAAABMAcAAAAJMy8yOS8yMDI2CAAAAAoxMi8zMS8yMDI1CQAAAAEwWK8aSa+N3gj3oWyWr43eCCRDSVEuSVEzODA0MzQ2Ny5JUV9FQklUREFfTUFSR0lOLjIwMDABAAAAS39EAgIAAAAHNzAuMDMyMQEIAAAABQAAAAExAQAAAAstMTkwODM3NjU2OAMAAAADMTYwAgAAAAQ0MDQ3BAAAAAEwBwAAAAkzLzI5LzIwMjYIAAAACjEyLzMxLzIwMjUJAAAAATBYrxpJr43eCPehbJavjd4IJUNJUS5JUTM4MDQzNDY3LklRX0RJTFVUX0VQU19JTkNMLjEwMDABAAAAS39EAgIAAAAJMTAuMjAyNDQxAQgAAAAFAAAAATEBAAAACy0xOTE4MDg5MzI5AwAAAAMxNjACAAAAATgEAAAAATAHAAAACTMvMjkvMjAyNggAAAAJOS8zMC8yMDI1CQAAAAEwWK8aSa+N3gj3oWyWr43eCDJD</t>
  </si>
  <si>
    <t>SVEuSVEzODA0MzQ2Ny5JUV9FUFNfMVlSX0FOTl9HUk9XVEguMjAwMC40LzMvMjAyNgEAAABLf0QCAgAAAAY3LjM1NzMBCAAAAAUAAAABMQEAAAALLTE5MDgzNzY1NjgDAAAAAzE2MAIAAAAENDIwMAQAAAABMAcAAAAINC8zLzIwMjYIAAAACjEyLzMxLzIwMjUJAAAAATBYrxpJr43eCPehbJavjd4IIENJUS5JUTM4MDQzNDY3LklRX1RPVEFMX1JFVi4xMDAwAQAAAEt/RAICAAAABTQwMDAwAQgAAAAFAAAAATEBAAAACy0xOTE4MDg5MzI5AwAAAAMxNjACAAAAAjI4BAAAAAEwBwAAAAkzLzI5LzIwMjYIAAAACTkvMzAvMjAyNQkAAAABMFivGkmvjd4I96Fslq+N3gg4Q0lRLklRMzgwNDM0NjcuSVFfVE9UQUxfUkVWXzFZUl9BTk5fR1JPV1RILjIwMDAuNC8zLzIwMjYBAAAAS39EAgIAAAAHMTIuNDY5NAEIAAAABQAAAAExAQAAAAstMTkwODM3NjU2OAMAAAADMTYwAgAAAAQ0MTk0BAAAAAEwBwAAAAg0LzMvMjAyNggAAAAKMTIvMzEvMjAyNQkAAAABMFivGkmvjd4I96Fslq+N3ggfQ0lRLklRMzgwNDM0NjcuSVFfT1BFUl9JTkMuMjAwMAEAAABLf0QCAgAAAAUyNzcyMwEIAAAABQAAAAExAQAAAAstMTkwODM3NjU2OAMAAAADMTYwAgAAAAIyMQQAAAABMAcAAAAJMy8yOS8yMDI2CAAAAAoxMi8zMS8yMDI1CQAAAAEwWK8aSa+N3ggkt2+Wr43eCCFDSVEuSVEzODA0MzQ2Ny5JUV9UT1RBTF9ERUJULjIwMDABAAAA</t>
  </si>
  <si>
    <t>S39EAgIAAAAFMjExNzcBCAAAAAUAAAABMQEAAAALLTE5MDgzNzY1NjgDAAAAAzE2MAIAAAAENDE3MwQAAAABMAcAAAAJMy8yOS8yMDI2CAAAAAoxMi8zMS8yMDI1CQAAAAEwWK8aSa+N3ggkt2+Wr43eCCNDSVEuSVEzODA0MzQ2Ny5JUV9UT1RBTF9FUVVJVFkuMjAwMAEAAABLf0QCAgAAAAUzODc3NwEIAAAABQAAAAExAQAAAAstMTkwODM3NjU2OAMAAAADMTYwAgAAAAQxMjc1BAAAAAEwBwAAAAkzLzI5LzIwMjYIAAAACjEyLzMxLzIwMjUJAAAAATBYrxpJr43eCCS3b5avjd4IIUNJUS5JUTM4MDQzNDY3LklRX0NBU0hfRVFVSVYuMjAwMAEAAABLf0QCAgAAAAUxNDc1NgEIAAAABQAAAAExAQAAAAstMTkwODM3NjU2OAMAAAADMTYwAgAAAAQxMDk2BAAAAAEwBwAAAAkzLzI5LzIwMjYIAAAACjEyLzMxLzIwMjUJAAAAATBYrxpJr43eCCS3b5avjd4IHUNJUS5JUTM4MDQzNDY3LklRX05JX0VTVC4xMDAxAQAAAEt/RAICAAAACzI0NTkzLjcxMDA2AQ4AAAAFAAAAATMBAAAAATACAAAACjEwMDE0MjM2MjMDAAAABjEwMDI1MAQAAAABMgYAAAABMAcAAAADMTYwCAAAAAEwCQAAAAExCgAAAAEwCwAAAAsxNDcwNDczOTY5MwwAAAABMQ0AAAAJMy8zMC8yMDI2EAAAAAkzLzI5LzIwMjZYrxpJr43eCPehbJavjd4IIkNJUS5JUTM4MDQzNDY3LklRX1JFVkVOVUVfRVNULjEwMDEBAAAAS39EAgIAAAALNDQ2MTUuNDY3</t>
  </si>
  <si>
    <t>NjMBDgAAAAUAAAABMwEAAAABMAIAAAAKMTAwMTQyMzYyMwMAAAAGMTAwMTgwBAAAAAEyBgAAAAEwBwAAAAMxNjAIAAAAATAJAAAAATEKAAAAATALAAAACzE0NzA0NzQwNTczDAAAAAExDQAAAAkzLzMwLzIwMjYQAAAACTMvMjkvMjAyNrrlGkmvjd4I96Fslq+N3gghQ0lRLklRMzgwNDM0NjcuSVFfRUJJVERBX0VTVC4xMDAxAQAAAEt/RAICAAAACzMxNDI3LjI2OTk4AQ4AAAAFAAAAATMBAAAAATACAAAACjEwMDE0MjM2MjMDAAAABjEwMDE4NwQAAAABMgYAAAABMAcAAAADMTYwCAAAAAEwCQAAAAExCgAAAAEwCwAAAAsxNDcwNDc0MDM4NAwAAAABMQ0AAAAJMy8zMC8yMDI2EAAAAAkzLzI5LzIwMjZYrxpJr43eCPehbJavjd4IHkNJUS5JUTM4MDQzNDY3LklRX0VQU19FU1QuMTAwMQEAAABLf0QCAgAAAAgxMi44NTM1NwEOAAAABQAAAAEzAQAAAAg0MjQ4NDcwOQIAAAAKMTAwMTQyMzYyMwMAAAAGMTAwMTczBAAAAAEyBgAAAAEwBwAAAAMxNjAIAAAAATAJAAAAATEKAAAAATALAAAACzE0NzA1Nzk1MTU2DAAAAAExDQAAAAkzLzMwLzIwMjYQAAAACTMvMjkvMjAyNrrlGkmvjd4I96Fslq+N3ggmQ0lRLklRNjQ3NzE5Ni5JUV9DT01QQU5ZX05BTUUuNC8zLzIwMjYBAAAAjNViAAMAAAAXTWFzdGVyY2FyZCBJbmNvcnBvcmF0ZWQARJQVU6+N3ggCaW+Wr43eCCJDSVEuSVE2NDc3MTk2LklRX0JFVEFfNVlSLjQv</t>
  </si>
  <si>
    <t>My8yMDI2AQAAAIzVYgACAAAAETAuODM1NjIzMjQxODcwMzAyAESUFVOvjd4InBBplq+N3ggdQ0lRLklRNjQ3NzE5Ni5JUV9QRV9FWENMLjIwMDABAAAAjNViAAIAAAAQMjkuMzEyMzQ4NjY4MjgwOQEHAAAABQAAAAExAQAAAAstMTkwNzE4OTU2MwMAAAABMAIAAAAGMTAwMDY2BAAAAAEwBwAAAAkzLzI3LzIwMjYIAAAACTMvMjcvMjAyNkSUFVOvjd4IEJBvlq+N3ggjQ0lRLklRNjQ3NzE5Ni5JUV9URVZfVE9UQUxfUkVWLjIwMDABAAAAjNViAAIAAAAQMTMuNDM2Mzc1NjM1OTU2MgEHAAAABQAAAAExAQAAAAstMTkwNzE4OTU2MwMAAAABMAIAAAAGMTAwMDYxBAAAAAEwBwAAAAkzLzI3LzIwMjYIAAAACTMvMjcvMjAyNkSUFVOvjd4IEJBvlq+N3gggQ0lRLklRNjQ3NzE5Ni5JUV9URVZfRUJJVERBLjIwMDABAAAAjNViAAIAAAAQMjEuNDQ2MjcxMTAwMDExNwEHAAAABQAAAAExAQAAAAstMTkwNzE4OTU2MwMAAAABMAIAAAAGMTAwMDYzBAAAAAEwBwAAAAkzLzI3LzIwMjYIAAAACTMvMjcvMjAyNpu7FVOvjd4IEJBvlq+N3ggjQ0lRLklRNjQ3NzE5Ni5JUV9NQVJLRVRDQVAuNC8zLzIwMjYBAAAAjNViAAIAAAANNDMxODUxLjE5MzQ3OQEGAAAABQAAAAExAQAAAAstMTkwNzE4OTU2NQMAAAADMTYwAgAAAAYxMDAwNTQEAAAAATAHAAAACTMvMjcvMjAyNpu7FVOvjd4IEJBvlq+N3ggdQ0lRLklRNjQ3NzE5Ni5J</t>
  </si>
  <si>
    <t>UV9URVYuNC8zLzIwMjYBAAAAjNViAAIAAAANNDQwNTkyLjE5MzQ3OAEGAAAABQAAAAExAQAAAAstMTkwNzE4OTU2NQMAAAADMTYwAgAAAAYxMDAwNjAEAAAAATAHAAAACTMvMjcvMjAyNpu7FVOvjd4IEJBvlq+N3ggoQ0lRLklRNjQ3NzE5Ni5JUV9ESVZJREVORF9ZSUVMRC40LzMvMjAyNgEAAACM1WIAAwAAAAAAm7sVU6+N3gicEGmWr43eCB9DSVEuSVE2NDc3MTk2LklRX05JX01BUkdJTi4yMDAwAQAAAIzVYgACAAAABzQ1LjY0NjYBCAAAAAUAAAABMQEAAAALLTE5MDcxODk1NjMDAAAAAzE2MAIAAAAENDA5NAQAAAABMAcAAAAJMy8yOS8yMDI2CAAAAAoxMi8zMS8yMDI1CQAAAAEwm7sVU6+N3ggQkG+Wr43eCCNDSVEuSVE2NDc3MTk2LklRX0VCSVREQV9NQVJHSU4uMjAwMAEAAACM1WIAAgAAAAc2Mi42NTEzAQgAAAAFAAAAATEBAAAACy0xOTA3MTg5NTYzAwAAAAMxNjACAAAABDQwNDcEAAAAATAHAAAACTMvMjkvMjAyNggAAAAKMTIvMzEvMjAyNQkAAAABMJu7FVOvjd4IAmlvlq+N3ggkQ0lRLklRNjQ3NzE5Ni5JUV9ESUxVVF9FUFNfSU5DTC4xMDAwAQAAAIzVYgACAAAABTE2LjUyAQgAAAAFAAAAATEBAAAACy0xOTA3MTg5Njk5AwAAAAMxNjACAAAAATgEAAAAATAHAAAACTMvMjkvMjAyNggAAAAKMTIvMzEvMjAyNQkAAAABMJu7FVOvjd4IAmlvlq+N3ggxQ0lRLklRNjQ3NzE5Ni5JUV9FUFNfMVlS</t>
  </si>
  <si>
    <t>X0FOTl9HUk9XVEguMjAwMC40LzMvMjAyNgEAAACM1WIAAgAAAAcxOC45MzQ0AQgAAAAFAAAAATEBAAAACy0xOTA3MTg5NTYzAwAAAAMxNjACAAAABDQyMDAEAAAAATAHAAAACDQvMy8yMDI2CAAAAAoxMi8zMS8yMDI1CQAAAAEwm7sVU6+N3ggCaW+Wr43eCB9DSVEuSVE2NDc3MTk2LklRX1RPVEFMX1JFVi4xMDAwAQAAAIzVYgACAAAABTMyNzkxAQgAAAAFAAAAATEBAAAACy0xOTA3MTg5Njk5AwAAAAMxNjACAAAAAjI4BAAAAAEwBwAAAAkzLzI5LzIwMjYIAAAACjEyLzMxLzIwMjUJAAAAATCbuxVTr43eCAJpb5avjd4IN0NJUS5JUTY0NzcxOTYuSVFfVE9UQUxfUkVWXzFZUl9BTk5fR1JPV1RILjIwMDAuNC8zLzIwMjYBAAAAjNViAAIAAAAHMTYuNDE2MwEIAAAABQAAAAExAQAAAAstMTkwNzE4OTU2MwMAAAADMTYwAgAAAAQ0MTk0BAAAAAEwBwAAAAg0LzMvMjAyNggAAAAKMTIvMzEvMjAyNQkAAAABMJu7FVOvjd4IAmlvlq+N3ggjQ0lRLklRNjQ3NzE5Ni5JUV9DVVJSRU5UX1JBVElPLjEwMDABAAAAjNViAAIAAAAHMS4wMzQ5NwEIAAAABQAAAAExAQAAAAstMTkwNzE4OTY5OQMAAAADMTYwAgAAAAQ0MDMwBAAAAAEwBwAAAAkzLzI5LzIwMjYIAAAACjEyLzMxLzIwMjUJAAAAATCbuxVTr43eCD3SaJavjd4IIUNJUS5JUTY0NzcxOTYuSVFfUVVJQ0tfUkFUSU8uMTAwMAEAAACM1WIAAgAAAAgwLjY4MTI2</t>
  </si>
  <si>
    <t>NwEIAAAABQAAAAExAQAAAAstMTkwNzE4OTY5OQMAAAADMTYwAgAAAAQ0MTIxBAAAAAEwBwAAAAkzLzI5LzIwMjYIAAAACjEyLzMxLzIwMjUJAAAAATCbuxVTr43eCD3SaJavjd4IHkNJUS5JUTY0NzcxOTYuSVFfRUJJVF9JTlQuMTAwMAEAAACM1WIAAgAAAAkyNi44NzExOTEBCAAAAAUAAAABMQEAAAALLTE5MDcxODk2OTkDAAAAAzE2MAIAAAAENDE4OQQAAAABMAcAAAAJMy8yOS8yMDI2CAAAAAoxMi8zMS8yMDI1CQAAAAEwm7sVU6+N3gg90miWr43eCCZDSVEuSVE2NDc3MTk2LklRX0VCSVREQV9DQVBFWF9JTlQuMTAwMAEAAACM1WIAAgAAAAkyNy43NzcwMDgBCAAAAAUAAAABMQEAAAALLTE5MDcxODk2OTkDAAAAAzE2MAIAAAAENDE5MQQAAAABMAcAAAAJMy8yOS8yMDI2CAAAAAoxMi8zMS8yMDI1CQAAAAEwm7sVU6+N3gg90miWr43eCCBDSVEuSVE2NDc3MTk2LklRX0VCSVREQV9JTlQuMTAwMAEAAACM1WIAAgAAAAkyOC40NTQyOTMBCAAAAAUAAAABMQEAAAALLTE5MDcxODk2OTkDAAAAAzE2MAIAAAAENDE5MAQAAAABMAcAAAAJMy8yOS8yMDI2CAAAAAoxMi8zMS8yMDI1CQAAAAEwm7sVU6+N3gg90miWr43eCCdDSVEuSVE2NDc3MTk2LklRX1RPVEFMX0RFQlRfRVFVSVRZLjEwMDABAAAAjNViAAIAAAAIMjU2LjA0MTgBCAAAAAUAAAABMQEAAAALLTE5MDcxODk2OTkDAAAAAzE2MAIAAAAENDAzNAQA</t>
  </si>
  <si>
    <t>AAABMAcAAAAJMy8yOS8yMDI2CAAAAAoxMi8zMS8yMDI1CQAAAAEwm7sVU6+N3gg90miWr43eCCdDSVEuSVE2NDc3MTk2LklRX1RPVEFMX0RFQlRfRUJJVERBLjEwMDABAAAAjNViAAIAAAAIMC45NjUzOTEBCAAAAAUAAAABMQEAAAALLTE5MDcxODk2OTkDAAAAAzE2MAIAAAAENDE5MgQAAAABMAcAAAAJMy8yOS8yMDI2CAAAAAoxMi8zMS8yMDI1CQAAAAEwm7sVU6+N3gg90miWr43eCChDSVEuSVE2NDc3MTk2LklRX1RPVEFMX0RFQlRfQ0FQSVRBTC4xMDAwAQAAAIzVYgACAAAABzcxLjkxMzQBCAAAAAUAAAABMQEAAAALLTE5MDcxODk2OTkDAAAAAzE2MAIAAAAENDE4NgQAAAABMAcAAAAJMy8yOS8yMDI2CAAAAAoxMi8zMS8yMDI1CQAAAAEwm7sVU6+N3gg90miWr43eCCNDSVEuSVE2NDc3MTk2LklRX1JFVFVSTl9BU1NFVFMuMjAwMAEAAACM1WIAAgAAAAcyMy43MjAzAQgAAAAFAAAAATEBAAAACy0xOTA3MTg5NTYzAwAAAAMxNjACAAAABDQxNzgEAAAAATAHAAAACTMvMjkvMjAyNggAAAAKMTIvMzEvMjAyNQkAAAABMJu7FVOvjd4IPdJolq+N3ggjQ0lRLklRNjQ3NzE5Ni5JUV9SRVRVUk5fRVFVSVRZLjIwMDABAAAAjNViAAIAAAAIMjA5LjkxNTEBCAAAAAUAAAABMQEAAAALLTE5MDcxODk1NjMDAAAAAzE2MAIAAAAENDEyOAQAAAABMAcAAAAJMy8yOS8yMDI2CAAAAAoxMi8zMS8yMDI1CQAAAAEwm7sV</t>
  </si>
  <si>
    <t>U6+N3gg90miWr43eCCVDSVEuSVE2NDc3MTk2LklRX0VGRkVDVF9UQVhfUkFURS4xMDAwAQAAAIzVYgACAAAABzE5LjQzMTUBCAAAAAUAAAABMQEAAAALLTE5MDcxODk2OTkDAAAAAzE2MAIAAAAENDM3NgQAAAABMAcAAAAJMy8yOS8yMDI2CAAAAAoxMi8zMS8yMDI1CQAAAAEwm7sVU6+N3gicEGmWr43eCB5DSVEuSVE2NDc3MTk2LklRX09QRVJfSU5DLjIwMDABAAAAjNViAAIAAAAFMTk0MDEBCAAAAAUAAAABMQEAAAALLTE5MDcxODk1NjMDAAAAAzE2MAIAAAACMjEEAAAAATAHAAAACTMvMjkvMjAyNggAAAAKMTIvMzEvMjAyNQkAAAABMJu7FVOvjd4InBBplq+N3gggQ0lRLklRNjQ3NzE5Ni5JUV9UT1RBTF9ERUJULjIwMDABAAAAjNViAAIAAAAFMTk4MzMBCAAAAAUAAAABMQEAAAALLTE5MDcxODk1NjMDAAAAAzE2MAIAAAAENDE3MwQAAAABMAcAAAAJMy8yOS8yMDI2CAAAAAoxMi8zMS8yMDI1CQAAAAEwm7sVU6+N3gicEGmWr43eCCJDSVEuSVE2NDc3MTk2LklRX1RPVEFMX0VRVUlUWS4yMDAwAQAAAIzVYgACAAAABDc3NDYBCAAAAAUAAAABMQEAAAALLTE5MDcxODk1NjMDAAAAAzE2MAIAAAAEMTI3NQQAAAABMAcAAAAJMy8yOS8yMDI2CAAAAAoxMi8zMS8yMDI1CQAAAAEwm7sVU6+N3gicEGmWr43eCCBDSVEuSVE2NDc3MTk2LklRX0NBU0hfRVFVSVYuMjAwMAEAAACM1WIAAgAAAAUxMDU2NgEIAAAA</t>
  </si>
  <si>
    <t>BQAAAAExAQAAAAstMTkwNzE4OTU2MwMAAAADMTYwAgAAAAQxMDk2BAAAAAEwBwAAAAkzLzI5LzIwMjYIAAAACjEyLzMxLzIwMjUJAAAAATCbuxVTr43eCJwQaZavjd4IIkNJUS5JUTY0NzcxOTYuSVFfU1BfT1VUTE9PS19XQVRDSC4BAAAAjNViAAMAAAAGU3RhYmxlAJu7FVOvjd4IPdJolq+N3ggaQ0lRLklRNjQ3NzE5Ni5JUV9TUF9MQ19MVC4BAAAAjNViAAMAAAACQSsAm7sVU6+N3gg90miWr43eCBxDSVEuSVE2NDc3MTk2LklRX05JX0VTVC4xMDAxAQAAAIzVYgACAAAACzE3MzYyLjAyMjAxAQ4AAAAFAAAAATMBAAAAATACAAAACjEwMDE0MjA2MDYDAAAABjEwMDI1MAQAAAABMgYAAAABMAcAAAADMTYwCAAAAAEwCQAAAAExCgAAAAEwCwAAAAsxNDcwNDYzMzQ5NgwAAAABMQ0AAAAJMy8zMC8yMDI2EAAAAAkzLzI5LzIwMjabuxVTr43eCBCQb5avjd4IIUNJUS5JUTY0NzcxOTYuSVFfUkVWRU5VRV9FU1QuMTAwMQEAAACM1WIAAgAAAAkzNjk5OC4wODUBDgAAAAUAAAABMwEAAAABMAIAAAAKMTAwMTQyMDYwNgMAAAAGMTAwMTgwBAAAAAEyBgAAAAEwBwAAAAMxNjAIAAAAATAJAAAAATEKAAAAATALAAAACzE0NzA0NjMzODc1DAAAAAExDQAAAAkzLzMwLzIwMjYQAAAACTMvMjkvMjAyNpu7FVOvjd4IEJBvlq+N3gggQ0lRLklRNjQ3NzE5Ni5JUV9FQklUREFfRVNULjEwMDEBAAAAjNViAAIAAAALMjMyOTku</t>
  </si>
  <si>
    <t>ODQwMjIBDgAAAAUAAAABMwEAAAABMAIAAAAKMTAwMTQyMDYwNgMAAAAGMTAwMTg3BAAAAAEyBgAAAAEwBwAAAAMxNjAIAAAAATAJAAAAATEKAAAAATALAAAACzE0NzA0NjM0NDIxDAAAAAExDQAAAAkzLzMwLzIwMjYQAAAACTMvMjkvMjAyNpu7FVOvjd4IEJBvlq+N3ggdQ0lRLklRNjQ3NzE5Ni5JUV9FUFNfRVNULjEwMDEBAAAAjNViAAIAAAAIMTkuNTk2NTcBDgAAAAUAAAABMwEAAAAIMjczOTQ1MzgCAAAACjEwMDE0MjA2MDYDAAAABjEwMDE3MwQAAAABMgYAAAABMAcAAAADMTYwCAAAAAEwCQAAAAExCgAAAAEwCwAAAAsxNDcwNDYzNDI3MQwAAAABMQ0AAAAJMy8zMC8yMDI2EAAAAAkzLzI5LzIwMjabuxVTr43eCAJpb5avjd4IJUNJUS5JUTMzNjI0MS5JUV9DT01QQU5ZX05BTUUuNC8zLzIwMjYBAAAAcSEFAAMAAAAhQ2FwaXRhbCBPbmUgRmluYW5jaWFsIENvcnBvcmF0aW9uAA3g0Fyvjd4ITvVrlq+N3gghQ0lRLklRMzM2MjQxLklRX1NQX09VVExPT0tfV0FUQ0guAQAAAHEhBQADAAAACFBvc2l0aXZlAA3g0Fyvjd4InzFolq+N3ggZQ0lRLklRMzM2MjQxLklRX1NQX0xDX0xULgEAAABxIQUAAwAAAANCQkIADeDQXK+N3gifMWiWr43eCCFDSVEuSVEzMzYyNDEuSVFfQkVUQV81WVIuNC8zLzIwMjYBAAAAcSEFAAIAAAAQMS4xMzkwNjg4OTg2MjI4NgAN4NBcr43eCG9ZaJavjd4IHENJUS5JUTMzNjI0</t>
  </si>
  <si>
    <t>MS5JUV9QRV9FWENMLjIwMDABAAAAcSEFAAIAAAAQNTIuNDMyNDIwNjgzNjgxOAEHAAAABQAAAAExAQAAAAstMTkwNTczMDMyMQMAAAABMAIAAAAGMTAwMDY2BAAAAAEwBwAAAAkzLzI3LzIwMjYIAAAACTMvMjcvMjAyNg3g0Fyvjd4IwcBrlq+N3ggiQ0lRLklRMzM2MjQxLklRX1RFVl9UT1RBTF9SRVYuMjAwMAEAAABxIQUAAwAAAAAADeDQXK+N3gjBwGuWr43eCB9DSVEuSVEzMzYyNDEuSVFfVEVWX0VCSVREQS4yMDAwAQAAAHEhBQADAAAAAAAN4NBcr43eCE71a5avjd4IJ0NJUS5JUTMzNjI0MS5JUV9ESVZJREVORF9ZSUVMRC40LzMvMjAyNgEAAABxIQUAAwAAAAAADeDQXK+N3ghvWWiWr43eCCJDSVEuSVEzMzYyNDEuSVFfTUFSS0VUQ0FQLjQvMy8yMDI2AQAAAHEhBQACAAAADTEwOTAxNC44NzIyOTUBBgAAAAUAAAABMQEAAAALLTE5MDU3MzAxNTkDAAAAAzE2MAIAAAAGMTAwMDU0BAAAAAEwBwAAAAkzLzI3LzIwMjYN4NBcr43eCE71a5avjd4IHENJUS5JUTMzNjI0MS5JUV9URVYuNC8zLzIwMjYBAAAAcSEFAAMAAAAAAA3g0Fyvjd4ITvVrlq+N3ggiQ0lRLklRMzM2MjQxLklRX0NVUlJFTlRfUkFUSU8uMTAwMAEAAABxIQUAAwAAAAAAPgfRXK+N3gifMWiWr43eCCBDSVEuSVEzMzYyNDEuSVFfUVVJQ0tfUkFUSU8uMTAwMAEAAABxIQUAAwAAAAAAPgfRXK+N3gifMWiWr43eCB1DSVEuSVEzMzYyNDEu</t>
  </si>
  <si>
    <t>SVFfRUJJVF9JTlQuMTAwMAEAAABxIQUAAwAAAAJOQQA+B9Fcr43eCJ8xaJavjd4IJUNJUS5JUTMzNjI0MS5JUV9FQklUREFfQ0FQRVhfSU5ULjEwMDABAAAAcSEFAAMAAAACTkEAPgfRXK+N3gifMWiWr43eCB9DSVEuSVEzMzYyNDEuSVFfRUJJVERBX0lOVC4xMDAwAQAAAHEhBQADAAAAAk5BAD4H0Vyvjd4InzFolq+N3ggmQ0lRLklRMzM2MjQxLklRX1RPVEFMX0RFQlRfRVFVSVRZLjEwMDABAAAAcSEFAAMAAAAAAD4H0Vyvjd4InzFolq+N3ggmQ0lRLklRMzM2MjQxLklRX1RPVEFMX0RFQlRfRUJJVERBLjEwMDABAAAAcSEFAAMAAAACTkEAPgfRXK+N3gifMWiWr43eCCdDSVEuSVEzMzYyNDEuSVFfVE9UQUxfREVCVF9DQVBJVEFMLjEwMDABAAAAcSEFAAMAAAAAAD4H0Vyvjd4Ib1lolq+N3ggiQ0lRLklRMzM2MjQxLklRX1JFVFVSTl9BU1NFVFMuMjAwMAEAAABxIQUAAgAAAAYwLjM2MDIBCAAAAAUAAAABMQEAAAALLTE5MDU3MzAzMjEDAAAAAzE2MAIAAAAENDE3OAQAAAABMAcAAAAJMy8yOS8yMDI2CAAAAAoxMi8zMS8yMDI1CQAAAAEwPgfRXK+N3ghvWWiWr43eCCJDSVEuSVEzMzYyNDEuSVFfUkVUVVJOX0VRVUlUWS4yMDAwAQAAAHEhBQACAAAABjIuMzk0NAEIAAAABQAAAAExAQAAAAstMTkwNTczMDMyMQMAAAADMTYwAgAAAAQ0MTI4BAAAAAEwBwAAAAkzLzI5LzIwMjYIAAAACjEyLzMxLzIwMjUJ</t>
  </si>
  <si>
    <t>AAAAATA+B9Fcr43eCG9ZaJavjd4IJENJUS5JUTMzNjI0MS5JUV9FRkZFQ1RfVEFYX1JBVEUuMTAwMAEAAABxIQUAAgAAAAY4LjQ2MTIBCAAAAAUAAAABMQEAAAALLTE5MDU3MzI3MjkDAAAAAzE2MAIAAAAENDM3NgQAAAABMAcAAAAJMy8yOS8yMDI2CAAAAAoxMi8zMS8yMDI1CQAAAAEwPgfRXK+N3ghvWWiWr43eCB1DSVEuSVEzMzYyNDEuSVFfT1BFUl9JTkMuMjAwMAEAAABxIQUAAgAAAAQzNjA3AQgAAAAFAAAAATEBAAAACy0xOTA1NzMwMzIxAwAAAAMxNjACAAAAAjIxBAAAAAEwBwAAAAkzLzI5LzIwMjYIAAAACjEyLzMxLzIwMjUJAAAAATA+B9Fcr43eCG9ZaJavjd4IH0NJUS5JUTMzNjI0MS5JUV9UT1RBTF9ERUJULjIwMDABAAAAcSEFAAIAAAAFNTM4ODcBCAAAAAUAAAABMQEAAAALLTE5MDU3MzAzMjEDAAAAAzE2MAIAAAAENDE3MwQAAAABMAcAAAAJMy8yOS8yMDI2CAAAAAoxMi8zMS8yMDI1CQAAAAEwPgfRXK+N3ghvWWiWr43eCCFDSVEuSVEzMzYyNDEuSVFfVE9UQUxfRVFVSVRZLjIwMDABAAAAcSEFAAIAAAAGMTEzNjE2AQgAAAAFAAAAATEBAAAACy0xOTA1NzMwMzIxAwAAAAMxNjACAAAABDEyNzUEAAAAATAHAAAACTMvMjkvMjAyNggAAAAKMTIvMzEvMjAyNQkAAAABMD4H0Vyvjd4Ib1lolq+N3ggfQ0lRLklRMzM2MjQxLklRX0NBU0hfRVFVSVYuMjAwMAEAAABxIQUAAgAAAAU1NzQzNAEI</t>
  </si>
  <si>
    <t>AAAABQAAAAExAQAAAAstMTkwNTczMDMyMQMAAAADMTYwAgAAAAQxMDk2BAAAAAEwBwAAAAkzLzI5LzIwMjYIAAAACjEyLzMxLzIwMjUJAAAAATA+B9Fcr43eCG9ZaJavjd4IHkNJUS5JUTMzNjI0MS5JUV9OSV9NQVJHSU4uMjAwMAEAAABxIQUAAgAAAAY3LjQ4MzQBCAAAAAUAAAABMQEAAAALLTE5MDU3MzAzMjEDAAAAAzE2MAIAAAAENDA5NAQAAAABMAcAAAAJMy8yOS8yMDI2CAAAAAoxMi8zMS8yMDI1CQAAAAEwPgfRXK+N3ghO9WuWr43eCCJDSVEuSVEzMzYyNDEuSVFfRUJJVERBX01BUkdJTi4yMDAwAQAAAHEhBQADAAAAAk5BAD4H0Vyvjd4ITvVrlq+N3ggjQ0lRLklRMzM2MjQxLklRX0RJTFVUX0VQU19JTkNMLjEwMDABAAAAcSEFAAIAAAAHNC4wMzM2NgEIAAAABQAAAAExAQAAAAstMTkwNTczMjcyOQMAAAADMTYwAgAAAAE4BAAAAAEwBwAAAAkzLzI5LzIwMjYIAAAACjEyLzMxLzIwMjUJAAAAATA+B9Fcr43eCE71a5avjd4IMENJUS5JUTMzNjI0MS5JUV9FUFNfMVlSX0FOTl9HUk9XVEguMjAwMC40LzMvMjAyNgEAAABxIQUAAgAAAAgtNzAuOTk2NQEIAAAABQAAAAExAQAAAAstMTkwNTczMDMyMQMAAAADMTYwAgAAAAQ0MjAwBAAAAAEwBwAAAAg0LzMvMjAyNggAAAAKMTIvMzEvMjAyNQkAAAABMD4H0Vyvjd4ITvVrlq+N3ggeQ0lRLklRMzM2MjQxLklRX1RPVEFMX1JFVi4xMDAwAQAAAHEhBQAC</t>
  </si>
  <si>
    <t>AAAABTMyNzc5AQgAAAAFAAAAATEBAAAACy0xOTA1NzMyNzI5AwAAAAMxNjACAAAAAjI4BAAAAAEwBwAAAAkzLzI5LzIwMjYIAAAACjEyLzMxLzIwMjUJAAAAATA+B9Fcr43eCE71a5avjd4INkNJUS5JUTMzNjI0MS5JUV9UT1RBTF9SRVZfMVlSX0FOTl9HUk9XVEguMjAwMC40LzMvMjAyNgEAAABxIQUAAgAAAAcxOS42NDg4AQgAAAAFAAAAATEBAAAACy0xOTA1NzMwMzIxAwAAAAMxNjACAAAABDQxOTQEAAAAATAHAAAACDQvMy8yMDI2CAAAAAoxMi8zMS8yMDI1CQAAAAEwPgfRXK+N3ghO9WuWr43eCBtDSVEuSVEzMzYyNDEuSVFfTklfRVNULjEwMDEBAAAAcSEFAAIAAAALMTIxNDAuNTgyNjUBDgAAAAUAAAABMwEAAAABMAIAAAAKMTAwMjUzNjg0MQMAAAAGMTAwMjUwBAAAAAEyBgAAAAEwBwAAAAMxNjAIAAAAATAJAAAAATEKAAAAATALAAAACzE0NzAxNDQ3NDU3DAAAAAExDQAAAAkzLzMwLzIwMjYQAAAACTMvMjkvMjAyNj4H0Vyvjd4ITvVrlq+N3gggQ0lRLklRMzM2MjQxLklRX1JFVkVOVUVfRVNULjEwMDEBAAAAcSEFAAIAAAALNjM0NTguNjIyODYBDgAAAAUAAAABMwEAAAABMAIAAAAKMTAwMjUzNjg0MQMAAAAGMTAwMTgwBAAAAAEyBgAAAAEwBwAAAAMxNjAIAAAAATAJAAAAATEKAAAAATALAAAACzE0NzAxNDQ1MjYyDAAAAAExDQAAAAkzLzMwLzIwMjYQAAAACTMvMjkvMjAyNj4H0Vyvjd4ITvVr</t>
  </si>
  <si>
    <t>lq+N3ggfQ0lRLklRMzM2MjQxLklRX0VCSVREQV9FU1QuMTAwMQEAAABxIQUAAgAAAAU0MDk0MAEOAAAABQAAAAEzAQAAAAEwAgAAAAoxMDAyNTM2ODQxAwAAAAYxMDAxODcEAAAAATIGAAAAATAHAAAAAzE2MAgAAAABMAkAAAABMQoAAAABMAsAAAALMTQ2MzA1MDg5MTAMAAAAATENAAAACTMvMzAvMjAyNhAAAAAJMy8yOS8yMDI2PgfRXK+N3ghO9WuWr43eCBxDSVEuSVEzMzYyNDEuSVFfRVBTX0VTVC4xMDAxAQAAAHEhBQACAAAACDIwLjMxNjM0AQ4AAAAFAAAAATMBAAAABzI1OTc5OTECAAAACjEwMDI1MzY4NDEDAAAABjEwMDE3MwQAAAABMgYAAAABMAcAAAADMTYwCAAAAAEwCQAAAAExCgAAAAEwCwAAAAsxNDcwMTQ0NTMzNAwAAAABMQ0AAAAJMy8zMC8yMDI2EAAAAAkzLzI5LzIwMjY+B9Fcr43eCE71a5avjd4IJUNJUS5JUTY1ODc3Ni5JUV9DT01QQU5ZX05BTUUuNC8zLzIwMjYBAAAAWA0KAAMAAAAUSlBNb3JnYW4gQ2hhc2UgJiBDby4AJJc1aa+N3giDMG6Wr43eCCFDSVEuSVE2NTg3NzYuSVFfQkVUQV81WVIuNC8zLzIwMjYBAAAAWA0KAAIAAAAQMS4wNTg5MTAyMzM2NjQwOAAklzVpr43eCCaNZ5avjd4IHENJUS5JUTY1ODc3Ni5JUV9QRV9FWENMLjIwMDABAAAAWA0KAAIAAAAQMTQuMTI3ODcyMTI3ODcyMQEHAAAABQAAAAExAQAAAAstMTkwNjI5NzU4NwMAAAABMAIAAAAGMTAwMDY2BAAAAAEw</t>
  </si>
  <si>
    <t>BwAAAAkzLzI3LzIwMjYIAAAACTMvMjcvMjAyNiSXNWmvjd4Ik1dulq+N3ggiQ0lRLklRNjU4Nzc2LklRX1RFVl9UT1RBTF9SRVYuMjAwMAEAAABYDQoAAwAAAAAAJJc1aa+N3giTV26Wr43eCB9DSVEuSVE2NTg3NzYuSVFfVEVWX0VCSVREQS4yMDAwAQAAAFgNCgADAAAAAAAklzVpr43eCJNXbpavjd4IJ0NJUS5JUTY1ODc3Ni5JUV9ESVZJREVORF9ZSUVMRC40LzMvMjAyNgEAAABYDQoAAwAAAAAAJJc1aa+N3ggmjWeWr43eCCJDSVEuSVE2NTg3NzYuSVFfTUFSS0VUQ0FQLjQvMy8yMDI2AQAAAFgNCgACAAAADTc2MjgyOC42MzY5NDUBBgAAAAUAAAABMQEAAAALLTE5MDYyOTc1ODkDAAAAAzE2MAIAAAAGMTAwMDU0BAAAAAEwBwAAAAkzLzI3LzIwMjYklzVpr43eCJNXbpavjd4IHENJUS5JUTY1ODc3Ni5JUV9URVYuNC8zLzIwMjYBAAAAWA0KAAMAAAAAACSXNWmvjd4Ik1dulq+N3gghQ0lRLklRNjU4Nzc2LklRX1NQX09VVExPT0tfV0FUQ0guAQAAAFgNCgADAAAABlN0YWJsZQAklzVpr43eCN5lZ5avjd4IGUNJUS5JUTY1ODc3Ni5JUV9TUF9MQ19MVC4BAAAAWA0KAAMAAAABQQAklzVpr43eCN5lZ5avjd4IIkNJUS5JUTY1ODc3Ni5JUV9DVVJSRU5UX1JBVElPLjEwMDABAAAAWA0KAAMAAAAAACSXNWmvjd4I3mVnlq+N3gggQ0lRLklRNjU4Nzc2LklRX1FVSUNLX1JBVElPLjEwMDABAAAAWA0KAAMAAAAA</t>
  </si>
  <si>
    <t>ACSXNWmvjd4IJo1nlq+N3ggdQ0lRLklRNjU4Nzc2LklRX0VCSVRfSU5ULjEwMDABAAAAWA0KAAMAAAACTkEAJJc1aa+N3ggmjWeWr43eCCVDSVEuSVE2NTg3NzYuSVFfRUJJVERBX0NBUEVYX0lOVC4xMDAwAQAAAFgNCgADAAAAAk5BACSXNWmvjd4IJo1nlq+N3ggfQ0lRLklRNjU4Nzc2LklRX0VCSVREQV9JTlQuMTAwMAEAAABYDQoAAwAAAAJOQQAklzVpr43eCCaNZ5avjd4IJkNJUS5JUTY1ODc3Ni5JUV9UT1RBTF9ERUJUX0VRVUlUWS4xMDAwAQAAAFgNCgADAAAAAAAklzVpr43eCCaNZ5avjd4IJkNJUS5JUTY1ODc3Ni5JUV9UT1RBTF9ERUJUX0VCSVREQS4xMDAwAQAAAFgNCgADAAAAAk5BACSXNWmvjd4IJo1nlq+N3ggnQ0lRLklRNjU4Nzc2LklRX1RPVEFMX0RFQlRfQ0FQSVRBTC4xMDAwAQAAAFgNCgADAAAAAAAklzVpr43eCCaNZ5avjd4IIkNJUS5JUTY1ODc3Ni5JUV9SRVRVUk5fQVNTRVRTLjIwMDABAAAAWA0KAAIAAAAGMS4zNTM4AQgAAAAFAAAAATEBAAAACy0xOTA2Mjk3NTg3AwAAAAMxNjACAAAABDQxNzgEAAAAATAHAAAACTMvMjkvMjAyNggAAAAKMTIvMzEvMjAyNQkAAAABMCSXNWmvjd4IJo1nlq+N3ggiQ0lRLklRNjU4Nzc2LklRX1JFVFVSTl9FUVVJVFkuMjAwMAEAAABYDQoAAgAAAAcxNi4xMzM1AQgAAAAFAAAAATEBAAAACy0xOTA2Mjk3NTg3AwAAAAMxNjACAAAABDQxMjgEAAAA</t>
  </si>
  <si>
    <t>ATAHAAAACTMvMjkvMjAyNggAAAAKMTIvMzEvMjAyNQkAAAABMCSXNWmvjd4IJo1nlq+N3ggkQ0lRLklRNjU4Nzc2LklRX0VGRkVDVF9UQVhfUkFURS4xMDAwAQAAAFgNCgACAAAABjIxLjQxNgEIAAAABQAAAAExAQAAAAstMTkwNjI5Nzg1MgMAAAADMTYwAgAAAAQ0Mzc2BAAAAAEwBwAAAAkzLzI5LzIwMjYIAAAACjEyLzMxLzIwMjUJAAAAATAklzVpr43eCCaNZ5avjd4IHUNJUS5JUTY1ODc3Ni5JUV9PUEVSX0lOQy4yMDAwAQAAAFgNCgACAAAABTcyMTkzAQgAAAAFAAAAATEBAAAACy0xOTA2Mjk3NTg3AwAAAAMxNjACAAAAAjIxBAAAAAEwBwAAAAkzLzI5LzIwMjYIAAAACjEyLzMxLzIwMjUJAAAAATAklzVpr43eCCaNZ5avjd4IH0NJUS5JUTY1ODc3Ni5JUV9UT1RBTF9ERUJULjIwMDABAAAAWA0KAAIAAAAHMTAyNTk5NQEIAAAABQAAAAExAQAAAAstMTkwNjI5NzU4NwMAAAADMTYwAgAAAAQ0MTczBAAAAAEwBwAAAAkzLzI5LzIwMjYIAAAACjEyLzMxLzIwMjUJAAAAATAklzVpr43eCF60Z5avjd4IIUNJUS5JUTY1ODc3Ni5JUV9UT1RBTF9FUVVJVFkuMjAwMAEAAABYDQoAAgAAAAYzNjI0MzgBCAAAAAUAAAABMQEAAAALLTE5MDYyOTc1ODcDAAAAAzE2MAIAAAAEMTI3NQQAAAABMAcAAAAJMy8yOS8yMDI2CAAAAAoxMi8zMS8yMDI1CQAAAAEwJJc1aa+N3ghetGeWr43eCB9DSVEuSVE2NTg3NzYuSVFf</t>
  </si>
  <si>
    <t>Q0FTSF9FUVVJVi4yMDAwAQAAAFgNCgACAAAABjMxNDMzOAEIAAAABQAAAAExAQAAAAstMTkwNjI5NzU4NwMAAAADMTYwAgAAAAQxMDk2BAAAAAEwBwAAAAkzLzI5LzIwMjYIAAAACjEyLzMxLzIwMjUJAAAAATAklzVpr43eCF60Z5avjd4IHkNJUS5JUTY1ODc3Ni5JUV9OSV9NQVJHSU4uMjAwMAEAAABYDQoAAgAAAAczMy45MDk3AQgAAAAFAAAAATEBAAAACy0xOTA2Mjk3NTg3AwAAAAMxNjACAAAABDQwOTQEAAAAATAHAAAACTMvMjkvMjAyNggAAAAKMTIvMzEvMjAyNQkAAAABMCSXNWmvjd4Ik1dulq+N3ggiQ0lRLklRNjU4Nzc2LklRX0VCSVREQV9NQVJHSU4uMjAwMAEAAABYDQoAAwAAAAJOQQAklzVpr43eCIMwbpavjd4II0NJUS5JUTY1ODc3Ni5JUV9ESUxVVF9FUFNfSU5DTC4xMDAwAQAAAFgNCgACAAAABTIwLjAyAQgAAAAFAAAAATEBAAAACy0xOTA2Mjk3ODUyAwAAAAMxNjACAAAAATgEAAAAATAHAAAACTMvMjkvMjAyNggAAAAKMTIvMzEvMjAyNQkAAAABMCSXNWmvjd4IgzBulq+N3ggwQ0lRLklRNjU4Nzc2LklRX0VQU18xWVJfQU5OX0dST1dUSC4yMDAwLjQvMy8yMDI2AQAAAFgNCgACAAAABTEuMzY3AQgAAAAFAAAAATEBAAAACy0xOTA2Mjk3NTg3AwAAAAMxNjACAAAABDQyMDAEAAAAATAHAAAACDQvMy8yMDI2CAAAAAoxMi8zMS8yMDI1CQAAAAEwJJc1aa+N3giDMG6Wr43eCB5DSVEuSVE2</t>
  </si>
  <si>
    <t>NTg3NzYuSVFfVE9UQUxfUkVWLjEwMDABAAAAWA0KAAIAAAAGMTY4MjM1AQgAAAAFAAAAATEBAAAACy0xOTA2Mjk3ODUyAwAAAAMxNjACAAAAAjI4BAAAAAEwBwAAAAkzLzI5LzIwMjYIAAAACjEyLzMxLzIwMjUJAAAAATAklzVpr43eCIMwbpavjd4INkNJUS5JUTY1ODc3Ni5JUV9UT1RBTF9SRVZfMVlSX0FOTl9HUk9XVEguMjAwMC40LzMvMjAyNgEAAABYDQoAAgAAAAYwLjg3NTQBCAAAAAUAAAABMQEAAAALLTE5MDYyOTc1ODcDAAAAAzE2MAIAAAAENDE5NAQAAAABMAcAAAAINC8zLzIwMjYIAAAACjEyLzMxLzIwMjUJAAAAATAklzVpr43eCIMwbpavjd4IG0NJUS5JUTY1ODc3Ni5JUV9OSV9FU1QuMTAwMQEAAABYDQoAAgAAAAs1ODQ4My44NDg4OQEOAAAABQAAAAEzAQAAAAEwAgAAAAoxMDAyMTg0NDU4AwAAAAYxMDAyNTAEAAAAATIGAAAAATAHAAAAAzE2MAgAAAABMAkAAAABMQoAAAABMAsAAAALMTQ3MTI5MTk5OTYMAAAAATENAAAACTMvMzAvMjAyNhAAAAAJMy8yOS8yMDI2JJc1aa+N3giTV26Wr43eCCBDSVEuSVE2NTg3NzYuSVFfUkVWRU5VRV9FU1QuMTAwMQEAAABYDQoAAgAAAAwxOTQyMTQuNjg1MjMBDgAAAAUAAAABMwEAAAABMAIAAAAKMTAwMjE4NDQ1OAMAAAAGMTAwMTgwBAAAAAEyBgAAAAEwBwAAAAMxNjAIAAAAATAJAAAAATEKAAAAATALAAAACzE0NzEyOTIwMTI4DAAAAAExDQAAAAkz</t>
  </si>
  <si>
    <t>LzMwLzIwMjYQAAAACTMvMjkvMjAyNiSXNWmvjd4Ik1dulq+N3ggfQ0lRLklRNjU4Nzc2LklRX0VCSVREQV9FU1QuMTAwMQEAAABYDQoAAwAAAAAAJJc1aa+N3giTV26Wr43eCBxDSVEuSVE2NTg3NzYuSVFfRVBTX0VTVC4xMDAxAQAAAFgNCgACAAAACDIxLjY5OTY1AQ4AAAAFAAAAATMBAAAABzI2MjI4NzYCAAAACjEwMDIxODQ0NTgDAAAABjEwMDE3MwQAAAABMgYAAAABMAcAAAADMTYwCAAAAAEwCQAAAAExCgAAAAEwCwAAAAsxNDcxMjkyMDMyNgwAAAABMQ0AAAAJMy8zMC8yMDI2EAAAAAkzLzI5LzIwMjYklzVpr43eCIMwbpavjd4IGUNJUS4uSVFfU1BfT1VUTE9PS19XQVRDSC4FAAAAAQAAAAgAAAAUKEludmFsaWQgSWRlbnRpZmllcimc/laIr43eCJz+Voivjd4IEUNJUS4uSVFfU1BfTENfTFQuBQAAAAEAAAAIAAAAFChJbnZhbGlkIElkZW50aWZpZXIpnP5WiK+N3gic/laIr43eCBpDSVEuLklRX0NVUlJFTlRfUkFUSU8uMTAwMAUAAAABAAAACAAAABQoSW52YWxpZCBJZGVudGlmaWVyKZz+Voivjd4InP5WiK+N3ggYQ0lRLi5JUV9RVUlDS19SQVRJTy4xMDAwBQAAAAEAAAAIAAAAFChJbnZhbGlkIElkZW50aWZpZXIpnP5WiK+N3gic/laIr43eCBVDSVEuLklRX0VCSVRfSU5ULjEwMDAFAAAAAQAAAAgAAAAUKEludmFsaWQgSWRlbnRpZmllcimc/laIr43eCJz+Voivjd4IHUNJUS4uSVFfRUJJVERB</t>
  </si>
  <si>
    <t>X0NBUEVYX0lOVC4xMDAwBQAAAAEAAAAIAAAAFChJbnZhbGlkIElkZW50aWZpZXIpnP5WiK+N3gic/laIr43eCBdDSVEuLklRX0VCSVREQV9JTlQuMTAwMAUAAAABAAAACAAAABQoSW52YWxpZCBJZGVudGlmaWVyKZz+Voivjd4InP5WiK+N3ggeQ0lRLi5JUV9UT1RBTF9ERUJUX0VRVUlUWS4xMDAwBQAAAAEAAAAIAAAAFChJbnZhbGlkIElkZW50aWZpZXIpnP5WiK+N3gic/laIr43eCB5DSVEuLklRX1RPVEFMX0RFQlRfRUJJVERBLjEwMDAFAAAAAQAAAAgAAAAUKEludmFsaWQgSWRlbnRpZmllcimc/laIr43eCJz+Voivjd4IH0NJUS4uSVFfVE9UQUxfREVCVF9DQVBJVEFMLjEwMDAFAAAAAQAAAAgAAAAUKEludmFsaWQgSWRlbnRpZmllcimc/laIr43eCJz+Voivjd4IGkNJUS4uSVFfUkVUVVJOX0FTU0VUUy4yMDAwBQAAAAEAAAAIAAAAFChJbnZhbGlkIElkZW50aWZpZXIpnP5WiK+N3gic/laIr43eCBpDSVEuLklRX1JFVFVSTl9FUVVJVFkuMjAwMAUAAAABAAAACAAAABQoSW52YWxpZCBJZGVudGlmaWVyKZz+Voivjd4InP5WiK+N3ggfQ0lRLi5JUV9ESVZJREVORF9ZSUVMRC40LzMvMjAyNgUAAAABAAAACAAAABQoSW52YWxpZCBJZGVudGlmaWVyKZz+Voivjd4InP5WiK+N3ggZQ0lRLi5JUV9CRVRBXzVZUi40LzMvMjAyNgUAAAABAAAACAAAABQoSW52YWxpZCBJZGVudGlmaWVyKZz+Voivjd4InP5W</t>
  </si>
  <si>
    <t>iK+N3ggcQ0lRLi5JUV9FRkZFQ1RfVEFYX1JBVEUuMTAwMAUAAAABAAAACAAAABQoSW52YWxpZCBJZGVudGlmaWVyKZz+Voivjd4InP5WiK+N3ggaQ0lRLi5JUV9NQVJLRVRDQVAuNC8zLzIwMjYFAAAAAQAAAAgAAAAUKEludmFsaWQgSWRlbnRpZmllcik2UleIr43eCDZSV4ivjd4IFENJUS4uSVFfUEVfRVhDTC4yMDAwBQAAAAEAAAAIAAAAFChJbnZhbGlkIElkZW50aWZpZXIpNlJXiK+N3gg2UleIr43eCBRDSVEuLklRX1RFVi40LzMvMjAyNgUAAAABAAAACAAAABQoSW52YWxpZCBJZGVudGlmaWVyKTZSV4ivjd4INlJXiK+N3ggaQ0lRLi5JUV9URVZfVE9UQUxfUkVWLjIwMDAFAAAAAQAAAAgAAAAUKEludmFsaWQgSWRlbnRpZmllcik2UleIr43eCDZSV4ivjd4IF0NJUS4uSVFfVEVWX0VCSVREQS4yMDAwBQAAAAEAAAAIAAAAFChJbnZhbGlkIElkZW50aWZpZXIpNlJXiK+N3gg2UleIr43eCBNDSVEuLklRX05JX0VTVC4xMDAxBQAAAAEAAAAIAAAAFChJbnZhbGlkIElkZW50aWZpZXIpNlJXiK+N3gg2UleIr43eCBZDSVEuLklRX05JX01BUkdJTi4yMDAwBQAAAAEAAAAIAAAAFChJbnZhbGlkIElkZW50aWZpZXIpNlJXiK+N3gg2UleIr43eCBdDSVEuLklRX0VCSVREQV9FU1QuMTAwMQUAAAABAAAACAAAABQoSW52YWxpZCBJZGVudGlmaWVyKTZSV4ivjd4INlJXiK+N3ggaQ0lRLi5JUV9FQklUREFfTUFS</t>
  </si>
  <si>
    <t>R0lOLjIwMDAFAAAAAQAAAAgAAAAUKEludmFsaWQgSWRlbnRpZmllcik2UleIr43eCDZSV4ivjd4IFENJUS4uSVFfRVBTX0VTVC4xMDAxBQAAAAEAAAAIAAAAFChJbnZhbGlkIElkZW50aWZpZXIpNlJXiK+N3gg2UleIr43eCChDSVEuLklRX0VQU18xWVJfQU5OX0dST1dUSC4yMDAwLjQvMy8yMDI2BQAAAAEAAAAIAAAAFChJbnZhbGlkIElkZW50aWZpZXIpNlJXiK+N3gg2UleIr43eCBhDSVEuLklRX1JFVkVOVUVfRVNULjEwMDEFAAAAAQAAAAgAAAAUKEludmFsaWQgSWRlbnRpZmllcik2UleIr43eCDZSV4ivjd4ILkNJUS4uSVFfVE9UQUxfUkVWXzFZUl9BTk5fR1JPV1RILjIwMDAuNC8zLzIwMjYFAAAAAQAAAAgAAAAUKEludmFsaWQgSWRlbnRpZmllcik2UleIr43eCDZSV4ivjd4IHUNJUS4uSVFfQ09NUEFOWV9OQU1FLjQvMy8yMDI2BQAAAAEAAAAIAAAAFChJbnZhbGlkIElkZW50aWZpZXIpNlJXiK+N3gg2UleIr43eCA==</t>
  </si>
  <si>
    <t>Dividend Discount Model</t>
  </si>
  <si>
    <t>Net Income to Common Shareholders</t>
  </si>
  <si>
    <t>Dividends Paid to Common Shareholders</t>
  </si>
  <si>
    <t>Discountable Dividends</t>
  </si>
  <si>
    <t>Present Value of Future Dividends</t>
  </si>
  <si>
    <t>Terminal Year Net Income:</t>
  </si>
  <si>
    <t>PV of Stage 1 Dividends:</t>
  </si>
  <si>
    <t>Terminal Year Dividend</t>
  </si>
  <si>
    <t>Diluted Shares O/S</t>
  </si>
  <si>
    <t>DDM</t>
  </si>
  <si>
    <t>2.7x</t>
  </si>
  <si>
    <t>2.6x</t>
  </si>
  <si>
    <t>Report</t>
  </si>
  <si>
    <t>N/A</t>
  </si>
  <si>
    <t>Historical Median</t>
  </si>
  <si>
    <t>Historical Medians</t>
  </si>
  <si>
    <t>1Q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</si>
</sst>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8">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0_);[Red]\(&quot;$&quot;#,##0.0\)"/>
    <numFmt numFmtId="165" formatCode="_(* #,##0.0_);_(* \(#,##0.0\);_(* &quot;-&quot;?_);_(@_)"/>
    <numFmt numFmtId="166" formatCode="#,##0.0%_);\(#,##0.0%\)"/>
    <numFmt numFmtId="167" formatCode="#,##0.0%_);\(#,##0.0%_)"/>
    <numFmt numFmtId="168" formatCode="#,##0.0_);\(#,##0.0\)"/>
    <numFmt numFmtId="169" formatCode="0.0%"/>
    <numFmt numFmtId="170" formatCode="yyyy&quot;A&quot;"/>
    <numFmt numFmtId="171" formatCode="yyyy&quot;E&quot;"/>
    <numFmt numFmtId="172" formatCode="0.0\x_);\(0.0\x\)"/>
    <numFmt numFmtId="173" formatCode="&quot;$&quot;#,##0.00"/>
    <numFmt numFmtId="174" formatCode="0.0&quot;x&quot;"/>
    <numFmt numFmtId="175" formatCode="_([$$-409]* #,##0_);_([$$-409]* \(#,##0\);_([$$-409]* &quot;-&quot;??_);_(@_)"/>
    <numFmt numFmtId="176" formatCode="_(&quot;$&quot;* #,##0.0_);_(&quot;$&quot;* \(#,##0.0\);_(&quot;$&quot;* &quot;-&quot;?_);_(@_)"/>
    <numFmt numFmtId="177" formatCode="_(* #,##0.00_);_(* \(#,##0.00\);_(* &quot;-&quot;?_);_(@_)"/>
    <numFmt numFmtId="178" formatCode="&quot;Check!&quot;;&quot;Check!&quot;;&quot;OK!&quot;"/>
    <numFmt numFmtId="179" formatCode="&quot;$&quot;#,##0.0_);\(&quot;$&quot;#,##0.0\)"/>
    <numFmt numFmtId="180" formatCode="0.0%;\(0.0%\)"/>
    <numFmt numFmtId="181" formatCode="_(* #,##0.0_);_(* \(#,##0.0\);_(* &quot;-&quot;??_);_(@_)"/>
    <numFmt numFmtId="182" formatCode="0.00\x;\(0.00\x\)"/>
    <numFmt numFmtId="183" formatCode="0.0\x;\(0.0\x\)"/>
    <numFmt numFmtId="184" formatCode="0.0;\(0.0\)"/>
    <numFmt numFmtId="185" formatCode="#.#;\(#.#\)"/>
    <numFmt numFmtId="186" formatCode="#,##0.0;\(#,##0.0\)"/>
    <numFmt numFmtId="187" formatCode="&quot;$&quot;#,##0.00_);\(&quot;$&quot;#,##0.00\);&quot;OK!&quot;"/>
    <numFmt numFmtId="188" formatCode="#.#\x;\(#.#\x\)"/>
    <numFmt numFmtId="189" formatCode="#,##0.000000_);\(#,##0.000000\)"/>
    <numFmt numFmtId="190" formatCode="0.00%;\(0.00%\)"/>
    <numFmt numFmtId="191" formatCode="&quot;$&quot;#,##0.0"/>
    <numFmt numFmtId="192" formatCode="#,##0.0%_);\(#,##0.0%\);_(@_)"/>
    <numFmt numFmtId="193" formatCode="#,##0.0%_);\(#,##0.0\)%"/>
    <numFmt numFmtId="194" formatCode="[$-409]d\-mmm"/>
    <numFmt numFmtId="195" formatCode="0.0\x"/>
    <numFmt numFmtId="196" formatCode="0.00_);\(0.00\)"/>
    <numFmt numFmtId="197" formatCode="#,##0.0\x_);\(#,##0.0\x_)"/>
    <numFmt numFmtId="198" formatCode="_(0.0%_);\(0.0%\);_(&quot;-&quot;_)_%"/>
    <numFmt numFmtId="199" formatCode="0.0"/>
    <numFmt numFmtId="200" formatCode="&quot;&quot;"/>
    <numFmt numFmtId="201" formatCode="#,##0.00%_);\(#,##0.00%\)"/>
    <numFmt numFmtId="202" formatCode="&quot;$&quot;#,##0"/>
    <numFmt numFmtId="203" formatCode="#,##0.00%_);\(#,##0.00%_)"/>
    <numFmt numFmtId="204" formatCode="0.0\ \x"/>
    <numFmt numFmtId="205" formatCode="#,##0.0%_);\(#,##0.0%\);* &quot;-&quot;;_(@_)"/>
    <numFmt numFmtId="206" formatCode="0.00%_);\(0.00%\)"/>
    <numFmt numFmtId="207" formatCode="_(&quot;$&quot;* #,##0.0_);_(&quot;$&quot;* \(#,##0.0\);_(&quot;$&quot;* &quot;-&quot;??_);_(@_)"/>
    <numFmt numFmtId="208" formatCode="#,##0.0%_);\(#,##0.0%\);&quot;-&quot;"/>
    <numFmt numFmtId="209" formatCode="_(&quot;$&quot;* #,##0_);_(&quot;$&quot;* \(#,##0\);_(&quot;$&quot;* &quot;-&quot;??_);_(@_)"/>
    <numFmt numFmtId="210" formatCode="yyyy"/>
    <numFmt numFmtId="211" formatCode="#,##0.0\x_);\(#,##0.0\x\);&quot;-&quot;"/>
    <numFmt numFmtId="212" formatCode="0.00;\(0.00\)"/>
    <numFmt numFmtId="213" formatCode="#,##0.0\x_);\(#,##0.0\x\)"/>
    <numFmt numFmtId="214" formatCode="mm/dd/yyyy"/>
    <numFmt numFmtId="215" formatCode="0.00000"/>
  </numFmts>
  <fonts count="70" x14ac:knownFonts="1">
    <font>
      <sz val="11"/>
      <color theme="1"/>
      <name val="Calibri"/>
      <scheme val="minor"/>
    </font>
    <font>
      <sz val="11"/>
      <color rgb="FFC8C8C8"/>
      <name val="Abadi"/>
      <family val="2"/>
    </font>
    <font>
      <sz val="11"/>
      <color theme="1"/>
      <name val="Abadi"/>
      <family val="2"/>
    </font>
    <font>
      <sz val="10"/>
      <color rgb="FF000000"/>
      <name val="Abadi"/>
      <family val="2"/>
    </font>
    <font>
      <sz val="11"/>
      <color theme="0"/>
      <name val="Abadi"/>
      <family val="2"/>
    </font>
    <font>
      <sz val="11"/>
      <name val="Calibri"/>
      <family val="2"/>
    </font>
    <font>
      <sz val="10"/>
      <color theme="1"/>
      <name val="Abadi"/>
      <family val="2"/>
    </font>
    <font>
      <u/>
      <sz val="11"/>
      <color theme="1"/>
      <name val="Abadi"/>
      <family val="2"/>
    </font>
    <font>
      <u/>
      <sz val="14"/>
      <color theme="1"/>
      <name val="Abadi"/>
      <family val="2"/>
    </font>
    <font>
      <i/>
      <sz val="11"/>
      <color theme="1"/>
      <name val="Abadi"/>
      <family val="2"/>
    </font>
    <font>
      <sz val="11"/>
      <color rgb="FF0000FF"/>
      <name val="Abadi"/>
      <family val="2"/>
    </font>
    <font>
      <sz val="10"/>
      <color rgb="FFC8C8C8"/>
      <name val="Abadi"/>
      <family val="2"/>
    </font>
    <font>
      <sz val="10"/>
      <color theme="0"/>
      <name val="Abadi"/>
      <family val="2"/>
    </font>
    <font>
      <sz val="10"/>
      <color rgb="FF008000"/>
      <name val="Abadi"/>
      <family val="2"/>
    </font>
    <font>
      <sz val="11"/>
      <color rgb="FF008000"/>
      <name val="Abadi"/>
      <family val="2"/>
    </font>
    <font>
      <sz val="10"/>
      <color rgb="FF0000FF"/>
      <name val="Abadi"/>
      <family val="2"/>
    </font>
    <font>
      <sz val="10"/>
      <color rgb="FF0000FF"/>
      <name val="Arial"/>
      <family val="2"/>
    </font>
    <font>
      <u/>
      <sz val="11"/>
      <color theme="10"/>
      <name val="Abadi"/>
      <family val="2"/>
    </font>
    <font>
      <sz val="10"/>
      <color rgb="FF7F7F7F"/>
      <name val="Abadi"/>
      <family val="2"/>
    </font>
    <font>
      <sz val="10"/>
      <color rgb="FFC00000"/>
      <name val="Abadi"/>
      <family val="2"/>
    </font>
    <font>
      <sz val="11"/>
      <color theme="0"/>
      <name val="Garamond"/>
      <family val="1"/>
    </font>
    <font>
      <i/>
      <sz val="10"/>
      <color theme="1"/>
      <name val="Abadi"/>
      <family val="2"/>
    </font>
    <font>
      <sz val="16"/>
      <color theme="1"/>
      <name val="Abadi"/>
      <family val="2"/>
    </font>
    <font>
      <sz val="11"/>
      <color theme="1"/>
      <name val="Calibri"/>
      <family val="2"/>
    </font>
    <font>
      <sz val="1"/>
      <color theme="1"/>
      <name val="Abadi"/>
      <family val="2"/>
    </font>
    <font>
      <sz val="1"/>
      <color theme="0"/>
      <name val="Abadi"/>
      <family val="2"/>
    </font>
    <font>
      <sz val="10"/>
      <color theme="1"/>
      <name val="Arial"/>
      <family val="2"/>
    </font>
    <font>
      <u/>
      <sz val="11"/>
      <color theme="1"/>
      <name val="Abadi"/>
      <family val="2"/>
    </font>
    <font>
      <sz val="10"/>
      <color rgb="FFB4B4B4"/>
      <name val="Abadi"/>
      <family val="2"/>
    </font>
    <font>
      <u/>
      <sz val="11"/>
      <color theme="1"/>
      <name val="Abadi"/>
      <family val="2"/>
    </font>
    <font>
      <sz val="11"/>
      <color rgb="FF000000"/>
      <name val="Abadi"/>
      <family val="2"/>
    </font>
    <font>
      <u/>
      <sz val="10"/>
      <color theme="1"/>
      <name val="Abadi"/>
      <family val="2"/>
    </font>
    <font>
      <sz val="10"/>
      <color rgb="FFD8D8D8"/>
      <name val="Abadi"/>
      <family val="2"/>
    </font>
    <font>
      <sz val="10"/>
      <color rgb="FFFFFFFF"/>
      <name val="Abadi"/>
      <family val="2"/>
    </font>
    <font>
      <sz val="10"/>
      <color rgb="FF002060"/>
      <name val="Abadi"/>
      <family val="2"/>
    </font>
    <font>
      <i/>
      <sz val="10"/>
      <color rgb="FFD8D8D8"/>
      <name val="Abadi Extra Light"/>
      <family val="2"/>
    </font>
    <font>
      <i/>
      <sz val="10"/>
      <color theme="1"/>
      <name val="Abadi Extra Light"/>
      <family val="2"/>
    </font>
    <font>
      <i/>
      <sz val="10"/>
      <color rgb="FF000000"/>
      <name val="Abadi"/>
      <family val="2"/>
    </font>
    <font>
      <i/>
      <sz val="10"/>
      <color rgb="FF008000"/>
      <name val="Abadi Extra Light"/>
      <family val="2"/>
    </font>
    <font>
      <i/>
      <sz val="10"/>
      <color rgb="FFD8D8D8"/>
      <name val="Abadi"/>
      <family val="2"/>
    </font>
    <font>
      <i/>
      <sz val="10"/>
      <color rgb="FF008000"/>
      <name val="Abadi"/>
      <family val="2"/>
    </font>
    <font>
      <i/>
      <sz val="10"/>
      <color rgb="FF0000FF"/>
      <name val="Abadi"/>
      <family val="2"/>
    </font>
    <font>
      <u/>
      <sz val="11"/>
      <color rgb="FFD8D8D8"/>
      <name val="Abadi"/>
      <family val="2"/>
    </font>
    <font>
      <sz val="11"/>
      <color rgb="FFD8D8D8"/>
      <name val="Abadi"/>
      <family val="2"/>
    </font>
    <font>
      <u/>
      <sz val="11"/>
      <color theme="0"/>
      <name val="Abadi"/>
      <family val="2"/>
    </font>
    <font>
      <u/>
      <sz val="10"/>
      <color theme="0"/>
      <name val="Abadi"/>
      <family val="2"/>
    </font>
    <font>
      <u/>
      <sz val="10"/>
      <color rgb="FFFFFFFF"/>
      <name val="Abadi"/>
      <family val="2"/>
    </font>
    <font>
      <u/>
      <sz val="10"/>
      <color theme="1"/>
      <name val="Abadi"/>
      <family val="2"/>
    </font>
    <font>
      <u/>
      <sz val="10"/>
      <color theme="1"/>
      <name val="Abadi"/>
      <family val="2"/>
    </font>
    <font>
      <u/>
      <sz val="10"/>
      <color rgb="FF000000"/>
      <name val="Abadi"/>
      <family val="2"/>
    </font>
    <font>
      <i/>
      <sz val="10"/>
      <color theme="0"/>
      <name val="Abadi"/>
      <family val="2"/>
    </font>
    <font>
      <b/>
      <sz val="24"/>
      <color rgb="FFFFFFFF"/>
      <name val="Abadi"/>
      <family val="2"/>
    </font>
    <font>
      <b/>
      <sz val="10"/>
      <color theme="1"/>
      <name val="Abadi"/>
      <family val="2"/>
    </font>
    <font>
      <sz val="10"/>
      <color rgb="FF00355F"/>
      <name val="Abadi"/>
      <family val="2"/>
    </font>
    <font>
      <i/>
      <sz val="11"/>
      <color theme="1"/>
      <name val="Garamond"/>
      <family val="1"/>
    </font>
    <font>
      <u/>
      <sz val="14"/>
      <color rgb="FF000000"/>
      <name val="Abadi"/>
      <family val="2"/>
    </font>
    <font>
      <sz val="11"/>
      <color rgb="FFFF0000"/>
      <name val="Abadi"/>
      <family val="2"/>
    </font>
    <font>
      <sz val="10"/>
      <color rgb="FF760000"/>
      <name val="Abadi"/>
      <family val="2"/>
    </font>
    <font>
      <sz val="10"/>
      <color rgb="FFB40000"/>
      <name val="Abadi"/>
      <family val="2"/>
    </font>
    <font>
      <sz val="10"/>
      <color rgb="FFFF0000"/>
      <name val="Abadi"/>
      <family val="2"/>
    </font>
    <font>
      <sz val="9"/>
      <color indexed="81"/>
      <name val="Tahoma"/>
      <family val="2"/>
    </font>
    <font>
      <b/>
      <sz val="9"/>
      <color indexed="81"/>
      <name val="Tahoma"/>
      <family val="2"/>
    </font>
    <font>
      <sz val="10"/>
      <color theme="1"/>
      <name val="Abadi"/>
      <family val="2"/>
    </font>
    <font>
      <sz val="10"/>
      <name val="Abadi"/>
      <family val="2"/>
    </font>
    <font>
      <sz val="10"/>
      <color rgb="FF008000"/>
      <name val="Abadi"/>
      <family val="2"/>
    </font>
    <font>
      <sz val="11"/>
      <color theme="1"/>
      <name val="Calibri"/>
      <scheme val="minor"/>
    </font>
    <font>
      <sz val="9"/>
      <color indexed="81"/>
      <name val="Tahoma"/>
      <charset val="1"/>
    </font>
    <font>
      <b/>
      <sz val="9"/>
      <color indexed="81"/>
      <name val="Tahoma"/>
      <charset val="1"/>
    </font>
    <font>
      <sz val="11"/>
      <color theme="0"/>
      <name val="Calibri"/>
      <family val="2"/>
      <scheme val="minor"/>
    </font>
    <font>
      <b/>
      <sz val="11"/>
      <color theme="1"/>
      <name val="Calibri"/>
      <family val="2"/>
      <scheme val="minor"/>
    </font>
  </fonts>
  <fills count="24">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
      <patternFill patternType="solid">
        <fgColor rgb="FFEBEBEB"/>
        <bgColor rgb="FFD7D7D7"/>
      </patternFill>
    </fill>
    <fill>
      <patternFill patternType="solid">
        <fgColor rgb="FF00355F"/>
        <bgColor indexed="64"/>
      </patternFill>
    </fill>
    <fill>
      <patternFill patternType="solid">
        <fgColor theme="6" tint="0.79998168889431442"/>
        <bgColor indexed="64"/>
      </patternFill>
    </fill>
    <fill>
      <patternFill patternType="solid">
        <fgColor rgb="FFF0F0F0"/>
        <bgColor indexed="64"/>
      </patternFill>
    </fill>
  </fills>
  <borders count="132">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diagonal/>
    </border>
    <border>
      <left/>
      <right/>
      <top/>
      <bottom/>
      <diagonal/>
    </border>
    <border>
      <left/>
      <right/>
      <top/>
      <bottom/>
      <diagonal/>
    </border>
    <border>
      <left/>
      <right/>
      <top/>
      <bottom/>
      <diagonal/>
    </border>
    <border>
      <left/>
      <right/>
      <top/>
      <bottom style="medium">
        <color theme="0"/>
      </bottom>
      <diagonal/>
    </border>
    <border>
      <left/>
      <right/>
      <top/>
      <bottom style="medium">
        <color theme="0"/>
      </bottom>
      <diagonal/>
    </border>
    <border>
      <left/>
      <right/>
      <top/>
      <bottom style="medium">
        <color theme="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style="medium">
        <color theme="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style="thin">
        <color rgb="FF000000"/>
      </left>
      <right style="thin">
        <color rgb="FF000000"/>
      </right>
      <top/>
      <bottom style="thin">
        <color rgb="FF00000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dotted">
        <color rgb="FF000000"/>
      </top>
      <bottom style="dotted">
        <color rgb="FF000000"/>
      </bottom>
      <diagonal/>
    </border>
    <border>
      <left/>
      <right/>
      <top/>
      <bottom style="dotted">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thin">
        <color rgb="FF000000"/>
      </top>
      <bottom/>
      <diagonal/>
    </border>
    <border>
      <left/>
      <right/>
      <top style="thin">
        <color rgb="FF000000"/>
      </top>
      <bottom/>
      <diagonal/>
    </border>
    <border>
      <left style="hair">
        <color rgb="FF000000"/>
      </left>
      <right/>
      <top/>
      <bottom/>
      <diagonal/>
    </border>
    <border>
      <left/>
      <right style="hair">
        <color rgb="FF000000"/>
      </right>
      <top/>
      <bottom/>
      <diagonal/>
    </border>
    <border>
      <left/>
      <right/>
      <top style="thin">
        <color rgb="FF000000"/>
      </top>
      <bottom style="thin">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medium">
        <color theme="0"/>
      </left>
      <right/>
      <top/>
      <bottom/>
      <diagonal/>
    </border>
    <border>
      <left style="medium">
        <color rgb="FF000000"/>
      </left>
      <right/>
      <top/>
      <bottom/>
      <diagonal/>
    </border>
    <border>
      <left style="medium">
        <color rgb="FF000000"/>
      </left>
      <right/>
      <top/>
      <bottom style="medium">
        <color rgb="FF000000"/>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hair">
        <color auto="1"/>
      </left>
      <right/>
      <top style="thin">
        <color indexed="64"/>
      </top>
      <bottom/>
      <diagonal/>
    </border>
    <border>
      <left/>
      <right style="hair">
        <color auto="1"/>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hair">
        <color auto="1"/>
      </left>
      <right/>
      <top/>
      <bottom/>
      <diagonal/>
    </border>
    <border>
      <left/>
      <right style="hair">
        <color auto="1"/>
      </right>
      <top/>
      <bottom/>
      <diagonal/>
    </border>
    <border>
      <left/>
      <right/>
      <top style="dashed">
        <color indexed="64"/>
      </top>
      <bottom style="dashed">
        <color indexed="64"/>
      </bottom>
      <diagonal/>
    </border>
    <border>
      <left style="hair">
        <color auto="1"/>
      </left>
      <right/>
      <top style="dashed">
        <color indexed="64"/>
      </top>
      <bottom style="dashed">
        <color indexed="64"/>
      </bottom>
      <diagonal/>
    </border>
    <border>
      <left/>
      <right style="hair">
        <color auto="1"/>
      </right>
      <top style="dashed">
        <color indexed="64"/>
      </top>
      <bottom style="dashed">
        <color indexed="64"/>
      </bottom>
      <diagonal/>
    </border>
    <border>
      <left/>
      <right style="dashed">
        <color indexed="64"/>
      </right>
      <top style="dashed">
        <color indexed="64"/>
      </top>
      <bottom style="dashed">
        <color indexed="64"/>
      </bottom>
      <diagonal/>
    </border>
    <border>
      <left style="dotted">
        <color indexed="64"/>
      </left>
      <right/>
      <top style="dashed">
        <color indexed="64"/>
      </top>
      <bottom style="dashed">
        <color indexed="64"/>
      </bottom>
      <diagonal/>
    </border>
    <border>
      <left/>
      <right style="dashed">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s>
  <cellStyleXfs count="2">
    <xf numFmtId="0" fontId="0" fillId="0" borderId="0"/>
    <xf numFmtId="43" fontId="65" fillId="0" borderId="0" applyFont="0" applyFill="0" applyBorder="0" applyAlignment="0" applyProtection="0"/>
  </cellStyleXfs>
  <cellXfs count="1008">
    <xf numFmtId="0" fontId="0" fillId="0" borderId="0" xfId="0"/>
    <xf numFmtId="0" fontId="1" fillId="0" borderId="0" xfId="0" applyFont="1"/>
    <xf numFmtId="0" fontId="2" fillId="0" borderId="0" xfId="0" applyFont="1"/>
    <xf numFmtId="0" fontId="3" fillId="0" borderId="0" xfId="0" applyFont="1"/>
    <xf numFmtId="0" fontId="7" fillId="0" borderId="0" xfId="0" applyFont="1"/>
    <xf numFmtId="0" fontId="8" fillId="0" borderId="0" xfId="0" applyFont="1"/>
    <xf numFmtId="0" fontId="4" fillId="2" borderId="4" xfId="0" applyFont="1" applyFill="1" applyBorder="1" applyAlignment="1">
      <alignment horizontal="center"/>
    </xf>
    <xf numFmtId="0" fontId="9" fillId="0" borderId="0" xfId="0" applyFont="1"/>
    <xf numFmtId="0" fontId="10" fillId="3" borderId="4" xfId="0" applyFont="1" applyFill="1" applyBorder="1" applyAlignment="1">
      <alignment horizontal="center"/>
    </xf>
    <xf numFmtId="0" fontId="6" fillId="0" borderId="0" xfId="0" applyFont="1"/>
    <xf numFmtId="0" fontId="11" fillId="0" borderId="0" xfId="0" applyFont="1"/>
    <xf numFmtId="0" fontId="12" fillId="2" borderId="5" xfId="0" applyFont="1" applyFill="1" applyBorder="1"/>
    <xf numFmtId="0" fontId="12" fillId="2" borderId="6" xfId="0" applyFont="1" applyFill="1" applyBorder="1"/>
    <xf numFmtId="0" fontId="12" fillId="2" borderId="7" xfId="0" applyFont="1" applyFill="1" applyBorder="1"/>
    <xf numFmtId="0" fontId="2" fillId="0" borderId="9" xfId="0" applyFont="1" applyBorder="1"/>
    <xf numFmtId="164" fontId="13" fillId="0" borderId="10" xfId="0" applyNumberFormat="1" applyFont="1" applyBorder="1"/>
    <xf numFmtId="0" fontId="2" fillId="0" borderId="11" xfId="0" applyFont="1" applyBorder="1" applyAlignment="1">
      <alignment horizontal="center"/>
    </xf>
    <xf numFmtId="0" fontId="2" fillId="0" borderId="12" xfId="0" applyFont="1" applyBorder="1" applyAlignment="1">
      <alignment horizontal="center"/>
    </xf>
    <xf numFmtId="165" fontId="13" fillId="0" borderId="10" xfId="0" applyNumberFormat="1" applyFont="1" applyBorder="1"/>
    <xf numFmtId="0" fontId="2" fillId="0" borderId="10" xfId="0" applyFont="1" applyBorder="1"/>
    <xf numFmtId="0" fontId="14" fillId="0" borderId="10" xfId="0" applyFont="1" applyBorder="1"/>
    <xf numFmtId="6" fontId="13" fillId="0" borderId="0" xfId="0" applyNumberFormat="1" applyFont="1"/>
    <xf numFmtId="166" fontId="13" fillId="0" borderId="10" xfId="0" applyNumberFormat="1" applyFont="1" applyBorder="1"/>
    <xf numFmtId="0" fontId="2" fillId="0" borderId="13" xfId="0" applyFont="1" applyBorder="1"/>
    <xf numFmtId="0" fontId="2" fillId="0" borderId="14" xfId="0" applyFont="1" applyBorder="1"/>
    <xf numFmtId="5" fontId="13" fillId="0" borderId="15" xfId="0" applyNumberFormat="1" applyFont="1" applyBorder="1"/>
    <xf numFmtId="0" fontId="9" fillId="0" borderId="16" xfId="0" applyFont="1" applyBorder="1" applyAlignment="1">
      <alignment horizontal="left"/>
    </xf>
    <xf numFmtId="0" fontId="2" fillId="0" borderId="17" xfId="0" applyFont="1" applyBorder="1"/>
    <xf numFmtId="166" fontId="13" fillId="0" borderId="18" xfId="0" applyNumberFormat="1" applyFont="1" applyBorder="1"/>
    <xf numFmtId="0" fontId="2" fillId="0" borderId="16" xfId="0" applyFont="1" applyBorder="1"/>
    <xf numFmtId="6" fontId="13" fillId="0" borderId="17" xfId="0" applyNumberFormat="1" applyFont="1" applyBorder="1"/>
    <xf numFmtId="0" fontId="15" fillId="5" borderId="4" xfId="0" applyFont="1" applyFill="1" applyBorder="1" applyAlignment="1">
      <alignment horizontal="center"/>
    </xf>
    <xf numFmtId="0" fontId="15" fillId="0" borderId="0" xfId="0" applyFont="1" applyAlignment="1">
      <alignment horizontal="center"/>
    </xf>
    <xf numFmtId="0" fontId="6" fillId="3" borderId="5" xfId="0" applyFont="1" applyFill="1" applyBorder="1"/>
    <xf numFmtId="0" fontId="6" fillId="3" borderId="6" xfId="0" applyFont="1" applyFill="1" applyBorder="1"/>
    <xf numFmtId="0" fontId="6" fillId="3" borderId="7" xfId="0" applyFont="1" applyFill="1" applyBorder="1" applyAlignment="1">
      <alignment horizontal="center"/>
    </xf>
    <xf numFmtId="0" fontId="4" fillId="2" borderId="5" xfId="0" applyFont="1" applyFill="1" applyBorder="1"/>
    <xf numFmtId="0" fontId="12" fillId="0" borderId="0" xfId="0" applyFont="1"/>
    <xf numFmtId="0" fontId="6" fillId="0" borderId="0" xfId="0" applyFont="1" applyAlignment="1">
      <alignment vertical="center"/>
    </xf>
    <xf numFmtId="14" fontId="16" fillId="5" borderId="4" xfId="0" applyNumberFormat="1" applyFont="1" applyFill="1" applyBorder="1" applyAlignment="1">
      <alignment horizontal="center"/>
    </xf>
    <xf numFmtId="0" fontId="17" fillId="0" borderId="0" xfId="0" applyFont="1" applyAlignment="1">
      <alignment horizontal="left"/>
    </xf>
    <xf numFmtId="14" fontId="6" fillId="5" borderId="4" xfId="0" applyNumberFormat="1" applyFont="1" applyFill="1" applyBorder="1" applyAlignment="1">
      <alignment horizontal="center"/>
    </xf>
    <xf numFmtId="14" fontId="15" fillId="5" borderId="4" xfId="0" applyNumberFormat="1" applyFont="1" applyFill="1" applyBorder="1" applyAlignment="1">
      <alignment horizontal="center"/>
    </xf>
    <xf numFmtId="7" fontId="15" fillId="5" borderId="4" xfId="0" applyNumberFormat="1" applyFont="1" applyFill="1" applyBorder="1" applyAlignment="1">
      <alignment horizontal="center"/>
    </xf>
    <xf numFmtId="167" fontId="13" fillId="5" borderId="4" xfId="0" applyNumberFormat="1" applyFont="1" applyFill="1" applyBorder="1" applyAlignment="1">
      <alignment horizontal="center"/>
    </xf>
    <xf numFmtId="168" fontId="13" fillId="5" borderId="4" xfId="0" applyNumberFormat="1" applyFont="1" applyFill="1" applyBorder="1" applyAlignment="1">
      <alignment horizontal="center"/>
    </xf>
    <xf numFmtId="0" fontId="18" fillId="0" borderId="0" xfId="0" applyFont="1" applyAlignment="1">
      <alignment horizontal="center"/>
    </xf>
    <xf numFmtId="43" fontId="6" fillId="0" borderId="0" xfId="0" applyNumberFormat="1" applyFont="1"/>
    <xf numFmtId="43" fontId="6" fillId="0" borderId="0" xfId="0" applyNumberFormat="1" applyFont="1" applyAlignment="1">
      <alignment horizontal="center"/>
    </xf>
    <xf numFmtId="43" fontId="15" fillId="0" borderId="0" xfId="0" applyNumberFormat="1" applyFont="1" applyAlignment="1">
      <alignment horizontal="center"/>
    </xf>
    <xf numFmtId="0" fontId="12" fillId="2" borderId="5" xfId="0" applyFont="1" applyFill="1" applyBorder="1" applyAlignment="1">
      <alignment horizontal="left"/>
    </xf>
    <xf numFmtId="0" fontId="12" fillId="2" borderId="6" xfId="0" applyFont="1" applyFill="1" applyBorder="1" applyAlignment="1">
      <alignment horizontal="center"/>
    </xf>
    <xf numFmtId="0" fontId="12" fillId="2" borderId="7" xfId="0" applyFont="1" applyFill="1" applyBorder="1" applyAlignment="1">
      <alignment horizontal="center"/>
    </xf>
    <xf numFmtId="43" fontId="6" fillId="3" borderId="21" xfId="0" applyNumberFormat="1" applyFont="1" applyFill="1" applyBorder="1"/>
    <xf numFmtId="43" fontId="6" fillId="3" borderId="22" xfId="0" applyNumberFormat="1" applyFont="1" applyFill="1" applyBorder="1" applyAlignment="1">
      <alignment horizontal="center"/>
    </xf>
    <xf numFmtId="43" fontId="6" fillId="3" borderId="23" xfId="0" applyNumberFormat="1" applyFont="1" applyFill="1" applyBorder="1" applyAlignment="1">
      <alignment horizontal="center"/>
    </xf>
    <xf numFmtId="43" fontId="6" fillId="0" borderId="24" xfId="0" applyNumberFormat="1" applyFont="1" applyBorder="1"/>
    <xf numFmtId="43" fontId="6" fillId="0" borderId="25" xfId="0" applyNumberFormat="1" applyFont="1" applyBorder="1" applyAlignment="1">
      <alignment horizontal="center"/>
    </xf>
    <xf numFmtId="4" fontId="15" fillId="0" borderId="26" xfId="0" applyNumberFormat="1" applyFont="1" applyBorder="1" applyAlignment="1">
      <alignment horizontal="center"/>
    </xf>
    <xf numFmtId="43" fontId="6" fillId="0" borderId="19" xfId="0" applyNumberFormat="1" applyFont="1" applyBorder="1"/>
    <xf numFmtId="4" fontId="15" fillId="0" borderId="20" xfId="0" applyNumberFormat="1" applyFont="1" applyBorder="1" applyAlignment="1">
      <alignment horizontal="center"/>
    </xf>
    <xf numFmtId="43" fontId="6" fillId="0" borderId="27" xfId="0" applyNumberFormat="1" applyFont="1" applyBorder="1"/>
    <xf numFmtId="43" fontId="6" fillId="0" borderId="28" xfId="0" applyNumberFormat="1" applyFont="1" applyBorder="1" applyAlignment="1">
      <alignment horizontal="center"/>
    </xf>
    <xf numFmtId="4" fontId="15" fillId="0" borderId="29" xfId="0" applyNumberFormat="1" applyFont="1" applyBorder="1" applyAlignment="1">
      <alignment horizontal="center"/>
    </xf>
    <xf numFmtId="0" fontId="6" fillId="0" borderId="0" xfId="0" applyFont="1" applyAlignment="1">
      <alignment horizontal="center"/>
    </xf>
    <xf numFmtId="169" fontId="15" fillId="0" borderId="0" xfId="0" applyNumberFormat="1" applyFont="1" applyAlignment="1">
      <alignment horizontal="center"/>
    </xf>
    <xf numFmtId="0" fontId="6" fillId="0" borderId="28" xfId="0" applyFont="1" applyBorder="1"/>
    <xf numFmtId="0" fontId="6" fillId="0" borderId="32" xfId="0" applyFont="1" applyBorder="1" applyAlignment="1">
      <alignment horizontal="center"/>
    </xf>
    <xf numFmtId="0" fontId="12" fillId="0" borderId="33" xfId="0" applyFont="1" applyBorder="1" applyAlignment="1">
      <alignment horizontal="center"/>
    </xf>
    <xf numFmtId="0" fontId="6" fillId="0" borderId="33" xfId="0" applyFont="1" applyBorder="1" applyAlignment="1">
      <alignment horizontal="center"/>
    </xf>
    <xf numFmtId="0" fontId="6" fillId="0" borderId="33" xfId="0" applyFont="1" applyBorder="1"/>
    <xf numFmtId="0" fontId="4" fillId="2" borderId="5" xfId="0" applyFont="1" applyFill="1" applyBorder="1" applyAlignment="1">
      <alignment horizontal="left"/>
    </xf>
    <xf numFmtId="0" fontId="20" fillId="2" borderId="6" xfId="0" applyFont="1" applyFill="1" applyBorder="1" applyAlignment="1">
      <alignment horizontal="center"/>
    </xf>
    <xf numFmtId="0" fontId="20" fillId="2" borderId="7" xfId="0" applyFont="1" applyFill="1" applyBorder="1" applyAlignment="1">
      <alignment horizontal="center"/>
    </xf>
    <xf numFmtId="0" fontId="21" fillId="3" borderId="6" xfId="0" applyFont="1" applyFill="1" applyBorder="1"/>
    <xf numFmtId="0" fontId="6" fillId="3" borderId="6" xfId="0" applyFont="1" applyFill="1" applyBorder="1" applyAlignment="1">
      <alignment horizontal="center"/>
    </xf>
    <xf numFmtId="0" fontId="12" fillId="2" borderId="34" xfId="0" applyFont="1" applyFill="1" applyBorder="1"/>
    <xf numFmtId="0" fontId="12" fillId="2" borderId="41" xfId="0" applyFont="1" applyFill="1" applyBorder="1" applyAlignment="1">
      <alignment horizontal="center"/>
    </xf>
    <xf numFmtId="0" fontId="12" fillId="2" borderId="34" xfId="0" applyFont="1" applyFill="1" applyBorder="1" applyAlignment="1">
      <alignment horizontal="center"/>
    </xf>
    <xf numFmtId="0" fontId="6" fillId="0" borderId="42" xfId="0" applyFont="1" applyBorder="1"/>
    <xf numFmtId="5" fontId="6" fillId="0" borderId="0" xfId="0" applyNumberFormat="1" applyFont="1"/>
    <xf numFmtId="5" fontId="6" fillId="0" borderId="43" xfId="0" applyNumberFormat="1" applyFont="1" applyBorder="1"/>
    <xf numFmtId="5" fontId="6" fillId="0" borderId="44" xfId="0" applyNumberFormat="1" applyFont="1" applyBorder="1"/>
    <xf numFmtId="166" fontId="21" fillId="0" borderId="45" xfId="0" applyNumberFormat="1" applyFont="1" applyBorder="1" applyAlignment="1">
      <alignment horizontal="center"/>
    </xf>
    <xf numFmtId="0" fontId="21" fillId="0" borderId="0" xfId="0" applyFont="1" applyAlignment="1">
      <alignment horizontal="left"/>
    </xf>
    <xf numFmtId="166" fontId="21" fillId="0" borderId="0" xfId="0" applyNumberFormat="1" applyFont="1"/>
    <xf numFmtId="166" fontId="21" fillId="0" borderId="43" xfId="0" applyNumberFormat="1" applyFont="1" applyBorder="1"/>
    <xf numFmtId="166" fontId="21" fillId="0" borderId="44" xfId="0" applyNumberFormat="1" applyFont="1" applyBorder="1"/>
    <xf numFmtId="0" fontId="6" fillId="0" borderId="43" xfId="0" applyFont="1" applyBorder="1"/>
    <xf numFmtId="0" fontId="6" fillId="0" borderId="44" xfId="0" applyFont="1" applyBorder="1"/>
    <xf numFmtId="167" fontId="21" fillId="0" borderId="45" xfId="0" applyNumberFormat="1" applyFont="1" applyBorder="1" applyAlignment="1">
      <alignment horizontal="center"/>
    </xf>
    <xf numFmtId="7" fontId="6" fillId="0" borderId="0" xfId="0" applyNumberFormat="1" applyFont="1"/>
    <xf numFmtId="7" fontId="6" fillId="0" borderId="43" xfId="0" applyNumberFormat="1" applyFont="1" applyBorder="1"/>
    <xf numFmtId="7" fontId="6" fillId="0" borderId="44" xfId="0" applyNumberFormat="1" applyFont="1" applyBorder="1"/>
    <xf numFmtId="0" fontId="6" fillId="0" borderId="46" xfId="0" applyFont="1" applyBorder="1"/>
    <xf numFmtId="0" fontId="6" fillId="0" borderId="17" xfId="0" applyFont="1" applyBorder="1"/>
    <xf numFmtId="0" fontId="6" fillId="0" borderId="25" xfId="0" applyFont="1" applyBorder="1"/>
    <xf numFmtId="0" fontId="6" fillId="0" borderId="47" xfId="0" applyFont="1" applyBorder="1"/>
    <xf numFmtId="0" fontId="6" fillId="0" borderId="48" xfId="0" applyFont="1" applyBorder="1"/>
    <xf numFmtId="167" fontId="21" fillId="0" borderId="49" xfId="0" applyNumberFormat="1" applyFont="1" applyBorder="1" applyAlignment="1">
      <alignment horizontal="center"/>
    </xf>
    <xf numFmtId="37" fontId="6" fillId="0" borderId="0" xfId="0" applyNumberFormat="1" applyFont="1"/>
    <xf numFmtId="37" fontId="6" fillId="0" borderId="43" xfId="0" applyNumberFormat="1" applyFont="1" applyBorder="1"/>
    <xf numFmtId="37" fontId="6" fillId="0" borderId="44" xfId="0" applyNumberFormat="1" applyFont="1" applyBorder="1"/>
    <xf numFmtId="0" fontId="6" fillId="0" borderId="0" xfId="0" applyFont="1" applyAlignment="1">
      <alignment horizontal="left"/>
    </xf>
    <xf numFmtId="37" fontId="6" fillId="0" borderId="25" xfId="0" applyNumberFormat="1" applyFont="1" applyBorder="1"/>
    <xf numFmtId="37" fontId="6" fillId="0" borderId="48" xfId="0" applyNumberFormat="1" applyFont="1" applyBorder="1"/>
    <xf numFmtId="37" fontId="6" fillId="0" borderId="47" xfId="0" applyNumberFormat="1" applyFont="1" applyBorder="1"/>
    <xf numFmtId="165" fontId="6" fillId="0" borderId="0" xfId="0" applyNumberFormat="1" applyFont="1"/>
    <xf numFmtId="165" fontId="6" fillId="0" borderId="43" xfId="0" applyNumberFormat="1" applyFont="1" applyBorder="1"/>
    <xf numFmtId="165" fontId="6" fillId="0" borderId="44" xfId="0" applyNumberFormat="1" applyFont="1" applyBorder="1"/>
    <xf numFmtId="6" fontId="6" fillId="0" borderId="25" xfId="0" applyNumberFormat="1" applyFont="1" applyBorder="1"/>
    <xf numFmtId="6" fontId="6" fillId="0" borderId="48" xfId="0" applyNumberFormat="1" applyFont="1" applyBorder="1"/>
    <xf numFmtId="6" fontId="6" fillId="0" borderId="47" xfId="0" applyNumberFormat="1" applyFont="1" applyBorder="1"/>
    <xf numFmtId="6" fontId="6" fillId="0" borderId="0" xfId="0" applyNumberFormat="1" applyFont="1"/>
    <xf numFmtId="37" fontId="6" fillId="0" borderId="17" xfId="0" applyNumberFormat="1" applyFont="1" applyBorder="1"/>
    <xf numFmtId="170" fontId="12" fillId="0" borderId="0" xfId="0" applyNumberFormat="1" applyFont="1" applyAlignment="1">
      <alignment horizontal="center"/>
    </xf>
    <xf numFmtId="171" fontId="12" fillId="0" borderId="0" xfId="0" applyNumberFormat="1" applyFont="1" applyAlignment="1">
      <alignment horizontal="center"/>
    </xf>
    <xf numFmtId="166" fontId="6" fillId="0" borderId="0" xfId="0" applyNumberFormat="1" applyFont="1"/>
    <xf numFmtId="166" fontId="6" fillId="0" borderId="43" xfId="0" applyNumberFormat="1" applyFont="1" applyBorder="1"/>
    <xf numFmtId="166" fontId="6" fillId="0" borderId="44" xfId="0" applyNumberFormat="1" applyFont="1" applyBorder="1"/>
    <xf numFmtId="172" fontId="6" fillId="0" borderId="0" xfId="0" applyNumberFormat="1" applyFont="1" applyAlignment="1">
      <alignment horizontal="right"/>
    </xf>
    <xf numFmtId="172" fontId="6" fillId="0" borderId="43" xfId="0" applyNumberFormat="1" applyFont="1" applyBorder="1" applyAlignment="1">
      <alignment horizontal="right"/>
    </xf>
    <xf numFmtId="172" fontId="6" fillId="0" borderId="44" xfId="0" applyNumberFormat="1" applyFont="1" applyBorder="1" applyAlignment="1">
      <alignment horizontal="right"/>
    </xf>
    <xf numFmtId="172" fontId="6" fillId="0" borderId="44" xfId="0" applyNumberFormat="1" applyFont="1" applyBorder="1"/>
    <xf numFmtId="172" fontId="6" fillId="0" borderId="0" xfId="0" applyNumberFormat="1" applyFont="1"/>
    <xf numFmtId="172" fontId="6" fillId="0" borderId="43" xfId="0" applyNumberFormat="1" applyFont="1" applyBorder="1"/>
    <xf numFmtId="168" fontId="6" fillId="0" borderId="0" xfId="0" applyNumberFormat="1" applyFont="1"/>
    <xf numFmtId="168" fontId="6" fillId="0" borderId="43" xfId="0" applyNumberFormat="1" applyFont="1" applyBorder="1"/>
    <xf numFmtId="168" fontId="6" fillId="0" borderId="44" xfId="0" applyNumberFormat="1" applyFont="1" applyBorder="1"/>
    <xf numFmtId="10" fontId="2" fillId="0" borderId="0" xfId="0" applyNumberFormat="1" applyFont="1"/>
    <xf numFmtId="0" fontId="22" fillId="0" borderId="0" xfId="0" applyFont="1"/>
    <xf numFmtId="0" fontId="2" fillId="0" borderId="0" xfId="0" applyFont="1" applyAlignment="1">
      <alignment horizontal="right"/>
    </xf>
    <xf numFmtId="0" fontId="6" fillId="0" borderId="0" xfId="0" applyFont="1" applyAlignment="1">
      <alignment horizontal="right"/>
    </xf>
    <xf numFmtId="0" fontId="23" fillId="0" borderId="9" xfId="0" applyFont="1" applyBorder="1"/>
    <xf numFmtId="0" fontId="23" fillId="0" borderId="10" xfId="0" applyFont="1" applyBorder="1"/>
    <xf numFmtId="0" fontId="6" fillId="0" borderId="9" xfId="0" applyFont="1" applyBorder="1"/>
    <xf numFmtId="0" fontId="6" fillId="0" borderId="10" xfId="0" applyFont="1" applyBorder="1"/>
    <xf numFmtId="0" fontId="6" fillId="0" borderId="58" xfId="0" applyFont="1" applyBorder="1"/>
    <xf numFmtId="0" fontId="6" fillId="0" borderId="59" xfId="0" applyFont="1" applyBorder="1"/>
    <xf numFmtId="0" fontId="6" fillId="0" borderId="16" xfId="0" applyFont="1" applyBorder="1"/>
    <xf numFmtId="0" fontId="12" fillId="2" borderId="60" xfId="0" applyFont="1" applyFill="1" applyBorder="1"/>
    <xf numFmtId="0" fontId="12" fillId="2" borderId="61" xfId="0" applyFont="1" applyFill="1" applyBorder="1" applyAlignment="1">
      <alignment horizontal="center"/>
    </xf>
    <xf numFmtId="0" fontId="12" fillId="2" borderId="65" xfId="0" applyFont="1" applyFill="1" applyBorder="1" applyAlignment="1">
      <alignment horizontal="center"/>
    </xf>
    <xf numFmtId="0" fontId="12" fillId="0" borderId="0" xfId="0" applyFont="1" applyAlignment="1">
      <alignment horizontal="center"/>
    </xf>
    <xf numFmtId="0" fontId="12" fillId="2" borderId="21" xfId="0" applyFont="1" applyFill="1" applyBorder="1"/>
    <xf numFmtId="0" fontId="12" fillId="2" borderId="22" xfId="0" applyFont="1" applyFill="1" applyBorder="1" applyAlignment="1">
      <alignment horizontal="center"/>
    </xf>
    <xf numFmtId="0" fontId="12" fillId="2" borderId="23" xfId="0" applyFont="1" applyFill="1" applyBorder="1" applyAlignment="1">
      <alignment horizontal="center"/>
    </xf>
    <xf numFmtId="0" fontId="12" fillId="2" borderId="66"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6" fontId="21" fillId="0" borderId="42" xfId="0" applyNumberFormat="1" applyFont="1" applyBorder="1" applyAlignment="1">
      <alignment horizontal="center"/>
    </xf>
    <xf numFmtId="166" fontId="21" fillId="0" borderId="0" xfId="0" applyNumberFormat="1" applyFont="1" applyAlignment="1">
      <alignment horizontal="center"/>
    </xf>
    <xf numFmtId="0" fontId="26" fillId="14" borderId="4" xfId="0" applyFont="1" applyFill="1" applyBorder="1" applyAlignment="1">
      <alignment horizontal="center"/>
    </xf>
    <xf numFmtId="0" fontId="2" fillId="0" borderId="43" xfId="0" applyFont="1" applyBorder="1"/>
    <xf numFmtId="0" fontId="6" fillId="0" borderId="17" xfId="0" applyFont="1" applyBorder="1" applyAlignment="1">
      <alignment horizontal="center"/>
    </xf>
    <xf numFmtId="174" fontId="6" fillId="0" borderId="25" xfId="0" applyNumberFormat="1" applyFont="1" applyBorder="1" applyAlignment="1">
      <alignment horizontal="center"/>
    </xf>
    <xf numFmtId="174" fontId="6" fillId="0" borderId="0" xfId="0" applyNumberFormat="1" applyFont="1" applyAlignment="1">
      <alignment horizontal="center"/>
    </xf>
    <xf numFmtId="175" fontId="6" fillId="0" borderId="0" xfId="0" applyNumberFormat="1" applyFont="1"/>
    <xf numFmtId="169" fontId="6" fillId="0" borderId="0" xfId="0" applyNumberFormat="1" applyFont="1"/>
    <xf numFmtId="0" fontId="2" fillId="0" borderId="45" xfId="0" applyFont="1" applyBorder="1"/>
    <xf numFmtId="0" fontId="2" fillId="0" borderId="49" xfId="0" applyFont="1" applyBorder="1"/>
    <xf numFmtId="1" fontId="25" fillId="2" borderId="61" xfId="0" applyNumberFormat="1" applyFont="1" applyFill="1" applyBorder="1" applyAlignment="1">
      <alignment horizontal="right"/>
    </xf>
    <xf numFmtId="1" fontId="25" fillId="2" borderId="22" xfId="0" applyNumberFormat="1" applyFont="1" applyFill="1" applyBorder="1" applyAlignment="1">
      <alignment horizontal="right"/>
    </xf>
    <xf numFmtId="172" fontId="21" fillId="0" borderId="42" xfId="0" applyNumberFormat="1" applyFont="1" applyBorder="1" applyAlignment="1">
      <alignment horizontal="center"/>
    </xf>
    <xf numFmtId="172" fontId="21" fillId="0" borderId="45" xfId="0" applyNumberFormat="1" applyFont="1" applyBorder="1" applyAlignment="1">
      <alignment horizontal="center"/>
    </xf>
    <xf numFmtId="5" fontId="21" fillId="0" borderId="45" xfId="0" applyNumberFormat="1" applyFont="1" applyBorder="1" applyAlignment="1">
      <alignment horizontal="center"/>
    </xf>
    <xf numFmtId="37" fontId="21" fillId="0" borderId="45" xfId="0" applyNumberFormat="1" applyFont="1" applyBorder="1" applyAlignment="1">
      <alignment horizontal="center"/>
    </xf>
    <xf numFmtId="168" fontId="21" fillId="0" borderId="45" xfId="0" applyNumberFormat="1" applyFont="1" applyBorder="1" applyAlignment="1">
      <alignment horizontal="center"/>
    </xf>
    <xf numFmtId="168" fontId="21" fillId="0" borderId="49" xfId="0" applyNumberFormat="1" applyFont="1" applyBorder="1" applyAlignment="1">
      <alignment horizontal="center"/>
    </xf>
    <xf numFmtId="0" fontId="27" fillId="0" borderId="0" xfId="0" applyFont="1" applyAlignment="1">
      <alignment horizontal="center"/>
    </xf>
    <xf numFmtId="0" fontId="28" fillId="0" borderId="0" xfId="0" applyFont="1"/>
    <xf numFmtId="0" fontId="12" fillId="2" borderId="67" xfId="0" applyFont="1" applyFill="1" applyBorder="1" applyAlignment="1">
      <alignment horizontal="center"/>
    </xf>
    <xf numFmtId="0" fontId="12" fillId="2" borderId="68" xfId="0" applyFont="1" applyFill="1" applyBorder="1" applyAlignment="1">
      <alignment horizontal="center"/>
    </xf>
    <xf numFmtId="0" fontId="12" fillId="2" borderId="69" xfId="0" applyFont="1" applyFill="1" applyBorder="1" applyAlignment="1">
      <alignment horizontal="center"/>
    </xf>
    <xf numFmtId="0" fontId="28" fillId="0" borderId="0" xfId="0" applyFont="1" applyAlignment="1">
      <alignment horizontal="center"/>
    </xf>
    <xf numFmtId="44" fontId="6" fillId="0" borderId="0" xfId="0" applyNumberFormat="1" applyFont="1"/>
    <xf numFmtId="176" fontId="6" fillId="0" borderId="0" xfId="0" applyNumberFormat="1" applyFont="1"/>
    <xf numFmtId="39" fontId="13" fillId="0" borderId="0" xfId="0" applyNumberFormat="1" applyFont="1"/>
    <xf numFmtId="177" fontId="6" fillId="0" borderId="0" xfId="0" applyNumberFormat="1" applyFont="1"/>
    <xf numFmtId="177" fontId="13" fillId="0" borderId="0" xfId="0" applyNumberFormat="1" applyFont="1"/>
    <xf numFmtId="0" fontId="6" fillId="0" borderId="30" xfId="0" applyFont="1" applyBorder="1"/>
    <xf numFmtId="7" fontId="6" fillId="0" borderId="33" xfId="0" applyNumberFormat="1" applyFont="1" applyBorder="1"/>
    <xf numFmtId="7" fontId="6" fillId="0" borderId="31" xfId="0" applyNumberFormat="1" applyFont="1" applyBorder="1"/>
    <xf numFmtId="0" fontId="2" fillId="0" borderId="0" xfId="0" applyFont="1" applyAlignment="1">
      <alignment horizontal="center"/>
    </xf>
    <xf numFmtId="0" fontId="4" fillId="2" borderId="34" xfId="0" applyFont="1" applyFill="1" applyBorder="1"/>
    <xf numFmtId="0" fontId="4" fillId="2" borderId="34" xfId="0" applyFont="1" applyFill="1" applyBorder="1" applyAlignment="1">
      <alignment horizontal="center"/>
    </xf>
    <xf numFmtId="0" fontId="2" fillId="3" borderId="5" xfId="0" applyFont="1" applyFill="1" applyBorder="1"/>
    <xf numFmtId="0" fontId="2" fillId="3" borderId="6" xfId="0" applyFont="1" applyFill="1" applyBorder="1" applyAlignment="1">
      <alignment horizontal="center"/>
    </xf>
    <xf numFmtId="0" fontId="2" fillId="3" borderId="7" xfId="0" applyFont="1" applyFill="1" applyBorder="1"/>
    <xf numFmtId="0" fontId="9" fillId="0" borderId="0" xfId="0" applyFont="1" applyAlignment="1">
      <alignment horizontal="left"/>
    </xf>
    <xf numFmtId="178" fontId="9" fillId="0" borderId="0" xfId="0" applyNumberFormat="1" applyFont="1" applyAlignment="1">
      <alignment horizontal="center"/>
    </xf>
    <xf numFmtId="0" fontId="2" fillId="0" borderId="0" xfId="0" applyFont="1" applyAlignment="1">
      <alignment horizontal="left"/>
    </xf>
    <xf numFmtId="0" fontId="29" fillId="0" borderId="0" xfId="0" applyFont="1" applyAlignment="1">
      <alignment horizontal="left"/>
    </xf>
    <xf numFmtId="0" fontId="2" fillId="3" borderId="6" xfId="0" applyFont="1" applyFill="1" applyBorder="1"/>
    <xf numFmtId="14" fontId="2" fillId="0" borderId="0" xfId="0" applyNumberFormat="1" applyFont="1" applyAlignment="1">
      <alignment horizontal="left" vertical="top"/>
    </xf>
    <xf numFmtId="0" fontId="2" fillId="0" borderId="0" xfId="0" applyFont="1" applyAlignment="1">
      <alignment horizontal="center" vertical="top"/>
    </xf>
    <xf numFmtId="0" fontId="2" fillId="0" borderId="0" xfId="0" applyFont="1" applyAlignment="1">
      <alignment horizontal="left" vertical="top" wrapText="1"/>
    </xf>
    <xf numFmtId="14" fontId="2"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2" fillId="0" borderId="0" xfId="0" applyFont="1" applyAlignment="1">
      <alignment wrapText="1"/>
    </xf>
    <xf numFmtId="0" fontId="2" fillId="0" borderId="0" xfId="0" applyFont="1" applyAlignment="1">
      <alignment horizontal="left" wrapText="1"/>
    </xf>
    <xf numFmtId="0" fontId="31" fillId="0" borderId="0" xfId="0" applyFont="1"/>
    <xf numFmtId="0" fontId="32" fillId="0" borderId="0" xfId="0" applyFont="1" applyAlignment="1">
      <alignment horizontal="center"/>
    </xf>
    <xf numFmtId="0" fontId="12" fillId="0" borderId="17" xfId="0" applyFont="1" applyBorder="1"/>
    <xf numFmtId="0" fontId="12" fillId="2" borderId="4" xfId="0" applyFont="1" applyFill="1" applyBorder="1" applyAlignment="1">
      <alignment horizontal="center"/>
    </xf>
    <xf numFmtId="0" fontId="15" fillId="3" borderId="4" xfId="0" applyFont="1" applyFill="1" applyBorder="1" applyAlignment="1">
      <alignment horizontal="center"/>
    </xf>
    <xf numFmtId="0" fontId="33" fillId="2" borderId="4" xfId="0" applyFont="1" applyFill="1" applyBorder="1" applyAlignment="1">
      <alignment horizontal="center"/>
    </xf>
    <xf numFmtId="0" fontId="34" fillId="0" borderId="0" xfId="0" applyFont="1"/>
    <xf numFmtId="0" fontId="34" fillId="2" borderId="60" xfId="0" applyFont="1" applyFill="1" applyBorder="1"/>
    <xf numFmtId="0" fontId="34" fillId="2" borderId="61" xfId="0" applyFont="1" applyFill="1" applyBorder="1"/>
    <xf numFmtId="0" fontId="34" fillId="2" borderId="73" xfId="0" applyFont="1" applyFill="1" applyBorder="1"/>
    <xf numFmtId="0" fontId="12" fillId="2" borderId="21" xfId="0" applyFont="1" applyFill="1" applyBorder="1" applyAlignment="1">
      <alignment horizontal="left"/>
    </xf>
    <xf numFmtId="0" fontId="12" fillId="2" borderId="22" xfId="0" applyFont="1" applyFill="1" applyBorder="1"/>
    <xf numFmtId="0" fontId="33" fillId="2" borderId="22" xfId="0" applyFont="1" applyFill="1" applyBorder="1" applyAlignment="1">
      <alignment horizontal="center"/>
    </xf>
    <xf numFmtId="0" fontId="32" fillId="0" borderId="0" xfId="0" applyFont="1"/>
    <xf numFmtId="0" fontId="12" fillId="2" borderId="21" xfId="0" applyFont="1" applyFill="1" applyBorder="1" applyAlignment="1">
      <alignment horizontal="center"/>
    </xf>
    <xf numFmtId="179" fontId="13" fillId="12" borderId="34" xfId="0" applyNumberFormat="1" applyFont="1" applyFill="1" applyBorder="1"/>
    <xf numFmtId="179" fontId="13" fillId="0" borderId="0" xfId="0" applyNumberFormat="1" applyFont="1"/>
    <xf numFmtId="179" fontId="6" fillId="13" borderId="34" xfId="0" applyNumberFormat="1" applyFont="1" applyFill="1" applyBorder="1"/>
    <xf numFmtId="179" fontId="6" fillId="0" borderId="0" xfId="0" applyNumberFormat="1" applyFont="1"/>
    <xf numFmtId="0" fontId="6" fillId="0" borderId="56" xfId="0" applyFont="1" applyBorder="1"/>
    <xf numFmtId="179" fontId="13" fillId="12" borderId="34" xfId="0" applyNumberFormat="1" applyFont="1" applyFill="1" applyBorder="1" applyAlignment="1">
      <alignment horizontal="right"/>
    </xf>
    <xf numFmtId="179" fontId="13" fillId="0" borderId="0" xfId="0" applyNumberFormat="1" applyFont="1" applyAlignment="1">
      <alignment horizontal="right"/>
    </xf>
    <xf numFmtId="179" fontId="6" fillId="13" borderId="34" xfId="0" applyNumberFormat="1" applyFont="1" applyFill="1" applyBorder="1" applyAlignment="1">
      <alignment horizontal="right"/>
    </xf>
    <xf numFmtId="179" fontId="6" fillId="0" borderId="0" xfId="0" applyNumberFormat="1" applyFont="1" applyAlignment="1">
      <alignment horizontal="right"/>
    </xf>
    <xf numFmtId="180" fontId="21" fillId="0" borderId="9" xfId="0" applyNumberFormat="1" applyFont="1" applyBorder="1" applyAlignment="1">
      <alignment horizontal="center"/>
    </xf>
    <xf numFmtId="180" fontId="21" fillId="0" borderId="10"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69" fontId="38" fillId="12" borderId="34" xfId="0" applyNumberFormat="1" applyFont="1" applyFill="1" applyBorder="1" applyAlignment="1">
      <alignment horizontal="right"/>
    </xf>
    <xf numFmtId="180" fontId="38" fillId="12" borderId="34" xfId="0" applyNumberFormat="1" applyFont="1" applyFill="1" applyBorder="1" applyAlignment="1">
      <alignment horizontal="right"/>
    </xf>
    <xf numFmtId="180" fontId="38" fillId="0" borderId="0" xfId="0" applyNumberFormat="1" applyFont="1" applyAlignment="1">
      <alignment horizontal="right"/>
    </xf>
    <xf numFmtId="180" fontId="36" fillId="13" borderId="34" xfId="0" applyNumberFormat="1" applyFont="1" applyFill="1" applyBorder="1" applyAlignment="1">
      <alignment horizontal="right"/>
    </xf>
    <xf numFmtId="180" fontId="36" fillId="0" borderId="0" xfId="0" applyNumberFormat="1" applyFont="1" applyAlignment="1">
      <alignment horizontal="right"/>
    </xf>
    <xf numFmtId="0" fontId="36" fillId="0" borderId="9" xfId="0" applyFont="1" applyBorder="1" applyAlignment="1">
      <alignment horizontal="center"/>
    </xf>
    <xf numFmtId="0" fontId="36" fillId="0" borderId="10" xfId="0" applyFont="1" applyBorder="1" applyAlignment="1">
      <alignment horizontal="center"/>
    </xf>
    <xf numFmtId="0" fontId="36" fillId="0" borderId="16" xfId="0" applyFont="1" applyBorder="1" applyAlignment="1">
      <alignment horizontal="center"/>
    </xf>
    <xf numFmtId="0" fontId="36" fillId="0" borderId="18" xfId="0" applyFont="1" applyBorder="1" applyAlignment="1">
      <alignment horizontal="center"/>
    </xf>
    <xf numFmtId="0" fontId="39" fillId="0" borderId="0" xfId="0" applyFont="1" applyAlignment="1">
      <alignment horizontal="center"/>
    </xf>
    <xf numFmtId="0" fontId="21" fillId="0" borderId="0" xfId="0" applyFont="1"/>
    <xf numFmtId="180" fontId="21" fillId="13" borderId="34" xfId="0" applyNumberFormat="1" applyFont="1" applyFill="1" applyBorder="1" applyAlignment="1">
      <alignment horizontal="right"/>
    </xf>
    <xf numFmtId="180" fontId="21" fillId="0" borderId="0" xfId="0" applyNumberFormat="1" applyFont="1" applyAlignment="1">
      <alignment horizontal="right"/>
    </xf>
    <xf numFmtId="0" fontId="21" fillId="0" borderId="9" xfId="0" applyFont="1" applyBorder="1"/>
    <xf numFmtId="0" fontId="21" fillId="0" borderId="16" xfId="0" applyFont="1" applyBorder="1"/>
    <xf numFmtId="0" fontId="33" fillId="2" borderId="6" xfId="0" applyFont="1" applyFill="1" applyBorder="1" applyAlignment="1">
      <alignment horizontal="center"/>
    </xf>
    <xf numFmtId="0" fontId="33" fillId="2" borderId="7" xfId="0" applyFont="1" applyFill="1" applyBorder="1" applyAlignment="1">
      <alignment horizontal="center"/>
    </xf>
    <xf numFmtId="0" fontId="6" fillId="12" borderId="34" xfId="0" applyFont="1" applyFill="1" applyBorder="1"/>
    <xf numFmtId="0" fontId="6" fillId="13" borderId="34" xfId="0" applyFont="1" applyFill="1" applyBorder="1"/>
    <xf numFmtId="179" fontId="6" fillId="12" borderId="34" xfId="0" applyNumberFormat="1" applyFont="1" applyFill="1" applyBorder="1" applyAlignment="1">
      <alignment horizontal="right"/>
    </xf>
    <xf numFmtId="180" fontId="21" fillId="12" borderId="34" xfId="0" applyNumberFormat="1" applyFont="1" applyFill="1" applyBorder="1" applyAlignment="1">
      <alignment horizontal="right"/>
    </xf>
    <xf numFmtId="0" fontId="6" fillId="12" borderId="34" xfId="0" applyFont="1" applyFill="1" applyBorder="1" applyAlignment="1">
      <alignment horizontal="right"/>
    </xf>
    <xf numFmtId="180" fontId="41" fillId="13" borderId="34" xfId="0" applyNumberFormat="1" applyFont="1" applyFill="1" applyBorder="1" applyAlignment="1">
      <alignment horizontal="right"/>
    </xf>
    <xf numFmtId="180" fontId="41" fillId="0" borderId="0" xfId="0" applyNumberFormat="1" applyFont="1" applyAlignment="1">
      <alignment horizontal="right"/>
    </xf>
    <xf numFmtId="0" fontId="6" fillId="13" borderId="34" xfId="0" applyFont="1" applyFill="1" applyBorder="1" applyAlignment="1">
      <alignment horizontal="right"/>
    </xf>
    <xf numFmtId="0" fontId="21" fillId="12" borderId="34" xfId="0" applyFont="1" applyFill="1" applyBorder="1" applyAlignment="1">
      <alignment horizontal="right"/>
    </xf>
    <xf numFmtId="0" fontId="21" fillId="0" borderId="0" xfId="0" applyFont="1" applyAlignment="1">
      <alignment horizontal="right"/>
    </xf>
    <xf numFmtId="181" fontId="6" fillId="12" borderId="34" xfId="0" applyNumberFormat="1" applyFont="1" applyFill="1" applyBorder="1" applyAlignment="1">
      <alignment horizontal="right"/>
    </xf>
    <xf numFmtId="181" fontId="6" fillId="0" borderId="0" xfId="0" applyNumberFormat="1" applyFont="1" applyAlignment="1">
      <alignment horizontal="right"/>
    </xf>
    <xf numFmtId="181" fontId="6" fillId="13" borderId="34" xfId="0" applyNumberFormat="1" applyFont="1" applyFill="1" applyBorder="1" applyAlignment="1">
      <alignment horizontal="right"/>
    </xf>
    <xf numFmtId="181" fontId="6" fillId="12" borderId="34" xfId="0" applyNumberFormat="1" applyFont="1" applyFill="1" applyBorder="1"/>
    <xf numFmtId="181" fontId="6" fillId="0" borderId="0" xfId="0" applyNumberFormat="1" applyFont="1"/>
    <xf numFmtId="181" fontId="6" fillId="13" borderId="34" xfId="0" applyNumberFormat="1" applyFont="1" applyFill="1" applyBorder="1"/>
    <xf numFmtId="181" fontId="15" fillId="12" borderId="34" xfId="0" applyNumberFormat="1" applyFont="1" applyFill="1" applyBorder="1" applyAlignment="1">
      <alignment horizontal="right"/>
    </xf>
    <xf numFmtId="182" fontId="6" fillId="12" borderId="34" xfId="0" applyNumberFormat="1" applyFont="1" applyFill="1" applyBorder="1" applyAlignment="1">
      <alignment horizontal="right"/>
    </xf>
    <xf numFmtId="182" fontId="6" fillId="0" borderId="0" xfId="0" applyNumberFormat="1" applyFont="1" applyAlignment="1">
      <alignment horizontal="right"/>
    </xf>
    <xf numFmtId="182" fontId="6" fillId="13" borderId="34" xfId="0" applyNumberFormat="1" applyFont="1" applyFill="1" applyBorder="1" applyAlignment="1">
      <alignment horizontal="right"/>
    </xf>
    <xf numFmtId="182" fontId="21" fillId="12" borderId="34" xfId="0" applyNumberFormat="1" applyFont="1" applyFill="1" applyBorder="1" applyAlignment="1">
      <alignment horizontal="right"/>
    </xf>
    <xf numFmtId="182" fontId="21" fillId="0" borderId="0" xfId="0" applyNumberFormat="1" applyFont="1" applyAlignment="1">
      <alignment horizontal="right"/>
    </xf>
    <xf numFmtId="182" fontId="41" fillId="13" borderId="34" xfId="0" applyNumberFormat="1" applyFont="1" applyFill="1" applyBorder="1" applyAlignment="1">
      <alignment horizontal="right"/>
    </xf>
    <xf numFmtId="182" fontId="41" fillId="0" borderId="0" xfId="0" applyNumberFormat="1" applyFont="1" applyAlignment="1">
      <alignment horizontal="right"/>
    </xf>
    <xf numFmtId="183" fontId="6" fillId="12" borderId="34" xfId="0" applyNumberFormat="1" applyFont="1" applyFill="1" applyBorder="1" applyAlignment="1">
      <alignment horizontal="right"/>
    </xf>
    <xf numFmtId="183" fontId="6" fillId="0" borderId="0" xfId="0" applyNumberFormat="1" applyFont="1" applyAlignment="1">
      <alignment horizontal="right"/>
    </xf>
    <xf numFmtId="180" fontId="41" fillId="13" borderId="34" xfId="0" applyNumberFormat="1" applyFont="1" applyFill="1" applyBorder="1"/>
    <xf numFmtId="180"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3" fillId="0" borderId="0" xfId="0" applyFont="1" applyAlignment="1">
      <alignment horizontal="center"/>
    </xf>
    <xf numFmtId="0" fontId="15" fillId="0" borderId="25" xfId="0" applyFont="1" applyBorder="1" applyAlignment="1">
      <alignment horizontal="center"/>
    </xf>
    <xf numFmtId="0" fontId="6" fillId="0" borderId="42" xfId="0" applyFont="1" applyBorder="1" applyAlignment="1">
      <alignment horizontal="left"/>
    </xf>
    <xf numFmtId="0" fontId="6" fillId="0" borderId="45" xfId="0" applyFont="1" applyBorder="1" applyAlignment="1">
      <alignment horizontal="left"/>
    </xf>
    <xf numFmtId="0" fontId="6" fillId="0" borderId="49" xfId="0" applyFont="1" applyBorder="1" applyAlignment="1">
      <alignment horizontal="left"/>
    </xf>
    <xf numFmtId="0" fontId="12" fillId="2" borderId="60" xfId="0" applyFont="1" applyFill="1" applyBorder="1" applyAlignment="1">
      <alignment horizontal="left"/>
    </xf>
    <xf numFmtId="0" fontId="33" fillId="2" borderId="61" xfId="0" applyFont="1" applyFill="1" applyBorder="1" applyAlignment="1">
      <alignment horizontal="center"/>
    </xf>
    <xf numFmtId="0" fontId="12" fillId="2" borderId="73" xfId="0" applyFont="1" applyFill="1" applyBorder="1" applyAlignment="1">
      <alignment horizontal="center"/>
    </xf>
    <xf numFmtId="179" fontId="6" fillId="12" borderId="34" xfId="0" applyNumberFormat="1" applyFont="1" applyFill="1" applyBorder="1"/>
    <xf numFmtId="168" fontId="15" fillId="12" borderId="22" xfId="0" applyNumberFormat="1" applyFont="1" applyFill="1" applyBorder="1"/>
    <xf numFmtId="168" fontId="6" fillId="0" borderId="17" xfId="0" applyNumberFormat="1" applyFont="1" applyBorder="1"/>
    <xf numFmtId="168" fontId="6" fillId="13" borderId="22" xfId="0" applyNumberFormat="1" applyFont="1" applyFill="1" applyBorder="1"/>
    <xf numFmtId="184" fontId="6" fillId="12" borderId="34" xfId="0" applyNumberFormat="1" applyFont="1" applyFill="1" applyBorder="1"/>
    <xf numFmtId="168" fontId="15" fillId="12" borderId="34" xfId="0" applyNumberFormat="1" applyFont="1" applyFill="1" applyBorder="1"/>
    <xf numFmtId="168" fontId="6" fillId="13" borderId="34" xfId="0" applyNumberFormat="1" applyFont="1" applyFill="1" applyBorder="1"/>
    <xf numFmtId="184" fontId="6" fillId="13" borderId="34" xfId="0" applyNumberFormat="1" applyFont="1" applyFill="1" applyBorder="1"/>
    <xf numFmtId="168" fontId="13" fillId="13" borderId="34" xfId="0" applyNumberFormat="1" applyFont="1" applyFill="1" applyBorder="1"/>
    <xf numFmtId="168" fontId="13" fillId="0" borderId="0" xfId="0" applyNumberFormat="1" applyFont="1"/>
    <xf numFmtId="185" fontId="6" fillId="12" borderId="34" xfId="0" applyNumberFormat="1" applyFont="1" applyFill="1" applyBorder="1"/>
    <xf numFmtId="185" fontId="6" fillId="13" borderId="34" xfId="0" applyNumberFormat="1" applyFont="1" applyFill="1" applyBorder="1"/>
    <xf numFmtId="168" fontId="15" fillId="13" borderId="34" xfId="0" applyNumberFormat="1" applyFont="1" applyFill="1" applyBorder="1"/>
    <xf numFmtId="168" fontId="15" fillId="0" borderId="0" xfId="0" applyNumberFormat="1" applyFont="1"/>
    <xf numFmtId="168" fontId="15" fillId="4" borderId="22" xfId="0" applyNumberFormat="1" applyFont="1" applyFill="1" applyBorder="1"/>
    <xf numFmtId="168" fontId="15" fillId="13" borderId="22" xfId="0" applyNumberFormat="1" applyFont="1" applyFill="1" applyBorder="1"/>
    <xf numFmtId="168" fontId="15" fillId="0" borderId="17" xfId="0" applyNumberFormat="1" applyFont="1" applyBorder="1"/>
    <xf numFmtId="7" fontId="6" fillId="12" borderId="34" xfId="0" applyNumberFormat="1" applyFont="1" applyFill="1" applyBorder="1"/>
    <xf numFmtId="7" fontId="6" fillId="13" borderId="34" xfId="0" applyNumberFormat="1" applyFont="1" applyFill="1" applyBorder="1"/>
    <xf numFmtId="168" fontId="6" fillId="12" borderId="22" xfId="0" applyNumberFormat="1" applyFont="1" applyFill="1" applyBorder="1"/>
    <xf numFmtId="0" fontId="12" fillId="2" borderId="61" xfId="0" applyFont="1" applyFill="1" applyBorder="1"/>
    <xf numFmtId="0" fontId="6" fillId="3" borderId="21" xfId="0" applyFont="1" applyFill="1" applyBorder="1"/>
    <xf numFmtId="0" fontId="6" fillId="3" borderId="22" xfId="0" applyFont="1" applyFill="1" applyBorder="1"/>
    <xf numFmtId="0" fontId="6" fillId="3" borderId="23" xfId="0" applyFont="1" applyFill="1" applyBorder="1"/>
    <xf numFmtId="180" fontId="6" fillId="12" borderId="34" xfId="0" applyNumberFormat="1" applyFont="1" applyFill="1" applyBorder="1" applyAlignment="1">
      <alignment horizontal="right"/>
    </xf>
    <xf numFmtId="180" fontId="6" fillId="0" borderId="0" xfId="0" applyNumberFormat="1" applyFont="1" applyAlignment="1">
      <alignment horizontal="right"/>
    </xf>
    <xf numFmtId="180" fontId="6" fillId="13" borderId="34" xfId="0" applyNumberFormat="1" applyFont="1" applyFill="1" applyBorder="1" applyAlignment="1">
      <alignment horizontal="right"/>
    </xf>
    <xf numFmtId="180" fontId="13" fillId="13" borderId="34" xfId="0" applyNumberFormat="1" applyFont="1" applyFill="1" applyBorder="1" applyAlignment="1">
      <alignment horizontal="right"/>
    </xf>
    <xf numFmtId="180" fontId="13" fillId="0" borderId="0" xfId="0" applyNumberFormat="1" applyFont="1" applyAlignment="1">
      <alignment horizontal="right"/>
    </xf>
    <xf numFmtId="186" fontId="6" fillId="12" borderId="34" xfId="0" applyNumberFormat="1" applyFont="1" applyFill="1" applyBorder="1"/>
    <xf numFmtId="186" fontId="6" fillId="13" borderId="34" xfId="0" applyNumberFormat="1" applyFont="1" applyFill="1" applyBorder="1"/>
    <xf numFmtId="168" fontId="6" fillId="12" borderId="34" xfId="0" applyNumberFormat="1" applyFont="1" applyFill="1" applyBorder="1"/>
    <xf numFmtId="168" fontId="13" fillId="13" borderId="22" xfId="0" applyNumberFormat="1" applyFont="1" applyFill="1" applyBorder="1"/>
    <xf numFmtId="0" fontId="6" fillId="0" borderId="20" xfId="0" applyFont="1" applyBorder="1"/>
    <xf numFmtId="0" fontId="6" fillId="0" borderId="33" xfId="0" applyFont="1" applyBorder="1" applyAlignment="1">
      <alignment horizontal="left"/>
    </xf>
    <xf numFmtId="179" fontId="6" fillId="12" borderId="76" xfId="0" applyNumberFormat="1" applyFont="1" applyFill="1" applyBorder="1"/>
    <xf numFmtId="179" fontId="6" fillId="0" borderId="33" xfId="0" applyNumberFormat="1" applyFont="1" applyBorder="1"/>
    <xf numFmtId="179" fontId="6" fillId="13" borderId="76" xfId="0" applyNumberFormat="1" applyFont="1" applyFill="1" applyBorder="1"/>
    <xf numFmtId="168" fontId="13" fillId="0" borderId="17" xfId="0" applyNumberFormat="1" applyFont="1" applyBorder="1"/>
    <xf numFmtId="179" fontId="15" fillId="12" borderId="34" xfId="0" applyNumberFormat="1" applyFont="1" applyFill="1" applyBorder="1"/>
    <xf numFmtId="179" fontId="3" fillId="12" borderId="34" xfId="0" applyNumberFormat="1" applyFont="1" applyFill="1" applyBorder="1"/>
    <xf numFmtId="168" fontId="3" fillId="12" borderId="22" xfId="0" applyNumberFormat="1" applyFont="1" applyFill="1" applyBorder="1"/>
    <xf numFmtId="179" fontId="15" fillId="0" borderId="0" xfId="0" applyNumberFormat="1" applyFont="1"/>
    <xf numFmtId="0" fontId="6" fillId="3" borderId="7" xfId="0" applyFont="1" applyFill="1" applyBorder="1"/>
    <xf numFmtId="180" fontId="6" fillId="12" borderId="34" xfId="0" applyNumberFormat="1" applyFont="1" applyFill="1" applyBorder="1"/>
    <xf numFmtId="180" fontId="6" fillId="0" borderId="0" xfId="0" applyNumberFormat="1" applyFont="1"/>
    <xf numFmtId="180" fontId="6" fillId="13" borderId="34" xfId="0" applyNumberFormat="1" applyFont="1" applyFill="1" applyBorder="1"/>
    <xf numFmtId="0" fontId="21" fillId="0" borderId="33" xfId="0" applyFont="1" applyBorder="1" applyAlignment="1">
      <alignment horizontal="left"/>
    </xf>
    <xf numFmtId="0" fontId="21" fillId="0" borderId="33" xfId="0" applyFont="1" applyBorder="1"/>
    <xf numFmtId="187" fontId="21" fillId="12" borderId="76" xfId="0" applyNumberFormat="1" applyFont="1" applyFill="1" applyBorder="1" applyAlignment="1">
      <alignment horizontal="right"/>
    </xf>
    <xf numFmtId="187" fontId="21" fillId="0" borderId="33" xfId="0" applyNumberFormat="1" applyFont="1" applyBorder="1" applyAlignment="1">
      <alignment horizontal="right"/>
    </xf>
    <xf numFmtId="187" fontId="21" fillId="13" borderId="76" xfId="0" applyNumberFormat="1" applyFont="1" applyFill="1" applyBorder="1" applyAlignment="1">
      <alignment horizontal="right"/>
    </xf>
    <xf numFmtId="187" fontId="21" fillId="0" borderId="31" xfId="0" applyNumberFormat="1" applyFont="1" applyBorder="1" applyAlignment="1">
      <alignment horizontal="right"/>
    </xf>
    <xf numFmtId="0" fontId="6" fillId="0" borderId="30" xfId="0" applyFont="1" applyBorder="1" applyAlignment="1">
      <alignment horizontal="left"/>
    </xf>
    <xf numFmtId="179" fontId="6" fillId="0" borderId="31" xfId="0" applyNumberFormat="1" applyFont="1" applyBorder="1"/>
    <xf numFmtId="0" fontId="6" fillId="12" borderId="77" xfId="0" applyFont="1" applyFill="1" applyBorder="1"/>
    <xf numFmtId="0" fontId="6" fillId="13" borderId="77" xfId="0" applyFont="1" applyFill="1" applyBorder="1"/>
    <xf numFmtId="169" fontId="6" fillId="12" borderId="34" xfId="0" applyNumberFormat="1" applyFont="1" applyFill="1" applyBorder="1"/>
    <xf numFmtId="169" fontId="13" fillId="13" borderId="34" xfId="0" applyNumberFormat="1" applyFont="1" applyFill="1" applyBorder="1"/>
    <xf numFmtId="169" fontId="13" fillId="0" borderId="0" xfId="0" applyNumberFormat="1" applyFont="1"/>
    <xf numFmtId="181" fontId="15" fillId="12" borderId="34" xfId="0" applyNumberFormat="1" applyFont="1" applyFill="1" applyBorder="1"/>
    <xf numFmtId="181" fontId="6" fillId="0" borderId="17" xfId="0" applyNumberFormat="1" applyFont="1" applyBorder="1"/>
    <xf numFmtId="169" fontId="6" fillId="13" borderId="34" xfId="0" applyNumberFormat="1" applyFont="1" applyFill="1" applyBorder="1"/>
    <xf numFmtId="179" fontId="15" fillId="4" borderId="34" xfId="0" applyNumberFormat="1" applyFont="1" applyFill="1" applyBorder="1"/>
    <xf numFmtId="181" fontId="15" fillId="13" borderId="34" xfId="0" applyNumberFormat="1" applyFont="1" applyFill="1" applyBorder="1"/>
    <xf numFmtId="181" fontId="15" fillId="0" borderId="0" xfId="0" applyNumberFormat="1" applyFont="1"/>
    <xf numFmtId="181" fontId="15" fillId="12" borderId="22" xfId="0" applyNumberFormat="1" applyFont="1" applyFill="1" applyBorder="1"/>
    <xf numFmtId="181" fontId="15" fillId="13" borderId="22" xfId="0" applyNumberFormat="1" applyFont="1" applyFill="1" applyBorder="1"/>
    <xf numFmtId="181" fontId="15" fillId="0" borderId="17" xfId="0" applyNumberFormat="1" applyFont="1" applyBorder="1"/>
    <xf numFmtId="180" fontId="13" fillId="13" borderId="34" xfId="0" applyNumberFormat="1" applyFont="1" applyFill="1" applyBorder="1"/>
    <xf numFmtId="180" fontId="13" fillId="0" borderId="0" xfId="0" applyNumberFormat="1" applyFont="1"/>
    <xf numFmtId="0" fontId="21" fillId="12" borderId="34" xfId="0" applyFont="1" applyFill="1" applyBorder="1"/>
    <xf numFmtId="179" fontId="21" fillId="12" borderId="34" xfId="0" applyNumberFormat="1" applyFont="1" applyFill="1" applyBorder="1"/>
    <xf numFmtId="179" fontId="21" fillId="0" borderId="0" xfId="0" applyNumberFormat="1" applyFont="1"/>
    <xf numFmtId="179" fontId="21" fillId="13" borderId="34" xfId="0" applyNumberFormat="1" applyFont="1" applyFill="1" applyBorder="1"/>
    <xf numFmtId="188" fontId="6" fillId="12" borderId="34" xfId="0" applyNumberFormat="1" applyFont="1" applyFill="1" applyBorder="1"/>
    <xf numFmtId="183" fontId="6" fillId="12" borderId="34" xfId="0" applyNumberFormat="1" applyFont="1" applyFill="1" applyBorder="1"/>
    <xf numFmtId="183" fontId="6" fillId="0" borderId="0" xfId="0" applyNumberFormat="1" applyFont="1"/>
    <xf numFmtId="183" fontId="6" fillId="13" borderId="34" xfId="0" applyNumberFormat="1" applyFont="1" applyFill="1" applyBorder="1"/>
    <xf numFmtId="7" fontId="15" fillId="12" borderId="34" xfId="0" applyNumberFormat="1" applyFont="1" applyFill="1" applyBorder="1"/>
    <xf numFmtId="7" fontId="15" fillId="4" borderId="34" xfId="0" applyNumberFormat="1" applyFont="1" applyFill="1" applyBorder="1"/>
    <xf numFmtId="7" fontId="15" fillId="13" borderId="34" xfId="0" applyNumberFormat="1" applyFont="1" applyFill="1" applyBorder="1"/>
    <xf numFmtId="7" fontId="15" fillId="0" borderId="0" xfId="0" applyNumberFormat="1" applyFont="1"/>
    <xf numFmtId="168" fontId="6" fillId="4" borderId="34" xfId="0" applyNumberFormat="1" applyFont="1" applyFill="1" applyBorder="1"/>
    <xf numFmtId="168" fontId="15" fillId="4" borderId="34" xfId="0" applyNumberFormat="1" applyFont="1" applyFill="1" applyBorder="1"/>
    <xf numFmtId="189" fontId="6" fillId="12" borderId="34" xfId="0" applyNumberFormat="1" applyFont="1" applyFill="1" applyBorder="1"/>
    <xf numFmtId="7" fontId="6" fillId="4" borderId="34" xfId="0" applyNumberFormat="1" applyFont="1" applyFill="1" applyBorder="1"/>
    <xf numFmtId="0" fontId="6" fillId="4" borderId="34" xfId="0" applyFont="1" applyFill="1" applyBorder="1"/>
    <xf numFmtId="39" fontId="6" fillId="12" borderId="34" xfId="0" applyNumberFormat="1" applyFont="1" applyFill="1" applyBorder="1"/>
    <xf numFmtId="181" fontId="15" fillId="4" borderId="34" xfId="0" applyNumberFormat="1" applyFont="1" applyFill="1" applyBorder="1"/>
    <xf numFmtId="179" fontId="6" fillId="4" borderId="34" xfId="0" applyNumberFormat="1" applyFont="1" applyFill="1" applyBorder="1"/>
    <xf numFmtId="169" fontId="21" fillId="12" borderId="34" xfId="0" applyNumberFormat="1" applyFont="1" applyFill="1" applyBorder="1"/>
    <xf numFmtId="169" fontId="21" fillId="0" borderId="0" xfId="0" applyNumberFormat="1" applyFont="1"/>
    <xf numFmtId="169" fontId="21" fillId="4" borderId="34" xfId="0" applyNumberFormat="1" applyFont="1" applyFill="1" applyBorder="1"/>
    <xf numFmtId="169" fontId="41" fillId="13" borderId="34" xfId="0" applyNumberFormat="1" applyFont="1" applyFill="1" applyBorder="1"/>
    <xf numFmtId="169" fontId="41" fillId="0" borderId="0" xfId="0" applyNumberFormat="1" applyFont="1"/>
    <xf numFmtId="168" fontId="6" fillId="4" borderId="22" xfId="0" applyNumberFormat="1" applyFont="1" applyFill="1" applyBorder="1"/>
    <xf numFmtId="8" fontId="6" fillId="13" borderId="34" xfId="0" applyNumberFormat="1" applyFont="1" applyFill="1" applyBorder="1"/>
    <xf numFmtId="8" fontId="6" fillId="0" borderId="0" xfId="0" applyNumberFormat="1" applyFont="1"/>
    <xf numFmtId="184" fontId="6" fillId="0" borderId="0" xfId="0" applyNumberFormat="1" applyFont="1"/>
    <xf numFmtId="184" fontId="15" fillId="12" borderId="34" xfId="0" applyNumberFormat="1" applyFont="1" applyFill="1" applyBorder="1"/>
    <xf numFmtId="184" fontId="15" fillId="0" borderId="0" xfId="0" applyNumberFormat="1" applyFont="1"/>
    <xf numFmtId="184" fontId="15" fillId="12" borderId="22" xfId="0" applyNumberFormat="1" applyFont="1" applyFill="1" applyBorder="1"/>
    <xf numFmtId="184" fontId="15" fillId="0" borderId="17" xfId="0" applyNumberFormat="1" applyFont="1" applyBorder="1"/>
    <xf numFmtId="184" fontId="6" fillId="13" borderId="22" xfId="0" applyNumberFormat="1" applyFont="1" applyFill="1" applyBorder="1"/>
    <xf numFmtId="184" fontId="6" fillId="0" borderId="17" xfId="0" applyNumberFormat="1" applyFont="1" applyBorder="1"/>
    <xf numFmtId="181" fontId="13" fillId="13" borderId="34" xfId="0" applyNumberFormat="1" applyFont="1" applyFill="1" applyBorder="1"/>
    <xf numFmtId="0" fontId="13" fillId="0" borderId="0" xfId="0" applyFont="1"/>
    <xf numFmtId="181" fontId="13" fillId="0" borderId="0" xfId="0" applyNumberFormat="1" applyFont="1"/>
    <xf numFmtId="180" fontId="21" fillId="12" borderId="34" xfId="0" applyNumberFormat="1" applyFont="1" applyFill="1" applyBorder="1"/>
    <xf numFmtId="180" fontId="21" fillId="0" borderId="0" xfId="0" applyNumberFormat="1" applyFont="1"/>
    <xf numFmtId="180" fontId="21" fillId="13" borderId="34" xfId="0" applyNumberFormat="1" applyFont="1" applyFill="1" applyBorder="1"/>
    <xf numFmtId="190" fontId="41" fillId="13" borderId="34" xfId="0" applyNumberFormat="1" applyFont="1" applyFill="1" applyBorder="1"/>
    <xf numFmtId="190" fontId="41" fillId="0" borderId="0" xfId="0" applyNumberFormat="1" applyFont="1"/>
    <xf numFmtId="0" fontId="6" fillId="12" borderId="76" xfId="0" applyFont="1" applyFill="1" applyBorder="1"/>
    <xf numFmtId="168" fontId="15" fillId="12" borderId="34" xfId="0" applyNumberFormat="1" applyFont="1" applyFill="1" applyBorder="1" applyAlignment="1">
      <alignment horizontal="right"/>
    </xf>
    <xf numFmtId="168" fontId="6" fillId="0" borderId="0" xfId="0" applyNumberFormat="1" applyFont="1" applyAlignment="1">
      <alignment horizontal="right"/>
    </xf>
    <xf numFmtId="168" fontId="13" fillId="13" borderId="34" xfId="0" applyNumberFormat="1" applyFont="1" applyFill="1" applyBorder="1" applyAlignment="1">
      <alignment horizontal="right"/>
    </xf>
    <xf numFmtId="168" fontId="13" fillId="0" borderId="0" xfId="0" applyNumberFormat="1" applyFont="1" applyAlignment="1">
      <alignment horizontal="right"/>
    </xf>
    <xf numFmtId="168" fontId="6" fillId="12" borderId="34" xfId="0" applyNumberFormat="1" applyFont="1" applyFill="1" applyBorder="1" applyAlignment="1">
      <alignment horizontal="right"/>
    </xf>
    <xf numFmtId="169" fontId="6" fillId="12" borderId="34" xfId="0" applyNumberFormat="1" applyFont="1" applyFill="1" applyBorder="1" applyAlignment="1">
      <alignment horizontal="right"/>
    </xf>
    <xf numFmtId="169" fontId="6" fillId="13" borderId="34" xfId="0" applyNumberFormat="1" applyFont="1" applyFill="1" applyBorder="1" applyAlignment="1">
      <alignment horizontal="right"/>
    </xf>
    <xf numFmtId="0" fontId="15" fillId="0" borderId="0" xfId="0" applyFont="1" applyAlignment="1">
      <alignment horizontal="left"/>
    </xf>
    <xf numFmtId="168" fontId="15" fillId="13" borderId="34" xfId="0" applyNumberFormat="1" applyFont="1" applyFill="1" applyBorder="1" applyAlignment="1">
      <alignment horizontal="right"/>
    </xf>
    <xf numFmtId="168" fontId="15" fillId="0" borderId="0" xfId="0" applyNumberFormat="1" applyFont="1" applyAlignment="1">
      <alignment horizontal="right"/>
    </xf>
    <xf numFmtId="169" fontId="6" fillId="0" borderId="0" xfId="0" applyNumberFormat="1" applyFont="1" applyAlignment="1">
      <alignment horizontal="right"/>
    </xf>
    <xf numFmtId="168" fontId="6" fillId="13" borderId="34" xfId="0" applyNumberFormat="1" applyFont="1" applyFill="1" applyBorder="1" applyAlignment="1">
      <alignment horizontal="right"/>
    </xf>
    <xf numFmtId="186" fontId="15" fillId="12" borderId="34" xfId="0" applyNumberFormat="1" applyFont="1" applyFill="1" applyBorder="1" applyAlignment="1">
      <alignment horizontal="right"/>
    </xf>
    <xf numFmtId="186" fontId="15" fillId="13" borderId="34" xfId="0" applyNumberFormat="1" applyFont="1" applyFill="1" applyBorder="1" applyAlignment="1">
      <alignment horizontal="right"/>
    </xf>
    <xf numFmtId="187" fontId="21" fillId="12" borderId="34" xfId="0" applyNumberFormat="1" applyFont="1" applyFill="1" applyBorder="1" applyAlignment="1">
      <alignment horizontal="right"/>
    </xf>
    <xf numFmtId="187" fontId="21" fillId="0" borderId="0" xfId="0" applyNumberFormat="1" applyFont="1" applyAlignment="1">
      <alignment horizontal="right"/>
    </xf>
    <xf numFmtId="187" fontId="21" fillId="13" borderId="34" xfId="0" applyNumberFormat="1" applyFont="1" applyFill="1" applyBorder="1" applyAlignment="1">
      <alignment horizontal="right"/>
    </xf>
    <xf numFmtId="179" fontId="13" fillId="13" borderId="34" xfId="0" applyNumberFormat="1" applyFont="1" applyFill="1" applyBorder="1" applyAlignment="1">
      <alignment horizontal="right"/>
    </xf>
    <xf numFmtId="168" fontId="3" fillId="0" borderId="0" xfId="0" applyNumberFormat="1" applyFont="1" applyAlignment="1">
      <alignment horizontal="right"/>
    </xf>
    <xf numFmtId="168" fontId="3" fillId="13" borderId="34" xfId="0" applyNumberFormat="1" applyFont="1" applyFill="1" applyBorder="1" applyAlignment="1">
      <alignment horizontal="right"/>
    </xf>
    <xf numFmtId="187" fontId="40" fillId="12" borderId="34" xfId="0" applyNumberFormat="1" applyFont="1" applyFill="1" applyBorder="1" applyAlignment="1">
      <alignment horizontal="right"/>
    </xf>
    <xf numFmtId="187" fontId="21" fillId="15" borderId="34" xfId="0" applyNumberFormat="1" applyFont="1" applyFill="1" applyBorder="1" applyAlignment="1">
      <alignment horizontal="right"/>
    </xf>
    <xf numFmtId="0" fontId="3" fillId="0" borderId="0" xfId="0" applyFont="1" applyAlignment="1">
      <alignment horizontal="left"/>
    </xf>
    <xf numFmtId="180" fontId="3" fillId="0" borderId="0" xfId="0" applyNumberFormat="1" applyFont="1" applyAlignment="1">
      <alignment horizontal="right"/>
    </xf>
    <xf numFmtId="179" fontId="6" fillId="15" borderId="34" xfId="0" applyNumberFormat="1" applyFont="1" applyFill="1" applyBorder="1" applyAlignment="1">
      <alignment horizontal="right"/>
    </xf>
    <xf numFmtId="186" fontId="6" fillId="0" borderId="0" xfId="0" applyNumberFormat="1" applyFont="1" applyAlignment="1">
      <alignment horizontal="right"/>
    </xf>
    <xf numFmtId="0" fontId="6" fillId="3" borderId="6" xfId="0" applyFont="1" applyFill="1" applyBorder="1" applyAlignment="1">
      <alignment horizontal="right"/>
    </xf>
    <xf numFmtId="0" fontId="6" fillId="3" borderId="7" xfId="0" applyFont="1" applyFill="1" applyBorder="1" applyAlignment="1">
      <alignment horizontal="right"/>
    </xf>
    <xf numFmtId="164" fontId="6" fillId="12" borderId="34" xfId="0" applyNumberFormat="1" applyFont="1" applyFill="1" applyBorder="1" applyAlignment="1">
      <alignment horizontal="right"/>
    </xf>
    <xf numFmtId="164" fontId="6" fillId="13" borderId="34" xfId="0" applyNumberFormat="1" applyFont="1" applyFill="1" applyBorder="1" applyAlignment="1">
      <alignment horizontal="right"/>
    </xf>
    <xf numFmtId="164" fontId="6" fillId="0" borderId="0" xfId="0" applyNumberFormat="1" applyFont="1" applyAlignment="1">
      <alignment horizontal="right"/>
    </xf>
    <xf numFmtId="184" fontId="6" fillId="12" borderId="34" xfId="0" applyNumberFormat="1" applyFont="1" applyFill="1" applyBorder="1" applyAlignment="1">
      <alignment horizontal="right"/>
    </xf>
    <xf numFmtId="184" fontId="6" fillId="13" borderId="34" xfId="0" applyNumberFormat="1" applyFont="1" applyFill="1" applyBorder="1" applyAlignment="1">
      <alignment horizontal="right"/>
    </xf>
    <xf numFmtId="184" fontId="6" fillId="0" borderId="0" xfId="0" applyNumberFormat="1" applyFont="1" applyAlignment="1">
      <alignment horizontal="right"/>
    </xf>
    <xf numFmtId="0" fontId="15" fillId="12" borderId="34" xfId="0" applyFont="1" applyFill="1" applyBorder="1" applyAlignment="1">
      <alignment horizontal="right"/>
    </xf>
    <xf numFmtId="0" fontId="15" fillId="13" borderId="34" xfId="0" applyFont="1" applyFill="1" applyBorder="1" applyAlignment="1">
      <alignment horizontal="right"/>
    </xf>
    <xf numFmtId="0" fontId="15" fillId="0" borderId="0" xfId="0" applyFont="1" applyAlignment="1">
      <alignment horizontal="right"/>
    </xf>
    <xf numFmtId="0" fontId="6" fillId="3" borderId="21" xfId="0" applyFont="1" applyFill="1" applyBorder="1" applyAlignment="1">
      <alignment horizontal="left"/>
    </xf>
    <xf numFmtId="0" fontId="12" fillId="3" borderId="22" xfId="0" applyFont="1" applyFill="1" applyBorder="1"/>
    <xf numFmtId="0" fontId="33" fillId="3" borderId="22" xfId="0" applyFont="1" applyFill="1" applyBorder="1" applyAlignment="1">
      <alignment horizontal="center"/>
    </xf>
    <xf numFmtId="0" fontId="12" fillId="3" borderId="22" xfId="0" applyFont="1" applyFill="1" applyBorder="1" applyAlignment="1">
      <alignment horizontal="center"/>
    </xf>
    <xf numFmtId="0" fontId="12" fillId="3" borderId="23" xfId="0" applyFont="1" applyFill="1" applyBorder="1" applyAlignment="1">
      <alignment horizontal="center"/>
    </xf>
    <xf numFmtId="0" fontId="6" fillId="3" borderId="5" xfId="0" applyFont="1" applyFill="1" applyBorder="1" applyAlignment="1">
      <alignment horizontal="left"/>
    </xf>
    <xf numFmtId="0" fontId="12" fillId="3" borderId="6" xfId="0" applyFont="1" applyFill="1" applyBorder="1"/>
    <xf numFmtId="0" fontId="33" fillId="3" borderId="6" xfId="0" applyFont="1" applyFill="1" applyBorder="1" applyAlignment="1">
      <alignment horizontal="right"/>
    </xf>
    <xf numFmtId="0" fontId="12" fillId="3" borderId="6" xfId="0" applyFont="1" applyFill="1" applyBorder="1" applyAlignment="1">
      <alignment horizontal="right"/>
    </xf>
    <xf numFmtId="0" fontId="12" fillId="3" borderId="7" xfId="0" applyFont="1" applyFill="1" applyBorder="1" applyAlignment="1">
      <alignment horizontal="right"/>
    </xf>
    <xf numFmtId="181" fontId="15" fillId="13" borderId="34" xfId="0" applyNumberFormat="1" applyFont="1" applyFill="1" applyBorder="1" applyAlignment="1">
      <alignment horizontal="right"/>
    </xf>
    <xf numFmtId="181" fontId="15" fillId="0" borderId="0" xfId="0" applyNumberFormat="1" applyFont="1" applyAlignment="1">
      <alignment horizontal="right"/>
    </xf>
    <xf numFmtId="0" fontId="33" fillId="3" borderId="22" xfId="0" applyFont="1" applyFill="1" applyBorder="1" applyAlignment="1">
      <alignment horizontal="right"/>
    </xf>
    <xf numFmtId="0" fontId="12" fillId="3" borderId="22" xfId="0" applyFont="1" applyFill="1" applyBorder="1" applyAlignment="1">
      <alignment horizontal="right"/>
    </xf>
    <xf numFmtId="0" fontId="12" fillId="3" borderId="23" xfId="0" applyFont="1" applyFill="1" applyBorder="1" applyAlignment="1">
      <alignment horizontal="right"/>
    </xf>
    <xf numFmtId="180" fontId="13" fillId="12" borderId="34" xfId="0" applyNumberFormat="1" applyFont="1" applyFill="1" applyBorder="1" applyAlignment="1">
      <alignment horizontal="right"/>
    </xf>
    <xf numFmtId="181" fontId="41" fillId="13" borderId="34" xfId="0" applyNumberFormat="1" applyFont="1" applyFill="1" applyBorder="1" applyAlignment="1">
      <alignment horizontal="right"/>
    </xf>
    <xf numFmtId="181" fontId="41" fillId="0" borderId="0" xfId="0" applyNumberFormat="1" applyFont="1" applyAlignment="1">
      <alignment horizontal="right"/>
    </xf>
    <xf numFmtId="191" fontId="6" fillId="13" borderId="34" xfId="0" applyNumberFormat="1" applyFont="1" applyFill="1" applyBorder="1" applyAlignment="1">
      <alignment horizontal="right"/>
    </xf>
    <xf numFmtId="191" fontId="6" fillId="0" borderId="0" xfId="0" applyNumberFormat="1" applyFont="1" applyAlignment="1">
      <alignment horizontal="right"/>
    </xf>
    <xf numFmtId="191" fontId="41" fillId="13" borderId="34" xfId="0" applyNumberFormat="1" applyFont="1" applyFill="1" applyBorder="1" applyAlignment="1">
      <alignment horizontal="right"/>
    </xf>
    <xf numFmtId="191" fontId="41" fillId="0" borderId="0" xfId="0" applyNumberFormat="1" applyFont="1" applyAlignment="1">
      <alignment horizontal="right"/>
    </xf>
    <xf numFmtId="173" fontId="41" fillId="0" borderId="0" xfId="0" applyNumberFormat="1" applyFont="1" applyAlignment="1">
      <alignment horizontal="right"/>
    </xf>
    <xf numFmtId="179" fontId="41" fillId="13" borderId="34" xfId="0" applyNumberFormat="1" applyFont="1" applyFill="1" applyBorder="1" applyAlignment="1">
      <alignment horizontal="right"/>
    </xf>
    <xf numFmtId="179" fontId="41" fillId="0" borderId="0" xfId="0" applyNumberFormat="1" applyFont="1" applyAlignment="1">
      <alignment horizontal="right"/>
    </xf>
    <xf numFmtId="0" fontId="44" fillId="0" borderId="0" xfId="0" applyFont="1"/>
    <xf numFmtId="0" fontId="4" fillId="0" borderId="0" xfId="0" applyFont="1"/>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47" fillId="0" borderId="0" xfId="0" applyFont="1" applyAlignment="1">
      <alignment horizontal="center"/>
    </xf>
    <xf numFmtId="171" fontId="48" fillId="0" borderId="0" xfId="0" applyNumberFormat="1" applyFont="1" applyAlignment="1">
      <alignment horizontal="center"/>
    </xf>
    <xf numFmtId="9" fontId="6" fillId="0" borderId="0" xfId="0" applyNumberFormat="1" applyFont="1" applyAlignment="1">
      <alignment horizontal="center"/>
    </xf>
    <xf numFmtId="5" fontId="12" fillId="2" borderId="6" xfId="0" applyNumberFormat="1" applyFont="1" applyFill="1" applyBorder="1" applyAlignment="1">
      <alignment horizontal="center"/>
    </xf>
    <xf numFmtId="192" fontId="12" fillId="2" borderId="6" xfId="0" applyNumberFormat="1" applyFont="1" applyFill="1" applyBorder="1" applyAlignment="1">
      <alignment horizontal="center"/>
    </xf>
    <xf numFmtId="172" fontId="12" fillId="2" borderId="6" xfId="0" applyNumberFormat="1" applyFont="1" applyFill="1" applyBorder="1" applyAlignment="1">
      <alignment horizontal="center"/>
    </xf>
    <xf numFmtId="172" fontId="12" fillId="2" borderId="7" xfId="0" applyNumberFormat="1" applyFont="1" applyFill="1" applyBorder="1" applyAlignment="1">
      <alignment horizontal="center"/>
    </xf>
    <xf numFmtId="193" fontId="12" fillId="2" borderId="6" xfId="0" applyNumberFormat="1" applyFont="1" applyFill="1" applyBorder="1" applyAlignment="1">
      <alignment horizontal="center"/>
    </xf>
    <xf numFmtId="194" fontId="6" fillId="0" borderId="0" xfId="0" applyNumberFormat="1" applyFont="1" applyAlignment="1">
      <alignment horizontal="center"/>
    </xf>
    <xf numFmtId="193" fontId="6" fillId="0" borderId="0" xfId="0" applyNumberFormat="1" applyFont="1" applyAlignment="1">
      <alignment horizontal="center"/>
    </xf>
    <xf numFmtId="195" fontId="6" fillId="0" borderId="0" xfId="0" applyNumberFormat="1" applyFont="1" applyAlignment="1">
      <alignment horizontal="center"/>
    </xf>
    <xf numFmtId="37" fontId="6" fillId="0" borderId="0" xfId="0" applyNumberFormat="1" applyFont="1" applyAlignment="1">
      <alignment horizontal="center"/>
    </xf>
    <xf numFmtId="192" fontId="6" fillId="0" borderId="0" xfId="0" applyNumberFormat="1" applyFont="1" applyAlignment="1">
      <alignment horizontal="center"/>
    </xf>
    <xf numFmtId="172" fontId="6" fillId="0" borderId="0" xfId="0" applyNumberFormat="1" applyFont="1" applyAlignment="1">
      <alignment horizontal="center"/>
    </xf>
    <xf numFmtId="166" fontId="6" fillId="0" borderId="0" xfId="0" applyNumberFormat="1" applyFont="1" applyAlignment="1">
      <alignment horizontal="center"/>
    </xf>
    <xf numFmtId="0" fontId="6" fillId="4" borderId="78" xfId="0" applyFont="1" applyFill="1" applyBorder="1"/>
    <xf numFmtId="0" fontId="6" fillId="4" borderId="79" xfId="0" applyFont="1" applyFill="1" applyBorder="1"/>
    <xf numFmtId="0" fontId="6" fillId="4" borderId="79" xfId="0" applyFont="1" applyFill="1" applyBorder="1" applyAlignment="1">
      <alignment horizontal="center"/>
    </xf>
    <xf numFmtId="5" fontId="6" fillId="4" borderId="79" xfId="0" applyNumberFormat="1" applyFont="1" applyFill="1" applyBorder="1" applyAlignment="1">
      <alignment horizontal="center"/>
    </xf>
    <xf numFmtId="192" fontId="6" fillId="4" borderId="79" xfId="0" applyNumberFormat="1" applyFont="1" applyFill="1" applyBorder="1" applyAlignment="1">
      <alignment horizontal="center"/>
    </xf>
    <xf numFmtId="195" fontId="6" fillId="4" borderId="79" xfId="0" applyNumberFormat="1" applyFont="1" applyFill="1" applyBorder="1" applyAlignment="1">
      <alignment horizontal="center"/>
    </xf>
    <xf numFmtId="172" fontId="6" fillId="4" borderId="79" xfId="0" applyNumberFormat="1" applyFont="1" applyFill="1" applyBorder="1" applyAlignment="1">
      <alignment horizontal="center"/>
    </xf>
    <xf numFmtId="172" fontId="6" fillId="4" borderId="80" xfId="0" applyNumberFormat="1" applyFont="1" applyFill="1" applyBorder="1" applyAlignment="1">
      <alignment horizontal="center"/>
    </xf>
    <xf numFmtId="193" fontId="6" fillId="4" borderId="79" xfId="0" applyNumberFormat="1" applyFont="1" applyFill="1" applyBorder="1" applyAlignment="1">
      <alignment horizontal="center"/>
    </xf>
    <xf numFmtId="0" fontId="6" fillId="4" borderId="81" xfId="0" applyFont="1" applyFill="1" applyBorder="1"/>
    <xf numFmtId="0" fontId="6" fillId="4" borderId="34" xfId="0" applyFont="1" applyFill="1" applyBorder="1" applyAlignment="1">
      <alignment horizontal="center"/>
    </xf>
    <xf numFmtId="37" fontId="6" fillId="4" borderId="34" xfId="0" applyNumberFormat="1" applyFont="1" applyFill="1" applyBorder="1" applyAlignment="1">
      <alignment horizontal="center"/>
    </xf>
    <xf numFmtId="192" fontId="6" fillId="4" borderId="34" xfId="0" applyNumberFormat="1" applyFont="1" applyFill="1" applyBorder="1" applyAlignment="1">
      <alignment horizontal="center"/>
    </xf>
    <xf numFmtId="195" fontId="6" fillId="4" borderId="34" xfId="0" applyNumberFormat="1" applyFont="1" applyFill="1" applyBorder="1" applyAlignment="1">
      <alignment horizontal="center"/>
    </xf>
    <xf numFmtId="172" fontId="6" fillId="4" borderId="34" xfId="0" applyNumberFormat="1" applyFont="1" applyFill="1" applyBorder="1" applyAlignment="1">
      <alignment horizontal="center"/>
    </xf>
    <xf numFmtId="172" fontId="6" fillId="4" borderId="82" xfId="0" applyNumberFormat="1" applyFont="1" applyFill="1" applyBorder="1" applyAlignment="1">
      <alignment horizontal="center"/>
    </xf>
    <xf numFmtId="193" fontId="6" fillId="4" borderId="34" xfId="0" applyNumberFormat="1" applyFont="1" applyFill="1" applyBorder="1" applyAlignment="1">
      <alignment horizontal="center"/>
    </xf>
    <xf numFmtId="0" fontId="6" fillId="4" borderId="83" xfId="0" applyFont="1" applyFill="1" applyBorder="1"/>
    <xf numFmtId="0" fontId="6" fillId="4" borderId="84" xfId="0" applyFont="1" applyFill="1" applyBorder="1"/>
    <xf numFmtId="37" fontId="6" fillId="4" borderId="84" xfId="0" applyNumberFormat="1" applyFont="1" applyFill="1" applyBorder="1" applyAlignment="1">
      <alignment horizontal="center"/>
    </xf>
    <xf numFmtId="192" fontId="6" fillId="4" borderId="84" xfId="0" applyNumberFormat="1" applyFont="1" applyFill="1" applyBorder="1" applyAlignment="1">
      <alignment horizontal="center"/>
    </xf>
    <xf numFmtId="195" fontId="6" fillId="4" borderId="84" xfId="0" applyNumberFormat="1" applyFont="1" applyFill="1" applyBorder="1" applyAlignment="1">
      <alignment horizontal="center"/>
    </xf>
    <xf numFmtId="172" fontId="6" fillId="4" borderId="84" xfId="0" applyNumberFormat="1" applyFont="1" applyFill="1" applyBorder="1" applyAlignment="1">
      <alignment horizontal="center"/>
    </xf>
    <xf numFmtId="172" fontId="6" fillId="4" borderId="85" xfId="0" applyNumberFormat="1" applyFont="1" applyFill="1" applyBorder="1" applyAlignment="1">
      <alignment horizontal="center"/>
    </xf>
    <xf numFmtId="193" fontId="6" fillId="4" borderId="84" xfId="0" applyNumberFormat="1" applyFont="1" applyFill="1" applyBorder="1" applyAlignment="1">
      <alignment horizontal="center"/>
    </xf>
    <xf numFmtId="0" fontId="49" fillId="0" borderId="0" xfId="0" applyFont="1" applyAlignment="1">
      <alignment horizontal="center"/>
    </xf>
    <xf numFmtId="196" fontId="12" fillId="2" borderId="6" xfId="0" applyNumberFormat="1" applyFont="1" applyFill="1" applyBorder="1" applyAlignment="1">
      <alignment horizontal="center"/>
    </xf>
    <xf numFmtId="197" fontId="6" fillId="0" borderId="0" xfId="0" applyNumberFormat="1" applyFont="1" applyAlignment="1">
      <alignment horizontal="center"/>
    </xf>
    <xf numFmtId="196" fontId="6" fillId="0" borderId="0" xfId="0" applyNumberFormat="1" applyFont="1" applyAlignment="1">
      <alignment horizontal="center"/>
    </xf>
    <xf numFmtId="167" fontId="6" fillId="0" borderId="0" xfId="0" applyNumberFormat="1" applyFont="1" applyAlignment="1">
      <alignment horizontal="center"/>
    </xf>
    <xf numFmtId="39" fontId="6" fillId="4" borderId="79" xfId="0" applyNumberFormat="1" applyFont="1" applyFill="1" applyBorder="1" applyAlignment="1">
      <alignment horizontal="center"/>
    </xf>
    <xf numFmtId="0" fontId="6" fillId="4" borderId="80" xfId="0" applyFont="1" applyFill="1" applyBorder="1" applyAlignment="1">
      <alignment horizontal="center"/>
    </xf>
    <xf numFmtId="39" fontId="6" fillId="4" borderId="34" xfId="0" applyNumberFormat="1" applyFont="1" applyFill="1" applyBorder="1" applyAlignment="1">
      <alignment horizontal="center"/>
    </xf>
    <xf numFmtId="0" fontId="6" fillId="4" borderId="82" xfId="0" applyFont="1" applyFill="1" applyBorder="1" applyAlignment="1">
      <alignment horizontal="center"/>
    </xf>
    <xf numFmtId="39" fontId="6" fillId="4" borderId="84" xfId="0" applyNumberFormat="1" applyFont="1" applyFill="1" applyBorder="1" applyAlignment="1">
      <alignment horizontal="center"/>
    </xf>
    <xf numFmtId="0" fontId="6" fillId="4" borderId="84" xfId="0" applyFont="1" applyFill="1" applyBorder="1" applyAlignment="1">
      <alignment horizontal="center"/>
    </xf>
    <xf numFmtId="0" fontId="6" fillId="4" borderId="85" xfId="0" applyFont="1" applyFill="1" applyBorder="1" applyAlignment="1">
      <alignment horizontal="center"/>
    </xf>
    <xf numFmtId="0" fontId="6" fillId="0" borderId="1" xfId="0" applyFont="1" applyBorder="1"/>
    <xf numFmtId="198" fontId="6" fillId="0" borderId="1" xfId="0" applyNumberFormat="1" applyFont="1" applyBorder="1" applyAlignment="1">
      <alignment horizontal="center"/>
    </xf>
    <xf numFmtId="0" fontId="6" fillId="0" borderId="1" xfId="0" applyFont="1" applyBorder="1" applyAlignment="1">
      <alignment horizontal="center"/>
    </xf>
    <xf numFmtId="172" fontId="6" fillId="0" borderId="1" xfId="0" applyNumberFormat="1" applyFont="1" applyBorder="1" applyAlignment="1">
      <alignment horizontal="center"/>
    </xf>
    <xf numFmtId="195" fontId="6" fillId="0" borderId="1" xfId="0" applyNumberFormat="1" applyFont="1" applyBorder="1" applyAlignment="1">
      <alignment horizontal="center"/>
    </xf>
    <xf numFmtId="198" fontId="6" fillId="0" borderId="0" xfId="0" applyNumberFormat="1" applyFont="1" applyAlignment="1">
      <alignment horizontal="center"/>
    </xf>
    <xf numFmtId="0" fontId="6" fillId="5" borderId="5" xfId="0" applyFont="1" applyFill="1" applyBorder="1"/>
    <xf numFmtId="0" fontId="6" fillId="5" borderId="7" xfId="0" applyFont="1" applyFill="1" applyBorder="1"/>
    <xf numFmtId="0" fontId="50" fillId="0" borderId="0" xfId="0" applyFont="1"/>
    <xf numFmtId="0" fontId="14" fillId="0" borderId="0" xfId="0" applyFont="1"/>
    <xf numFmtId="0" fontId="6" fillId="16" borderId="5" xfId="0" applyFont="1" applyFill="1" applyBorder="1"/>
    <xf numFmtId="0" fontId="6" fillId="16" borderId="6" xfId="0" applyFont="1" applyFill="1" applyBorder="1"/>
    <xf numFmtId="0" fontId="6" fillId="16" borderId="6" xfId="0" applyFont="1" applyFill="1" applyBorder="1" applyAlignment="1">
      <alignment horizontal="center"/>
    </xf>
    <xf numFmtId="5" fontId="6" fillId="16" borderId="6" xfId="0" applyNumberFormat="1" applyFont="1" applyFill="1" applyBorder="1" applyAlignment="1">
      <alignment horizontal="center"/>
    </xf>
    <xf numFmtId="193" fontId="6" fillId="16" borderId="6" xfId="0" applyNumberFormat="1" applyFont="1" applyFill="1" applyBorder="1" applyAlignment="1">
      <alignment horizontal="center"/>
    </xf>
    <xf numFmtId="172" fontId="6" fillId="16" borderId="6" xfId="0" applyNumberFormat="1" applyFont="1" applyFill="1" applyBorder="1" applyAlignment="1">
      <alignment horizontal="center"/>
    </xf>
    <xf numFmtId="172" fontId="6" fillId="16" borderId="7" xfId="0" applyNumberFormat="1" applyFont="1" applyFill="1" applyBorder="1" applyAlignment="1">
      <alignment horizontal="center"/>
    </xf>
    <xf numFmtId="169" fontId="6" fillId="0" borderId="0" xfId="0" applyNumberFormat="1" applyFont="1" applyAlignment="1">
      <alignment horizontal="center"/>
    </xf>
    <xf numFmtId="0" fontId="12" fillId="2" borderId="86" xfId="0" applyFont="1" applyFill="1" applyBorder="1"/>
    <xf numFmtId="0" fontId="12" fillId="2" borderId="87" xfId="0" applyFont="1" applyFill="1" applyBorder="1"/>
    <xf numFmtId="0" fontId="12" fillId="2" borderId="87" xfId="0" applyFont="1" applyFill="1" applyBorder="1" applyAlignment="1">
      <alignment horizontal="center"/>
    </xf>
    <xf numFmtId="5" fontId="12" fillId="2" borderId="87" xfId="0" applyNumberFormat="1" applyFont="1" applyFill="1" applyBorder="1" applyAlignment="1">
      <alignment horizontal="center"/>
    </xf>
    <xf numFmtId="193" fontId="12" fillId="2" borderId="87" xfId="0" applyNumberFormat="1" applyFont="1" applyFill="1" applyBorder="1" applyAlignment="1">
      <alignment horizontal="center"/>
    </xf>
    <xf numFmtId="195" fontId="12" fillId="2" borderId="87" xfId="0" applyNumberFormat="1" applyFont="1" applyFill="1" applyBorder="1" applyAlignment="1">
      <alignment horizontal="center"/>
    </xf>
    <xf numFmtId="172" fontId="12" fillId="2" borderId="87" xfId="0" applyNumberFormat="1" applyFont="1" applyFill="1" applyBorder="1" applyAlignment="1">
      <alignment horizontal="center"/>
    </xf>
    <xf numFmtId="172" fontId="12" fillId="2" borderId="88" xfId="0" applyNumberFormat="1" applyFont="1" applyFill="1" applyBorder="1" applyAlignment="1">
      <alignment horizontal="center"/>
    </xf>
    <xf numFmtId="0" fontId="12" fillId="2" borderId="89" xfId="0" applyFont="1" applyFill="1" applyBorder="1"/>
    <xf numFmtId="0" fontId="12" fillId="2" borderId="76" xfId="0" applyFont="1" applyFill="1" applyBorder="1"/>
    <xf numFmtId="0" fontId="12" fillId="2" borderId="76" xfId="0" applyFont="1" applyFill="1" applyBorder="1" applyAlignment="1">
      <alignment horizontal="center"/>
    </xf>
    <xf numFmtId="37" fontId="12" fillId="2" borderId="76" xfId="0" applyNumberFormat="1" applyFont="1" applyFill="1" applyBorder="1" applyAlignment="1">
      <alignment horizontal="center"/>
    </xf>
    <xf numFmtId="193" fontId="12" fillId="2" borderId="76" xfId="0" applyNumberFormat="1" applyFont="1" applyFill="1" applyBorder="1" applyAlignment="1">
      <alignment horizontal="center"/>
    </xf>
    <xf numFmtId="199" fontId="12" fillId="2" borderId="76" xfId="0" applyNumberFormat="1" applyFont="1" applyFill="1" applyBorder="1" applyAlignment="1">
      <alignment horizontal="center"/>
    </xf>
    <xf numFmtId="172" fontId="12" fillId="2" borderId="76" xfId="0" applyNumberFormat="1" applyFont="1" applyFill="1" applyBorder="1" applyAlignment="1">
      <alignment horizontal="center"/>
    </xf>
    <xf numFmtId="172" fontId="12" fillId="2" borderId="90" xfId="0" applyNumberFormat="1" applyFont="1" applyFill="1" applyBorder="1" applyAlignment="1">
      <alignment horizontal="center"/>
    </xf>
    <xf numFmtId="0" fontId="12" fillId="2" borderId="91" xfId="0" applyFont="1" applyFill="1" applyBorder="1"/>
    <xf numFmtId="0" fontId="12" fillId="2" borderId="92" xfId="0" applyFont="1" applyFill="1" applyBorder="1"/>
    <xf numFmtId="37" fontId="12" fillId="2" borderId="92" xfId="0" applyNumberFormat="1" applyFont="1" applyFill="1" applyBorder="1" applyAlignment="1">
      <alignment horizontal="center"/>
    </xf>
    <xf numFmtId="193" fontId="12" fillId="2" borderId="92" xfId="0" applyNumberFormat="1" applyFont="1" applyFill="1" applyBorder="1" applyAlignment="1">
      <alignment horizontal="center"/>
    </xf>
    <xf numFmtId="199" fontId="12" fillId="2" borderId="92" xfId="0" applyNumberFormat="1" applyFont="1" applyFill="1" applyBorder="1" applyAlignment="1">
      <alignment horizontal="center"/>
    </xf>
    <xf numFmtId="172" fontId="12" fillId="2" borderId="92" xfId="0" applyNumberFormat="1" applyFont="1" applyFill="1" applyBorder="1" applyAlignment="1">
      <alignment horizontal="center"/>
    </xf>
    <xf numFmtId="172" fontId="12" fillId="2" borderId="93" xfId="0" applyNumberFormat="1" applyFont="1" applyFill="1" applyBorder="1" applyAlignment="1">
      <alignment horizontal="center"/>
    </xf>
    <xf numFmtId="196" fontId="6" fillId="16" borderId="6" xfId="0" applyNumberFormat="1" applyFont="1" applyFill="1" applyBorder="1" applyAlignment="1">
      <alignment horizontal="center"/>
    </xf>
    <xf numFmtId="0" fontId="6" fillId="16" borderId="7" xfId="0" applyFont="1" applyFill="1" applyBorder="1" applyAlignment="1">
      <alignment horizontal="center"/>
    </xf>
    <xf numFmtId="176" fontId="6" fillId="0" borderId="0" xfId="0" applyNumberFormat="1" applyFont="1" applyAlignment="1">
      <alignment horizontal="center"/>
    </xf>
    <xf numFmtId="2" fontId="12" fillId="2" borderId="87" xfId="0" applyNumberFormat="1" applyFont="1" applyFill="1" applyBorder="1" applyAlignment="1">
      <alignment horizontal="center"/>
    </xf>
    <xf numFmtId="2" fontId="12" fillId="2" borderId="76" xfId="0" applyNumberFormat="1" applyFont="1" applyFill="1" applyBorder="1" applyAlignment="1">
      <alignment horizontal="center"/>
    </xf>
    <xf numFmtId="174" fontId="12" fillId="2" borderId="76" xfId="0" applyNumberFormat="1" applyFont="1" applyFill="1" applyBorder="1" applyAlignment="1">
      <alignment horizontal="center"/>
    </xf>
    <xf numFmtId="2" fontId="12" fillId="2" borderId="92" xfId="0" applyNumberFormat="1" applyFont="1" applyFill="1" applyBorder="1" applyAlignment="1">
      <alignment horizontal="center"/>
    </xf>
    <xf numFmtId="174" fontId="12" fillId="2" borderId="92" xfId="0" applyNumberFormat="1" applyFont="1" applyFill="1" applyBorder="1" applyAlignment="1">
      <alignment horizontal="center"/>
    </xf>
    <xf numFmtId="0" fontId="6" fillId="16" borderId="84" xfId="0" applyFont="1" applyFill="1" applyBorder="1"/>
    <xf numFmtId="0" fontId="15" fillId="0" borderId="25" xfId="0" applyFont="1" applyBorder="1"/>
    <xf numFmtId="0" fontId="15" fillId="0" borderId="0" xfId="0" applyFont="1"/>
    <xf numFmtId="0" fontId="15" fillId="0" borderId="18" xfId="0" applyFont="1" applyBorder="1"/>
    <xf numFmtId="0" fontId="6" fillId="0" borderId="18" xfId="0" applyFont="1" applyBorder="1"/>
    <xf numFmtId="0" fontId="15" fillId="0" borderId="17" xfId="0" applyFont="1" applyBorder="1"/>
    <xf numFmtId="0" fontId="15" fillId="0" borderId="56" xfId="0" applyFont="1" applyBorder="1"/>
    <xf numFmtId="0" fontId="15" fillId="0" borderId="10" xfId="0" applyFont="1" applyBorder="1"/>
    <xf numFmtId="0" fontId="15" fillId="0" borderId="56" xfId="0" quotePrefix="1" applyFont="1" applyBorder="1"/>
    <xf numFmtId="0" fontId="15" fillId="0" borderId="25" xfId="0" quotePrefix="1" applyFont="1" applyBorder="1"/>
    <xf numFmtId="0" fontId="33" fillId="0" borderId="0" xfId="0" applyFont="1"/>
    <xf numFmtId="200" fontId="12" fillId="0" borderId="0" xfId="0" applyNumberFormat="1" applyFont="1" applyAlignment="1">
      <alignment horizontal="left"/>
    </xf>
    <xf numFmtId="0" fontId="51" fillId="17" borderId="34" xfId="0" applyFont="1" applyFill="1" applyBorder="1"/>
    <xf numFmtId="0" fontId="33" fillId="17" borderId="34" xfId="0" applyFont="1" applyFill="1" applyBorder="1"/>
    <xf numFmtId="0" fontId="52" fillId="0" borderId="0" xfId="0" applyFont="1"/>
    <xf numFmtId="0" fontId="52" fillId="0" borderId="17" xfId="0" applyFont="1" applyBorder="1"/>
    <xf numFmtId="0" fontId="11" fillId="0" borderId="17" xfId="0" applyFont="1" applyBorder="1"/>
    <xf numFmtId="0" fontId="6" fillId="3" borderId="4" xfId="0" applyFont="1" applyFill="1" applyBorder="1" applyAlignment="1">
      <alignment horizontal="center"/>
    </xf>
    <xf numFmtId="201" fontId="6" fillId="0" borderId="0" xfId="0" applyNumberFormat="1" applyFont="1"/>
    <xf numFmtId="5" fontId="6" fillId="0" borderId="0" xfId="0" applyNumberFormat="1" applyFont="1" applyAlignment="1">
      <alignment horizontal="center"/>
    </xf>
    <xf numFmtId="166" fontId="3" fillId="0" borderId="0" xfId="0" applyNumberFormat="1" applyFont="1" applyAlignment="1">
      <alignment horizontal="center"/>
    </xf>
    <xf numFmtId="37" fontId="15" fillId="0" borderId="0" xfId="0" applyNumberFormat="1" applyFont="1" applyAlignment="1">
      <alignment horizontal="center"/>
    </xf>
    <xf numFmtId="202" fontId="6" fillId="0" borderId="25" xfId="0" applyNumberFormat="1" applyFont="1" applyBorder="1" applyAlignment="1">
      <alignment horizontal="center"/>
    </xf>
    <xf numFmtId="166" fontId="6" fillId="0" borderId="25" xfId="0" applyNumberFormat="1" applyFont="1" applyBorder="1" applyAlignment="1">
      <alignment horizontal="center"/>
    </xf>
    <xf numFmtId="167" fontId="15" fillId="0" borderId="0" xfId="0" applyNumberFormat="1" applyFont="1"/>
    <xf numFmtId="0" fontId="6" fillId="0" borderId="2" xfId="0" applyFont="1" applyBorder="1"/>
    <xf numFmtId="0" fontId="6" fillId="0" borderId="8" xfId="0" applyFont="1" applyBorder="1"/>
    <xf numFmtId="201" fontId="6" fillId="0" borderId="3" xfId="0" applyNumberFormat="1" applyFont="1" applyBorder="1" applyAlignment="1">
      <alignment horizontal="center"/>
    </xf>
    <xf numFmtId="201" fontId="6" fillId="0" borderId="25" xfId="0" applyNumberFormat="1" applyFont="1" applyBorder="1"/>
    <xf numFmtId="178" fontId="21" fillId="0" borderId="0" xfId="0" applyNumberFormat="1" applyFont="1" applyAlignment="1">
      <alignment horizontal="center"/>
    </xf>
    <xf numFmtId="44" fontId="12" fillId="0" borderId="0" xfId="0" applyNumberFormat="1" applyFont="1"/>
    <xf numFmtId="166" fontId="6" fillId="0" borderId="17" xfId="0" applyNumberFormat="1" applyFont="1" applyBorder="1" applyAlignment="1">
      <alignment horizontal="center"/>
    </xf>
    <xf numFmtId="166" fontId="15" fillId="0" borderId="17" xfId="0" applyNumberFormat="1" applyFont="1" applyBorder="1" applyAlignment="1">
      <alignment horizontal="center"/>
    </xf>
    <xf numFmtId="39" fontId="6" fillId="0" borderId="17" xfId="0" applyNumberFormat="1" applyFont="1" applyBorder="1"/>
    <xf numFmtId="166" fontId="6" fillId="0" borderId="10" xfId="0" applyNumberFormat="1" applyFont="1" applyBorder="1" applyAlignment="1">
      <alignment horizontal="center"/>
    </xf>
    <xf numFmtId="201" fontId="6" fillId="0" borderId="58" xfId="0" applyNumberFormat="1" applyFont="1" applyBorder="1" applyAlignment="1">
      <alignment horizontal="center"/>
    </xf>
    <xf numFmtId="201" fontId="6" fillId="0" borderId="25" xfId="0" applyNumberFormat="1" applyFont="1" applyBorder="1" applyAlignment="1">
      <alignment horizontal="center"/>
    </xf>
    <xf numFmtId="201" fontId="6" fillId="0" borderId="56" xfId="0" applyNumberFormat="1" applyFont="1" applyBorder="1" applyAlignment="1">
      <alignment horizontal="center"/>
    </xf>
    <xf numFmtId="201" fontId="6" fillId="0" borderId="9" xfId="0" applyNumberFormat="1" applyFont="1" applyBorder="1" applyAlignment="1">
      <alignment horizontal="center"/>
    </xf>
    <xf numFmtId="201" fontId="12" fillId="2" borderId="34" xfId="0" applyNumberFormat="1" applyFont="1" applyFill="1" applyBorder="1" applyAlignment="1">
      <alignment horizontal="center"/>
    </xf>
    <xf numFmtId="201" fontId="6" fillId="0" borderId="10" xfId="0" applyNumberFormat="1" applyFont="1" applyBorder="1" applyAlignment="1">
      <alignment horizontal="center"/>
    </xf>
    <xf numFmtId="166" fontId="15" fillId="0" borderId="10" xfId="0" applyNumberFormat="1" applyFont="1" applyBorder="1" applyAlignment="1">
      <alignment horizontal="center"/>
    </xf>
    <xf numFmtId="201" fontId="6" fillId="0" borderId="16" xfId="0" applyNumberFormat="1" applyFont="1" applyBorder="1" applyAlignment="1">
      <alignment horizontal="center"/>
    </xf>
    <xf numFmtId="201" fontId="6" fillId="0" borderId="17" xfId="0" applyNumberFormat="1" applyFont="1" applyBorder="1" applyAlignment="1">
      <alignment horizontal="center"/>
    </xf>
    <xf numFmtId="201" fontId="6" fillId="0" borderId="18" xfId="0" applyNumberFormat="1" applyFont="1" applyBorder="1" applyAlignment="1">
      <alignment horizontal="center"/>
    </xf>
    <xf numFmtId="167" fontId="13" fillId="0" borderId="0" xfId="0" applyNumberFormat="1" applyFont="1"/>
    <xf numFmtId="39" fontId="6" fillId="0" borderId="0" xfId="0" applyNumberFormat="1" applyFont="1"/>
    <xf numFmtId="39" fontId="13" fillId="0" borderId="0" xfId="0" applyNumberFormat="1" applyFont="1" applyAlignment="1">
      <alignment horizontal="center"/>
    </xf>
    <xf numFmtId="195" fontId="13" fillId="0" borderId="0" xfId="0" applyNumberFormat="1" applyFont="1" applyAlignment="1">
      <alignment horizontal="center"/>
    </xf>
    <xf numFmtId="166" fontId="13" fillId="0" borderId="0" xfId="0" applyNumberFormat="1" applyFont="1" applyAlignment="1">
      <alignment horizontal="center"/>
    </xf>
    <xf numFmtId="39" fontId="6" fillId="0" borderId="0" xfId="0" applyNumberFormat="1" applyFont="1" applyAlignment="1">
      <alignment horizontal="center"/>
    </xf>
    <xf numFmtId="201" fontId="6" fillId="5" borderId="4" xfId="0" applyNumberFormat="1" applyFont="1" applyFill="1" applyBorder="1" applyAlignment="1">
      <alignment horizontal="center"/>
    </xf>
    <xf numFmtId="166" fontId="15" fillId="5" borderId="4" xfId="0" applyNumberFormat="1" applyFont="1" applyFill="1" applyBorder="1" applyAlignment="1">
      <alignment horizontal="center"/>
    </xf>
    <xf numFmtId="166" fontId="6" fillId="5" borderId="4" xfId="0" applyNumberFormat="1" applyFont="1" applyFill="1" applyBorder="1" applyAlignment="1">
      <alignment horizontal="center"/>
    </xf>
    <xf numFmtId="39" fontId="13" fillId="0" borderId="17" xfId="0" applyNumberFormat="1" applyFont="1" applyBorder="1" applyAlignment="1">
      <alignment horizontal="center"/>
    </xf>
    <xf numFmtId="195" fontId="13" fillId="0" borderId="17" xfId="0" applyNumberFormat="1" applyFont="1" applyBorder="1" applyAlignment="1">
      <alignment horizontal="center"/>
    </xf>
    <xf numFmtId="167" fontId="13" fillId="0" borderId="17" xfId="0" applyNumberFormat="1" applyFont="1" applyBorder="1" applyAlignment="1">
      <alignment horizontal="center"/>
    </xf>
    <xf numFmtId="39" fontId="6" fillId="0" borderId="17" xfId="0" applyNumberFormat="1" applyFont="1" applyBorder="1" applyAlignment="1">
      <alignment horizontal="center"/>
    </xf>
    <xf numFmtId="39" fontId="6" fillId="0" borderId="33" xfId="0" applyNumberFormat="1" applyFont="1" applyBorder="1" applyAlignment="1">
      <alignment horizontal="center"/>
    </xf>
    <xf numFmtId="195" fontId="13" fillId="0" borderId="33" xfId="0" applyNumberFormat="1" applyFont="1" applyBorder="1" applyAlignment="1">
      <alignment horizontal="center"/>
    </xf>
    <xf numFmtId="166" fontId="6" fillId="0" borderId="33" xfId="0" applyNumberFormat="1" applyFont="1" applyBorder="1" applyAlignment="1">
      <alignment horizontal="center"/>
    </xf>
    <xf numFmtId="39" fontId="6" fillId="0" borderId="31" xfId="0" applyNumberFormat="1" applyFont="1" applyBorder="1" applyAlignment="1">
      <alignment horizontal="center"/>
    </xf>
    <xf numFmtId="39" fontId="6" fillId="0" borderId="33" xfId="0" applyNumberFormat="1" applyFont="1" applyBorder="1"/>
    <xf numFmtId="203" fontId="6" fillId="0" borderId="33" xfId="0" applyNumberFormat="1" applyFont="1" applyBorder="1"/>
    <xf numFmtId="39" fontId="13" fillId="0" borderId="31" xfId="0" applyNumberFormat="1" applyFont="1" applyBorder="1" applyAlignment="1">
      <alignment horizontal="center"/>
    </xf>
    <xf numFmtId="0" fontId="6" fillId="18" borderId="34" xfId="0" applyFont="1" applyFill="1" applyBorder="1"/>
    <xf numFmtId="0" fontId="6" fillId="18" borderId="34" xfId="0" applyFont="1" applyFill="1" applyBorder="1" applyAlignment="1">
      <alignment horizontal="center"/>
    </xf>
    <xf numFmtId="0" fontId="6"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199" fontId="13" fillId="0" borderId="0" xfId="0" applyNumberFormat="1" applyFont="1" applyAlignment="1">
      <alignment horizontal="center"/>
    </xf>
    <xf numFmtId="8" fontId="13" fillId="0" borderId="0" xfId="0" applyNumberFormat="1" applyFont="1" applyAlignment="1">
      <alignment horizontal="center"/>
    </xf>
    <xf numFmtId="164" fontId="6" fillId="0" borderId="0" xfId="0" applyNumberFormat="1" applyFont="1" applyAlignment="1">
      <alignment horizontal="center"/>
    </xf>
    <xf numFmtId="6" fontId="21" fillId="0" borderId="0" xfId="0" applyNumberFormat="1" applyFont="1" applyAlignment="1">
      <alignment horizontal="center"/>
    </xf>
    <xf numFmtId="0" fontId="12" fillId="0" borderId="0" xfId="0" applyFont="1" applyAlignment="1">
      <alignment shrinkToFit="1"/>
    </xf>
    <xf numFmtId="166" fontId="41" fillId="0" borderId="0" xfId="0" applyNumberFormat="1" applyFont="1" applyAlignment="1">
      <alignment horizontal="center"/>
    </xf>
    <xf numFmtId="0" fontId="6" fillId="3" borderId="22" xfId="0" applyFont="1" applyFill="1" applyBorder="1" applyAlignment="1">
      <alignment horizontal="center"/>
    </xf>
    <xf numFmtId="0" fontId="3" fillId="3" borderId="22" xfId="0" applyFont="1" applyFill="1" applyBorder="1" applyAlignment="1">
      <alignment horizontal="center"/>
    </xf>
    <xf numFmtId="183" fontId="6" fillId="13" borderId="60" xfId="0" applyNumberFormat="1" applyFont="1" applyFill="1" applyBorder="1" applyAlignment="1">
      <alignment horizontal="center"/>
    </xf>
    <xf numFmtId="183" fontId="6" fillId="13" borderId="73" xfId="0" applyNumberFormat="1" applyFont="1" applyFill="1" applyBorder="1" applyAlignment="1">
      <alignment horizontal="center"/>
    </xf>
    <xf numFmtId="183" fontId="6" fillId="0" borderId="0" xfId="0" applyNumberFormat="1" applyFont="1" applyAlignment="1">
      <alignment horizontal="center"/>
    </xf>
    <xf numFmtId="183" fontId="6" fillId="13" borderId="21" xfId="0" applyNumberFormat="1" applyFont="1" applyFill="1" applyBorder="1" applyAlignment="1">
      <alignment horizontal="center"/>
    </xf>
    <xf numFmtId="183" fontId="6" fillId="13" borderId="23" xfId="0" applyNumberFormat="1" applyFont="1" applyFill="1" applyBorder="1" applyAlignment="1">
      <alignment horizontal="center"/>
    </xf>
    <xf numFmtId="0" fontId="6" fillId="3" borderId="23" xfId="0" applyFont="1" applyFill="1" applyBorder="1" applyAlignment="1">
      <alignment horizontal="center"/>
    </xf>
    <xf numFmtId="0" fontId="21" fillId="0" borderId="17" xfId="0" applyFont="1" applyBorder="1"/>
    <xf numFmtId="6" fontId="21" fillId="0" borderId="17" xfId="0" applyNumberFormat="1" applyFont="1" applyBorder="1" applyAlignment="1">
      <alignment horizontal="center"/>
    </xf>
    <xf numFmtId="166" fontId="21" fillId="0" borderId="17" xfId="0" applyNumberFormat="1" applyFont="1" applyBorder="1" applyAlignment="1">
      <alignment horizontal="center"/>
    </xf>
    <xf numFmtId="6" fontId="21" fillId="0" borderId="0" xfId="0" applyNumberFormat="1" applyFont="1"/>
    <xf numFmtId="0" fontId="41" fillId="0" borderId="0" xfId="0" applyFont="1" applyAlignment="1">
      <alignment horizontal="center"/>
    </xf>
    <xf numFmtId="0" fontId="53" fillId="0" borderId="0" xfId="0" applyFont="1" applyAlignment="1">
      <alignment horizontal="center"/>
    </xf>
    <xf numFmtId="0" fontId="53" fillId="0" borderId="0" xfId="0" applyFont="1"/>
    <xf numFmtId="0" fontId="53" fillId="2" borderId="21" xfId="0" applyFont="1" applyFill="1" applyBorder="1" applyAlignment="1">
      <alignment horizontal="left"/>
    </xf>
    <xf numFmtId="0" fontId="53" fillId="2" borderId="22" xfId="0" applyFont="1" applyFill="1" applyBorder="1"/>
    <xf numFmtId="0" fontId="6" fillId="15" borderId="99" xfId="0" applyFont="1" applyFill="1" applyBorder="1"/>
    <xf numFmtId="0" fontId="6" fillId="15" borderId="34" xfId="0" applyFont="1" applyFill="1" applyBorder="1"/>
    <xf numFmtId="0" fontId="6" fillId="15" borderId="100" xfId="0" applyFont="1" applyFill="1" applyBorder="1"/>
    <xf numFmtId="181" fontId="6" fillId="15" borderId="99" xfId="0" applyNumberFormat="1" applyFont="1" applyFill="1" applyBorder="1"/>
    <xf numFmtId="181" fontId="6" fillId="15" borderId="34" xfId="0" applyNumberFormat="1" applyFont="1" applyFill="1" applyBorder="1"/>
    <xf numFmtId="181" fontId="6" fillId="15" borderId="100" xfId="0" applyNumberFormat="1" applyFont="1" applyFill="1" applyBorder="1"/>
    <xf numFmtId="180" fontId="6" fillId="15" borderId="99" xfId="0" applyNumberFormat="1" applyFont="1" applyFill="1" applyBorder="1"/>
    <xf numFmtId="180" fontId="6" fillId="15" borderId="34" xfId="0" applyNumberFormat="1" applyFont="1" applyFill="1" applyBorder="1"/>
    <xf numFmtId="180" fontId="6" fillId="15" borderId="100" xfId="0" applyNumberFormat="1" applyFont="1" applyFill="1" applyBorder="1"/>
    <xf numFmtId="179" fontId="6" fillId="0" borderId="10" xfId="0" applyNumberFormat="1" applyFont="1" applyBorder="1"/>
    <xf numFmtId="5" fontId="6" fillId="0" borderId="10" xfId="0" applyNumberFormat="1" applyFont="1" applyBorder="1"/>
    <xf numFmtId="204" fontId="6" fillId="0" borderId="4" xfId="0" applyNumberFormat="1" applyFont="1" applyBorder="1"/>
    <xf numFmtId="205" fontId="6" fillId="0" borderId="4" xfId="0" applyNumberFormat="1" applyFont="1" applyBorder="1"/>
    <xf numFmtId="37" fontId="6" fillId="0" borderId="10" xfId="0" applyNumberFormat="1" applyFont="1" applyBorder="1"/>
    <xf numFmtId="5" fontId="6" fillId="0" borderId="56" xfId="0" applyNumberFormat="1" applyFont="1" applyBorder="1"/>
    <xf numFmtId="37" fontId="13" fillId="0" borderId="10" xfId="0" applyNumberFormat="1" applyFont="1" applyBorder="1"/>
    <xf numFmtId="37" fontId="15" fillId="0" borderId="10" xfId="0" applyNumberFormat="1" applyFont="1" applyBorder="1"/>
    <xf numFmtId="168" fontId="13" fillId="0" borderId="10" xfId="0" applyNumberFormat="1" applyFont="1" applyBorder="1"/>
    <xf numFmtId="7" fontId="6" fillId="0" borderId="56" xfId="0" applyNumberFormat="1" applyFont="1" applyBorder="1"/>
    <xf numFmtId="0" fontId="21" fillId="0" borderId="16" xfId="0" applyFont="1" applyBorder="1" applyAlignment="1">
      <alignment horizontal="left"/>
    </xf>
    <xf numFmtId="166" fontId="21" fillId="0" borderId="18" xfId="0" applyNumberFormat="1" applyFont="1" applyBorder="1"/>
    <xf numFmtId="204" fontId="6" fillId="5" borderId="4" xfId="0" applyNumberFormat="1" applyFont="1" applyFill="1" applyBorder="1" applyAlignment="1">
      <alignment horizontal="center"/>
    </xf>
    <xf numFmtId="205" fontId="6" fillId="5" borderId="4" xfId="0" applyNumberFormat="1" applyFont="1" applyFill="1" applyBorder="1" applyAlignment="1">
      <alignment horizontal="center"/>
    </xf>
    <xf numFmtId="10" fontId="13" fillId="0" borderId="0" xfId="0" applyNumberFormat="1" applyFont="1" applyAlignment="1">
      <alignment horizontal="center"/>
    </xf>
    <xf numFmtId="183" fontId="15" fillId="0" borderId="0" xfId="0" applyNumberFormat="1" applyFont="1" applyAlignment="1">
      <alignment horizontal="center"/>
    </xf>
    <xf numFmtId="169" fontId="13" fillId="0" borderId="0" xfId="0" applyNumberFormat="1" applyFont="1" applyAlignment="1">
      <alignment horizontal="center"/>
    </xf>
    <xf numFmtId="10" fontId="15" fillId="0" borderId="0" xfId="0" applyNumberFormat="1" applyFont="1" applyAlignment="1">
      <alignment horizontal="center"/>
    </xf>
    <xf numFmtId="167" fontId="6" fillId="5" borderId="4" xfId="0" applyNumberFormat="1" applyFont="1" applyFill="1" applyBorder="1" applyAlignment="1">
      <alignment horizontal="center"/>
    </xf>
    <xf numFmtId="204" fontId="15" fillId="5" borderId="4" xfId="0" applyNumberFormat="1" applyFont="1" applyFill="1" applyBorder="1" applyAlignment="1">
      <alignment horizontal="center"/>
    </xf>
    <xf numFmtId="167" fontId="15" fillId="5" borderId="4" xfId="0" applyNumberFormat="1" applyFont="1" applyFill="1" applyBorder="1" applyAlignment="1">
      <alignment horizontal="center"/>
    </xf>
    <xf numFmtId="206" fontId="15" fillId="0" borderId="0" xfId="0" applyNumberFormat="1" applyFont="1"/>
    <xf numFmtId="7" fontId="12" fillId="0" borderId="0" xfId="0" applyNumberFormat="1" applyFont="1"/>
    <xf numFmtId="195" fontId="6" fillId="0" borderId="17" xfId="0" applyNumberFormat="1" applyFont="1" applyBorder="1" applyAlignment="1">
      <alignment horizontal="center"/>
    </xf>
    <xf numFmtId="195" fontId="15" fillId="0" borderId="17" xfId="0" applyNumberFormat="1" applyFont="1" applyBorder="1" applyAlignment="1">
      <alignment horizontal="center"/>
    </xf>
    <xf numFmtId="166" fontId="12" fillId="0" borderId="0" xfId="0" applyNumberFormat="1" applyFont="1"/>
    <xf numFmtId="166" fontId="6" fillId="0" borderId="10" xfId="0" applyNumberFormat="1" applyFont="1" applyBorder="1"/>
    <xf numFmtId="8" fontId="6" fillId="0" borderId="58" xfId="0" applyNumberFormat="1" applyFont="1" applyBorder="1" applyAlignment="1">
      <alignment horizontal="center"/>
    </xf>
    <xf numFmtId="8" fontId="6" fillId="0" borderId="25" xfId="0" applyNumberFormat="1" applyFont="1" applyBorder="1" applyAlignment="1">
      <alignment horizontal="center"/>
    </xf>
    <xf numFmtId="8" fontId="6" fillId="0" borderId="56" xfId="0" applyNumberFormat="1" applyFont="1" applyBorder="1" applyAlignment="1">
      <alignment horizontal="center"/>
    </xf>
    <xf numFmtId="166" fontId="6" fillId="0" borderId="58" xfId="0" applyNumberFormat="1" applyFont="1" applyBorder="1" applyAlignment="1">
      <alignment horizontal="center"/>
    </xf>
    <xf numFmtId="166" fontId="6" fillId="0" borderId="56" xfId="0" applyNumberFormat="1" applyFont="1" applyBorder="1" applyAlignment="1">
      <alignment horizontal="center"/>
    </xf>
    <xf numFmtId="8" fontId="6" fillId="0" borderId="9" xfId="0" applyNumberFormat="1" applyFont="1" applyBorder="1" applyAlignment="1">
      <alignment horizontal="center"/>
    </xf>
    <xf numFmtId="8" fontId="12" fillId="2" borderId="34" xfId="0" applyNumberFormat="1" applyFont="1" applyFill="1" applyBorder="1" applyAlignment="1">
      <alignment horizontal="center"/>
    </xf>
    <xf numFmtId="8" fontId="6" fillId="0" borderId="10" xfId="0" applyNumberFormat="1" applyFont="1" applyBorder="1" applyAlignment="1">
      <alignment horizontal="center"/>
    </xf>
    <xf numFmtId="166" fontId="6" fillId="0" borderId="9" xfId="0" applyNumberFormat="1" applyFont="1" applyBorder="1" applyAlignment="1">
      <alignment horizontal="center"/>
    </xf>
    <xf numFmtId="166" fontId="15" fillId="0" borderId="102" xfId="0" applyNumberFormat="1" applyFont="1" applyBorder="1"/>
    <xf numFmtId="8" fontId="6" fillId="0" borderId="0" xfId="0" applyNumberFormat="1" applyFont="1" applyAlignment="1">
      <alignment horizontal="center"/>
    </xf>
    <xf numFmtId="8" fontId="6" fillId="0" borderId="16" xfId="0" applyNumberFormat="1" applyFont="1" applyBorder="1" applyAlignment="1">
      <alignment horizontal="center"/>
    </xf>
    <xf numFmtId="8" fontId="6" fillId="0" borderId="17" xfId="0" applyNumberFormat="1" applyFont="1" applyBorder="1" applyAlignment="1">
      <alignment horizontal="center"/>
    </xf>
    <xf numFmtId="8" fontId="6" fillId="0" borderId="18" xfId="0" applyNumberFormat="1" applyFont="1" applyBorder="1" applyAlignment="1">
      <alignment horizontal="center"/>
    </xf>
    <xf numFmtId="166" fontId="6" fillId="0" borderId="16" xfId="0" applyNumberFormat="1" applyFont="1" applyBorder="1" applyAlignment="1">
      <alignment horizontal="center"/>
    </xf>
    <xf numFmtId="166" fontId="6" fillId="0" borderId="18" xfId="0" applyNumberFormat="1" applyFont="1" applyBorder="1" applyAlignment="1">
      <alignment horizontal="center"/>
    </xf>
    <xf numFmtId="166" fontId="15" fillId="0" borderId="103" xfId="0" applyNumberFormat="1" applyFont="1" applyBorder="1" applyAlignment="1">
      <alignment horizontal="center"/>
    </xf>
    <xf numFmtId="166" fontId="15" fillId="0" borderId="10" xfId="0" applyNumberFormat="1" applyFont="1" applyBorder="1"/>
    <xf numFmtId="183" fontId="6" fillId="0" borderId="10" xfId="0" applyNumberFormat="1" applyFont="1" applyBorder="1"/>
    <xf numFmtId="166" fontId="21" fillId="0" borderId="10" xfId="0" applyNumberFormat="1" applyFont="1" applyBorder="1"/>
    <xf numFmtId="166" fontId="21" fillId="0" borderId="10" xfId="0" applyNumberFormat="1" applyFont="1" applyBorder="1" applyAlignment="1">
      <alignment horizontal="right"/>
    </xf>
    <xf numFmtId="166" fontId="41" fillId="0" borderId="10" xfId="0" applyNumberFormat="1" applyFont="1" applyBorder="1"/>
    <xf numFmtId="8" fontId="6" fillId="0" borderId="10" xfId="0" applyNumberFormat="1" applyFont="1" applyBorder="1"/>
    <xf numFmtId="0" fontId="3" fillId="0" borderId="9" xfId="0" applyFont="1" applyBorder="1"/>
    <xf numFmtId="6" fontId="6" fillId="0" borderId="10" xfId="0" applyNumberFormat="1" applyFont="1" applyBorder="1"/>
    <xf numFmtId="164" fontId="6" fillId="0" borderId="10" xfId="0" applyNumberFormat="1" applyFont="1" applyBorder="1"/>
    <xf numFmtId="37" fontId="3" fillId="0" borderId="10" xfId="0" applyNumberFormat="1" applyFont="1" applyBorder="1"/>
    <xf numFmtId="8" fontId="6" fillId="0" borderId="56" xfId="0" applyNumberFormat="1" applyFont="1" applyBorder="1"/>
    <xf numFmtId="8" fontId="6" fillId="0" borderId="18" xfId="0" applyNumberFormat="1" applyFont="1" applyBorder="1"/>
    <xf numFmtId="37" fontId="6" fillId="0" borderId="18" xfId="0" applyNumberFormat="1" applyFont="1" applyBorder="1"/>
    <xf numFmtId="7" fontId="3" fillId="5" borderId="4" xfId="0" applyNumberFormat="1" applyFont="1" applyFill="1" applyBorder="1" applyAlignment="1">
      <alignment horizontal="center"/>
    </xf>
    <xf numFmtId="178" fontId="37" fillId="0" borderId="0" xfId="0" applyNumberFormat="1" applyFont="1" applyAlignment="1">
      <alignment horizontal="center"/>
    </xf>
    <xf numFmtId="178" fontId="54" fillId="0" borderId="0" xfId="0" applyNumberFormat="1" applyFont="1" applyAlignment="1">
      <alignment horizontal="center"/>
    </xf>
    <xf numFmtId="5" fontId="3" fillId="5" borderId="4" xfId="0" applyNumberFormat="1" applyFont="1" applyFill="1" applyBorder="1" applyAlignment="1">
      <alignment horizontal="center"/>
    </xf>
    <xf numFmtId="4" fontId="6" fillId="0" borderId="0" xfId="0" applyNumberFormat="1" applyFont="1"/>
    <xf numFmtId="167" fontId="15" fillId="0" borderId="0" xfId="0" applyNumberFormat="1" applyFont="1" applyAlignment="1">
      <alignment horizontal="center"/>
    </xf>
    <xf numFmtId="7" fontId="6" fillId="0" borderId="10" xfId="0" applyNumberFormat="1" applyFont="1" applyBorder="1"/>
    <xf numFmtId="7" fontId="15" fillId="0" borderId="10" xfId="0" applyNumberFormat="1" applyFont="1" applyBorder="1"/>
    <xf numFmtId="5" fontId="15" fillId="0" borderId="10" xfId="0" applyNumberFormat="1" applyFont="1" applyBorder="1"/>
    <xf numFmtId="181" fontId="13" fillId="0" borderId="10" xfId="0" applyNumberFormat="1" applyFont="1" applyBorder="1"/>
    <xf numFmtId="181" fontId="6" fillId="0" borderId="10" xfId="0" applyNumberFormat="1" applyFont="1" applyBorder="1"/>
    <xf numFmtId="0" fontId="6" fillId="0" borderId="0" xfId="0" applyFont="1" applyAlignment="1">
      <alignment horizontal="center" vertical="center" wrapText="1"/>
    </xf>
    <xf numFmtId="5" fontId="13" fillId="0" borderId="0" xfId="0" applyNumberFormat="1" applyFont="1"/>
    <xf numFmtId="195" fontId="15" fillId="0" borderId="0" xfId="0" applyNumberFormat="1" applyFont="1" applyAlignment="1">
      <alignment horizontal="center"/>
    </xf>
    <xf numFmtId="0" fontId="12" fillId="3" borderId="6" xfId="0" applyFont="1" applyFill="1" applyBorder="1" applyAlignment="1">
      <alignment horizontal="center"/>
    </xf>
    <xf numFmtId="0" fontId="12" fillId="3" borderId="7" xfId="0" applyFont="1" applyFill="1" applyBorder="1" applyAlignment="1">
      <alignment horizontal="center"/>
    </xf>
    <xf numFmtId="0" fontId="12" fillId="2" borderId="34" xfId="0" applyFont="1" applyFill="1" applyBorder="1" applyAlignment="1">
      <alignment horizontal="left"/>
    </xf>
    <xf numFmtId="0" fontId="55" fillId="0" borderId="0" xfId="0" applyFont="1"/>
    <xf numFmtId="0" fontId="56" fillId="0" borderId="0" xfId="0" applyFont="1" applyAlignment="1">
      <alignment horizontal="center"/>
    </xf>
    <xf numFmtId="0" fontId="13" fillId="0" borderId="0" xfId="0" applyFont="1" applyAlignment="1">
      <alignment horizontal="center"/>
    </xf>
    <xf numFmtId="0" fontId="3" fillId="3" borderId="105" xfId="0" applyFont="1" applyFill="1" applyBorder="1" applyAlignment="1">
      <alignment horizontal="center"/>
    </xf>
    <xf numFmtId="0" fontId="3" fillId="3" borderId="34" xfId="0" applyFont="1" applyFill="1" applyBorder="1" applyAlignment="1">
      <alignment horizontal="center"/>
    </xf>
    <xf numFmtId="9" fontId="3" fillId="3" borderId="106" xfId="0" applyNumberFormat="1" applyFont="1" applyFill="1" applyBorder="1" applyAlignment="1">
      <alignment horizontal="center"/>
    </xf>
    <xf numFmtId="0" fontId="3" fillId="3" borderId="106" xfId="0" applyFont="1" applyFill="1" applyBorder="1" applyAlignment="1">
      <alignment horizontal="center"/>
    </xf>
    <xf numFmtId="0" fontId="6" fillId="3" borderId="34" xfId="0" applyFont="1" applyFill="1" applyBorder="1"/>
    <xf numFmtId="183" fontId="15" fillId="0" borderId="9" xfId="0" applyNumberFormat="1" applyFont="1" applyBorder="1" applyAlignment="1">
      <alignment horizontal="center"/>
    </xf>
    <xf numFmtId="183" fontId="15" fillId="0" borderId="10" xfId="0" applyNumberFormat="1" applyFont="1" applyBorder="1" applyAlignment="1">
      <alignment horizontal="center"/>
    </xf>
    <xf numFmtId="0" fontId="3" fillId="0" borderId="10" xfId="0" applyFont="1" applyBorder="1" applyAlignment="1">
      <alignment horizontal="center"/>
    </xf>
    <xf numFmtId="14" fontId="6" fillId="0" borderId="0" xfId="0" applyNumberFormat="1" applyFont="1"/>
    <xf numFmtId="0" fontId="6" fillId="0" borderId="8" xfId="0" applyFont="1" applyBorder="1" applyAlignment="1">
      <alignment horizontal="center"/>
    </xf>
    <xf numFmtId="0" fontId="6" fillId="0" borderId="3" xfId="0" applyFont="1" applyBorder="1" applyAlignment="1">
      <alignment horizontal="center"/>
    </xf>
    <xf numFmtId="171" fontId="6" fillId="0" borderId="0" xfId="0" applyNumberFormat="1" applyFont="1"/>
    <xf numFmtId="0" fontId="6" fillId="0" borderId="45" xfId="0" applyFont="1" applyBorder="1"/>
    <xf numFmtId="166" fontId="40" fillId="0" borderId="0" xfId="0" applyNumberFormat="1" applyFont="1"/>
    <xf numFmtId="207" fontId="15" fillId="0" borderId="0" xfId="0" applyNumberFormat="1" applyFont="1"/>
    <xf numFmtId="0" fontId="6" fillId="0" borderId="49" xfId="0" applyFont="1" applyBorder="1"/>
    <xf numFmtId="208" fontId="40" fillId="0" borderId="0" xfId="0" applyNumberFormat="1" applyFont="1"/>
    <xf numFmtId="0" fontId="13" fillId="0" borderId="45" xfId="0" applyFont="1" applyBorder="1"/>
    <xf numFmtId="208" fontId="41" fillId="0" borderId="0" xfId="0" applyNumberFormat="1" applyFont="1"/>
    <xf numFmtId="208" fontId="21" fillId="0" borderId="0" xfId="0" applyNumberFormat="1" applyFont="1"/>
    <xf numFmtId="7" fontId="13" fillId="0" borderId="0" xfId="0" applyNumberFormat="1" applyFont="1"/>
    <xf numFmtId="5" fontId="15" fillId="0" borderId="0" xfId="0" applyNumberFormat="1" applyFont="1"/>
    <xf numFmtId="0" fontId="13" fillId="0" borderId="8" xfId="0" applyFont="1" applyBorder="1" applyAlignment="1">
      <alignment horizontal="center"/>
    </xf>
    <xf numFmtId="9" fontId="40" fillId="0" borderId="25" xfId="0" applyNumberFormat="1" applyFont="1" applyBorder="1"/>
    <xf numFmtId="9" fontId="40" fillId="0" borderId="0" xfId="0" applyNumberFormat="1" applyFont="1"/>
    <xf numFmtId="0" fontId="6" fillId="0" borderId="0" xfId="0" quotePrefix="1" applyFont="1" applyAlignment="1">
      <alignment horizontal="right"/>
    </xf>
    <xf numFmtId="169" fontId="21" fillId="0" borderId="4" xfId="0" applyNumberFormat="1" applyFont="1" applyBorder="1"/>
    <xf numFmtId="0" fontId="6" fillId="0" borderId="0" xfId="0" quotePrefix="1" applyFont="1"/>
    <xf numFmtId="209" fontId="15" fillId="0" borderId="0" xfId="0" applyNumberFormat="1" applyFont="1"/>
    <xf numFmtId="1" fontId="15" fillId="0" borderId="8" xfId="0" applyNumberFormat="1" applyFont="1" applyBorder="1" applyAlignment="1">
      <alignment horizontal="center"/>
    </xf>
    <xf numFmtId="1" fontId="6" fillId="0" borderId="8" xfId="0" applyNumberFormat="1" applyFont="1" applyBorder="1" applyAlignment="1">
      <alignment horizontal="center"/>
    </xf>
    <xf numFmtId="1" fontId="6" fillId="0" borderId="3" xfId="0" applyNumberFormat="1" applyFont="1" applyBorder="1" applyAlignment="1">
      <alignment horizontal="center"/>
    </xf>
    <xf numFmtId="1" fontId="6" fillId="0" borderId="0" xfId="0" applyNumberFormat="1" applyFont="1" applyAlignment="1">
      <alignment horizontal="center"/>
    </xf>
    <xf numFmtId="37" fontId="15" fillId="0" borderId="0" xfId="0" applyNumberFormat="1" applyFont="1"/>
    <xf numFmtId="0" fontId="12" fillId="2" borderId="34" xfId="0" quotePrefix="1" applyFont="1" applyFill="1" applyBorder="1"/>
    <xf numFmtId="210" fontId="15" fillId="0" borderId="8" xfId="0" applyNumberFormat="1" applyFont="1" applyBorder="1" applyAlignment="1">
      <alignment horizontal="center" vertical="center" wrapText="1"/>
    </xf>
    <xf numFmtId="210" fontId="6" fillId="0" borderId="8" xfId="0" applyNumberFormat="1" applyFont="1" applyBorder="1" applyAlignment="1">
      <alignment horizontal="center" vertical="center" wrapText="1"/>
    </xf>
    <xf numFmtId="210" fontId="6" fillId="0" borderId="3" xfId="0" applyNumberFormat="1" applyFont="1" applyBorder="1" applyAlignment="1">
      <alignment horizontal="center" vertical="center" wrapText="1"/>
    </xf>
    <xf numFmtId="14" fontId="15" fillId="0" borderId="0" xfId="0" applyNumberFormat="1" applyFont="1"/>
    <xf numFmtId="43" fontId="15" fillId="0" borderId="0" xfId="0" applyNumberFormat="1" applyFont="1"/>
    <xf numFmtId="170" fontId="6" fillId="0" borderId="56" xfId="0" applyNumberFormat="1" applyFont="1" applyBorder="1" applyAlignment="1">
      <alignment horizontal="center"/>
    </xf>
    <xf numFmtId="171" fontId="6" fillId="0" borderId="10" xfId="0" applyNumberFormat="1" applyFont="1" applyBorder="1" applyAlignment="1">
      <alignment horizontal="center"/>
    </xf>
    <xf numFmtId="171" fontId="6" fillId="0" borderId="18" xfId="0" applyNumberFormat="1" applyFont="1" applyBorder="1" applyAlignment="1">
      <alignment horizontal="center"/>
    </xf>
    <xf numFmtId="0" fontId="57" fillId="0" borderId="0" xfId="0" applyFont="1"/>
    <xf numFmtId="208" fontId="13" fillId="0" borderId="0" xfId="0" applyNumberFormat="1" applyFont="1"/>
    <xf numFmtId="208" fontId="58" fillId="0" borderId="0" xfId="0" applyNumberFormat="1" applyFont="1"/>
    <xf numFmtId="208" fontId="6" fillId="0" borderId="0" xfId="0" applyNumberFormat="1" applyFont="1"/>
    <xf numFmtId="208" fontId="53" fillId="0" borderId="0" xfId="0" applyNumberFormat="1" applyFont="1"/>
    <xf numFmtId="0" fontId="53" fillId="0" borderId="0" xfId="0" applyFont="1" applyAlignment="1">
      <alignment horizontal="right"/>
    </xf>
    <xf numFmtId="211" fontId="13" fillId="0" borderId="0" xfId="0" applyNumberFormat="1" applyFont="1"/>
    <xf numFmtId="211" fontId="58" fillId="0" borderId="0" xfId="0" applyNumberFormat="1" applyFont="1"/>
    <xf numFmtId="211" fontId="6" fillId="0" borderId="0" xfId="0" applyNumberFormat="1" applyFont="1"/>
    <xf numFmtId="211" fontId="53" fillId="0" borderId="0" xfId="0" applyNumberFormat="1" applyFont="1"/>
    <xf numFmtId="169" fontId="15" fillId="0" borderId="0" xfId="0" applyNumberFormat="1" applyFont="1"/>
    <xf numFmtId="0" fontId="13" fillId="5" borderId="4" xfId="0" applyFont="1" applyFill="1" applyBorder="1" applyAlignment="1">
      <alignment horizontal="center"/>
    </xf>
    <xf numFmtId="0" fontId="6" fillId="5" borderId="4" xfId="0" applyFont="1" applyFill="1" applyBorder="1" applyAlignment="1">
      <alignment horizontal="center"/>
    </xf>
    <xf numFmtId="0" fontId="12" fillId="2" borderId="107" xfId="0" applyFont="1" applyFill="1" applyBorder="1" applyAlignment="1">
      <alignment horizontal="center"/>
    </xf>
    <xf numFmtId="179" fontId="13" fillId="0" borderId="0" xfId="0" applyNumberFormat="1" applyFont="1" applyAlignment="1">
      <alignment horizontal="center"/>
    </xf>
    <xf numFmtId="179" fontId="15" fillId="0" borderId="0" xfId="0" applyNumberFormat="1" applyFont="1" applyAlignment="1">
      <alignment horizontal="center"/>
    </xf>
    <xf numFmtId="198" fontId="6" fillId="0" borderId="108" xfId="0" applyNumberFormat="1" applyFont="1" applyBorder="1" applyAlignment="1">
      <alignment horizontal="center"/>
    </xf>
    <xf numFmtId="168" fontId="13" fillId="0" borderId="0" xfId="0" applyNumberFormat="1" applyFont="1" applyAlignment="1">
      <alignment horizontal="center"/>
    </xf>
    <xf numFmtId="168" fontId="15" fillId="0" borderId="0" xfId="0" applyNumberFormat="1" applyFont="1" applyAlignment="1">
      <alignment horizontal="center"/>
    </xf>
    <xf numFmtId="169" fontId="40" fillId="0" borderId="0" xfId="0" applyNumberFormat="1" applyFont="1" applyAlignment="1">
      <alignment horizontal="center"/>
    </xf>
    <xf numFmtId="169" fontId="41" fillId="0" borderId="0" xfId="0" applyNumberFormat="1" applyFont="1" applyAlignment="1">
      <alignment horizontal="center"/>
    </xf>
    <xf numFmtId="198" fontId="21" fillId="0" borderId="108" xfId="0" applyNumberFormat="1" applyFont="1" applyBorder="1" applyAlignment="1">
      <alignment horizontal="center"/>
    </xf>
    <xf numFmtId="198" fontId="21" fillId="0" borderId="0" xfId="0" applyNumberFormat="1" applyFont="1" applyAlignment="1">
      <alignment horizontal="center"/>
    </xf>
    <xf numFmtId="169" fontId="21" fillId="0" borderId="0" xfId="0" applyNumberFormat="1" applyFont="1" applyAlignment="1">
      <alignment horizontal="center"/>
    </xf>
    <xf numFmtId="7" fontId="13" fillId="0" borderId="0" xfId="0" applyNumberFormat="1" applyFont="1" applyAlignment="1">
      <alignment horizontal="center"/>
    </xf>
    <xf numFmtId="7" fontId="15" fillId="0" borderId="0" xfId="0" applyNumberFormat="1" applyFont="1" applyAlignment="1">
      <alignment horizontal="center"/>
    </xf>
    <xf numFmtId="168" fontId="13" fillId="0" borderId="1" xfId="0" applyNumberFormat="1" applyFont="1" applyBorder="1" applyAlignment="1">
      <alignment horizontal="center"/>
    </xf>
    <xf numFmtId="168" fontId="15" fillId="0" borderId="1" xfId="0" applyNumberFormat="1" applyFont="1" applyBorder="1" applyAlignment="1">
      <alignment horizontal="center"/>
    </xf>
    <xf numFmtId="198" fontId="6" fillId="0" borderId="109" xfId="0" applyNumberFormat="1" applyFont="1" applyBorder="1" applyAlignment="1">
      <alignment horizontal="center"/>
    </xf>
    <xf numFmtId="181" fontId="13" fillId="0" borderId="1" xfId="0" applyNumberFormat="1" applyFont="1" applyBorder="1" applyAlignment="1">
      <alignment horizontal="center"/>
    </xf>
    <xf numFmtId="181" fontId="15" fillId="0" borderId="1" xfId="0" applyNumberFormat="1" applyFont="1" applyBorder="1" applyAlignment="1">
      <alignment horizontal="center"/>
    </xf>
    <xf numFmtId="0" fontId="59" fillId="0" borderId="0" xfId="0" applyFont="1" applyAlignment="1">
      <alignment horizontal="center"/>
    </xf>
    <xf numFmtId="198" fontId="6" fillId="0" borderId="50" xfId="0" applyNumberFormat="1" applyFont="1" applyBorder="1" applyAlignment="1">
      <alignment horizontal="center"/>
    </xf>
    <xf numFmtId="198" fontId="6" fillId="0" borderId="51" xfId="0" applyNumberFormat="1" applyFont="1" applyBorder="1" applyAlignment="1">
      <alignment horizontal="center"/>
    </xf>
    <xf numFmtId="0" fontId="62" fillId="0" borderId="0" xfId="0" applyFont="1" applyAlignment="1">
      <alignment horizontal="left"/>
    </xf>
    <xf numFmtId="0" fontId="62" fillId="0" borderId="0" xfId="0" applyFont="1"/>
    <xf numFmtId="168" fontId="63" fillId="12" borderId="34" xfId="0" applyNumberFormat="1" applyFont="1" applyFill="1" applyBorder="1"/>
    <xf numFmtId="168" fontId="63" fillId="0" borderId="0" xfId="0" applyNumberFormat="1" applyFont="1"/>
    <xf numFmtId="168" fontId="15" fillId="12" borderId="110" xfId="0" applyNumberFormat="1" applyFont="1" applyFill="1" applyBorder="1"/>
    <xf numFmtId="10" fontId="6" fillId="0" borderId="0" xfId="0" applyNumberFormat="1" applyFont="1"/>
    <xf numFmtId="0" fontId="62" fillId="3" borderId="21" xfId="0" applyFont="1" applyFill="1" applyBorder="1" applyAlignment="1">
      <alignment horizontal="left"/>
    </xf>
    <xf numFmtId="168" fontId="6" fillId="0" borderId="110" xfId="0" applyNumberFormat="1" applyFont="1" applyBorder="1"/>
    <xf numFmtId="168" fontId="6" fillId="13" borderId="110" xfId="0" applyNumberFormat="1" applyFont="1" applyFill="1" applyBorder="1"/>
    <xf numFmtId="168" fontId="15" fillId="12" borderId="37" xfId="0" applyNumberFormat="1" applyFont="1" applyFill="1" applyBorder="1"/>
    <xf numFmtId="168" fontId="6" fillId="0" borderId="37" xfId="0" applyNumberFormat="1" applyFont="1" applyBorder="1"/>
    <xf numFmtId="180" fontId="6" fillId="12" borderId="37" xfId="0" applyNumberFormat="1" applyFont="1" applyFill="1" applyBorder="1" applyAlignment="1">
      <alignment horizontal="right"/>
    </xf>
    <xf numFmtId="180" fontId="41" fillId="13" borderId="37" xfId="0" applyNumberFormat="1" applyFont="1" applyFill="1" applyBorder="1" applyAlignment="1">
      <alignment horizontal="right"/>
    </xf>
    <xf numFmtId="180" fontId="64" fillId="20" borderId="34" xfId="0" applyNumberFormat="1" applyFont="1" applyFill="1" applyBorder="1" applyAlignment="1">
      <alignment horizontal="right"/>
    </xf>
    <xf numFmtId="180" fontId="64" fillId="0" borderId="34" xfId="0" applyNumberFormat="1" applyFont="1" applyBorder="1" applyAlignment="1">
      <alignment horizontal="right"/>
    </xf>
    <xf numFmtId="168" fontId="6" fillId="0" borderId="34" xfId="0" applyNumberFormat="1" applyFont="1" applyBorder="1"/>
    <xf numFmtId="169" fontId="6" fillId="0" borderId="34" xfId="0" applyNumberFormat="1" applyFont="1" applyBorder="1"/>
    <xf numFmtId="0" fontId="6" fillId="12" borderId="37" xfId="0" applyFont="1" applyFill="1" applyBorder="1" applyAlignment="1">
      <alignment horizontal="right"/>
    </xf>
    <xf numFmtId="0" fontId="6" fillId="13" borderId="37" xfId="0" applyFont="1" applyFill="1" applyBorder="1" applyAlignment="1">
      <alignment horizontal="right"/>
    </xf>
    <xf numFmtId="168" fontId="13" fillId="13" borderId="37" xfId="0" applyNumberFormat="1" applyFont="1" applyFill="1" applyBorder="1" applyAlignment="1">
      <alignment horizontal="right"/>
    </xf>
    <xf numFmtId="180" fontId="38" fillId="12" borderId="37" xfId="0" applyNumberFormat="1" applyFont="1" applyFill="1" applyBorder="1" applyAlignment="1">
      <alignment horizontal="right"/>
    </xf>
    <xf numFmtId="0" fontId="36" fillId="0" borderId="105" xfId="0" applyFont="1" applyBorder="1" applyAlignment="1">
      <alignment horizontal="center"/>
    </xf>
    <xf numFmtId="0" fontId="36" fillId="0" borderId="106" xfId="0" applyFont="1" applyBorder="1" applyAlignment="1">
      <alignment horizontal="center"/>
    </xf>
    <xf numFmtId="169" fontId="6" fillId="12" borderId="37" xfId="0" applyNumberFormat="1" applyFont="1" applyFill="1" applyBorder="1" applyAlignment="1">
      <alignment horizontal="right"/>
    </xf>
    <xf numFmtId="180" fontId="6" fillId="13" borderId="37" xfId="0" applyNumberFormat="1" applyFont="1" applyFill="1" applyBorder="1" applyAlignment="1">
      <alignment horizontal="right"/>
    </xf>
    <xf numFmtId="7" fontId="6" fillId="0" borderId="0" xfId="0" applyNumberFormat="1" applyFont="1" applyAlignment="1">
      <alignment horizontal="right"/>
    </xf>
    <xf numFmtId="179" fontId="6" fillId="12" borderId="37" xfId="0" applyNumberFormat="1" applyFont="1" applyFill="1" applyBorder="1"/>
    <xf numFmtId="179" fontId="6" fillId="13" borderId="37" xfId="0" applyNumberFormat="1" applyFont="1" applyFill="1" applyBorder="1"/>
    <xf numFmtId="0" fontId="6" fillId="0" borderId="0" xfId="0" applyFont="1" applyAlignment="1">
      <alignment horizontal="left" indent="1"/>
    </xf>
    <xf numFmtId="212" fontId="6" fillId="13" borderId="34" xfId="0" applyNumberFormat="1" applyFont="1" applyFill="1" applyBorder="1"/>
    <xf numFmtId="180" fontId="36" fillId="13" borderId="37" xfId="0" applyNumberFormat="1" applyFont="1" applyFill="1" applyBorder="1" applyAlignment="1">
      <alignment horizontal="right"/>
    </xf>
    <xf numFmtId="169" fontId="38" fillId="12" borderId="37" xfId="0" applyNumberFormat="1" applyFont="1" applyFill="1" applyBorder="1" applyAlignment="1">
      <alignment horizontal="right"/>
    </xf>
    <xf numFmtId="0" fontId="12" fillId="21" borderId="111" xfId="0" applyFont="1" applyFill="1" applyBorder="1" applyAlignment="1">
      <alignment horizontal="left"/>
    </xf>
    <xf numFmtId="0" fontId="12" fillId="21" borderId="112" xfId="0" applyFont="1" applyFill="1" applyBorder="1"/>
    <xf numFmtId="0" fontId="12" fillId="21" borderId="112" xfId="0" applyFont="1" applyFill="1" applyBorder="1" applyAlignment="1">
      <alignment horizontal="center"/>
    </xf>
    <xf numFmtId="0" fontId="12" fillId="21" borderId="113" xfId="0" applyFont="1" applyFill="1" applyBorder="1" applyAlignment="1">
      <alignment horizontal="center"/>
    </xf>
    <xf numFmtId="0" fontId="12" fillId="21" borderId="114" xfId="0" applyFont="1" applyFill="1" applyBorder="1" applyAlignment="1">
      <alignment horizontal="center"/>
    </xf>
    <xf numFmtId="0" fontId="12" fillId="21" borderId="115" xfId="0" applyFont="1" applyFill="1" applyBorder="1" applyAlignment="1">
      <alignment horizontal="center"/>
    </xf>
    <xf numFmtId="4" fontId="53" fillId="21" borderId="110" xfId="0" applyNumberFormat="1" applyFont="1" applyFill="1" applyBorder="1" applyAlignment="1">
      <alignment horizontal="center"/>
    </xf>
    <xf numFmtId="4" fontId="53" fillId="21" borderId="116" xfId="0" applyNumberFormat="1" applyFont="1" applyFill="1" applyBorder="1" applyAlignment="1">
      <alignment horizontal="center"/>
    </xf>
    <xf numFmtId="179" fontId="6" fillId="22" borderId="117" xfId="0" applyNumberFormat="1" applyFont="1" applyFill="1" applyBorder="1"/>
    <xf numFmtId="180" fontId="6" fillId="22" borderId="117" xfId="0" applyNumberFormat="1" applyFont="1" applyFill="1" applyBorder="1"/>
    <xf numFmtId="180" fontId="6" fillId="22" borderId="0" xfId="0" applyNumberFormat="1" applyFont="1" applyFill="1"/>
    <xf numFmtId="180" fontId="6" fillId="22" borderId="118" xfId="0" applyNumberFormat="1" applyFont="1" applyFill="1" applyBorder="1"/>
    <xf numFmtId="0" fontId="6" fillId="0" borderId="110" xfId="0" applyFont="1" applyBorder="1"/>
    <xf numFmtId="0" fontId="6" fillId="0" borderId="37" xfId="0" applyFont="1" applyBorder="1"/>
    <xf numFmtId="0" fontId="6" fillId="0" borderId="119" xfId="0" applyFont="1" applyBorder="1"/>
    <xf numFmtId="179" fontId="6" fillId="22" borderId="120" xfId="1" applyNumberFormat="1" applyFont="1" applyFill="1" applyBorder="1"/>
    <xf numFmtId="179" fontId="6" fillId="22" borderId="119" xfId="1" applyNumberFormat="1" applyFont="1" applyFill="1" applyBorder="1"/>
    <xf numFmtId="179" fontId="6" fillId="22" borderId="121" xfId="1" applyNumberFormat="1" applyFont="1" applyFill="1" applyBorder="1"/>
    <xf numFmtId="179" fontId="6" fillId="0" borderId="119" xfId="1" applyNumberFormat="1" applyFont="1" applyBorder="1"/>
    <xf numFmtId="179" fontId="6" fillId="0" borderId="122" xfId="1" applyNumberFormat="1" applyFont="1" applyBorder="1"/>
    <xf numFmtId="0" fontId="6" fillId="0" borderId="123" xfId="0" applyFont="1" applyBorder="1"/>
    <xf numFmtId="0" fontId="6" fillId="22" borderId="117" xfId="0" applyFont="1" applyFill="1" applyBorder="1"/>
    <xf numFmtId="0" fontId="6" fillId="22" borderId="0" xfId="0" applyFont="1" applyFill="1"/>
    <xf numFmtId="0" fontId="6" fillId="22" borderId="118" xfId="0" applyFont="1" applyFill="1" applyBorder="1"/>
    <xf numFmtId="4" fontId="21" fillId="0" borderId="37" xfId="1" applyNumberFormat="1" applyFont="1" applyBorder="1" applyAlignment="1">
      <alignment horizontal="right"/>
    </xf>
    <xf numFmtId="0" fontId="6" fillId="0" borderId="124" xfId="0" applyFont="1" applyBorder="1"/>
    <xf numFmtId="0" fontId="21" fillId="0" borderId="0" xfId="0" applyFont="1" applyAlignment="1">
      <alignment horizontal="left" indent="1"/>
    </xf>
    <xf numFmtId="204" fontId="63" fillId="0" borderId="125" xfId="0" applyNumberFormat="1" applyFont="1" applyBorder="1"/>
    <xf numFmtId="37" fontId="6" fillId="0" borderId="126" xfId="0" applyNumberFormat="1" applyFont="1" applyBorder="1"/>
    <xf numFmtId="168" fontId="13" fillId="0" borderId="126" xfId="0" applyNumberFormat="1" applyFont="1" applyBorder="1"/>
    <xf numFmtId="7" fontId="6" fillId="0" borderId="115" xfId="0" applyNumberFormat="1" applyFont="1" applyBorder="1"/>
    <xf numFmtId="166" fontId="21" fillId="0" borderId="116" xfId="0" applyNumberFormat="1" applyFont="1" applyBorder="1"/>
    <xf numFmtId="0" fontId="12" fillId="21" borderId="127" xfId="0" applyFont="1" applyFill="1" applyBorder="1" applyAlignment="1">
      <alignment horizontal="centerContinuous"/>
    </xf>
    <xf numFmtId="0" fontId="12" fillId="21" borderId="128" xfId="0" applyFont="1" applyFill="1" applyBorder="1" applyAlignment="1">
      <alignment horizontal="centerContinuous"/>
    </xf>
    <xf numFmtId="0" fontId="12" fillId="21" borderId="129" xfId="0" applyFont="1" applyFill="1" applyBorder="1" applyAlignment="1">
      <alignment horizontal="centerContinuous"/>
    </xf>
    <xf numFmtId="5" fontId="6" fillId="0" borderId="115" xfId="0" applyNumberFormat="1" applyFont="1" applyBorder="1"/>
    <xf numFmtId="0" fontId="6" fillId="0" borderId="130" xfId="0" applyFont="1" applyBorder="1"/>
    <xf numFmtId="37" fontId="6" fillId="0" borderId="131" xfId="0" applyNumberFormat="1" applyFont="1" applyBorder="1"/>
    <xf numFmtId="37" fontId="6" fillId="0" borderId="37" xfId="0" applyNumberFormat="1" applyFont="1" applyBorder="1"/>
    <xf numFmtId="5" fontId="6" fillId="0" borderId="37" xfId="0" applyNumberFormat="1" applyFont="1" applyBorder="1"/>
    <xf numFmtId="7" fontId="6" fillId="0" borderId="37" xfId="0" applyNumberFormat="1" applyFont="1" applyBorder="1"/>
    <xf numFmtId="0" fontId="21" fillId="0" borderId="37" xfId="0" applyFont="1" applyBorder="1" applyAlignment="1">
      <alignment horizontal="left"/>
    </xf>
    <xf numFmtId="166" fontId="21" fillId="0" borderId="37" xfId="0" applyNumberFormat="1" applyFont="1" applyBorder="1"/>
    <xf numFmtId="0" fontId="21" fillId="0" borderId="130" xfId="0" applyFont="1" applyBorder="1" applyAlignment="1">
      <alignment horizontal="left"/>
    </xf>
    <xf numFmtId="166" fontId="21" fillId="0" borderId="131" xfId="0" applyNumberFormat="1" applyFont="1" applyBorder="1"/>
    <xf numFmtId="0" fontId="13" fillId="0" borderId="110" xfId="0" applyFont="1" applyBorder="1"/>
    <xf numFmtId="39" fontId="13" fillId="0" borderId="110" xfId="0" applyNumberFormat="1" applyFont="1" applyBorder="1" applyAlignment="1">
      <alignment horizontal="center"/>
    </xf>
    <xf numFmtId="195" fontId="13" fillId="0" borderId="110" xfId="0" applyNumberFormat="1" applyFont="1" applyBorder="1" applyAlignment="1">
      <alignment horizontal="center"/>
    </xf>
    <xf numFmtId="166" fontId="13" fillId="0" borderId="110" xfId="0" applyNumberFormat="1" applyFont="1" applyBorder="1" applyAlignment="1">
      <alignment horizontal="center"/>
    </xf>
    <xf numFmtId="39" fontId="6" fillId="0" borderId="110" xfId="0" applyNumberFormat="1" applyFont="1" applyBorder="1" applyAlignment="1">
      <alignment horizontal="center"/>
    </xf>
    <xf numFmtId="166" fontId="21" fillId="0" borderId="110" xfId="0" applyNumberFormat="1" applyFont="1" applyBorder="1" applyAlignment="1">
      <alignment horizontal="center"/>
    </xf>
    <xf numFmtId="6" fontId="21" fillId="0" borderId="110" xfId="0" applyNumberFormat="1" applyFont="1" applyBorder="1" applyAlignment="1">
      <alignment horizontal="center"/>
    </xf>
    <xf numFmtId="166" fontId="41" fillId="0" borderId="110" xfId="0" applyNumberFormat="1" applyFont="1" applyBorder="1" applyAlignment="1">
      <alignment horizontal="center"/>
    </xf>
    <xf numFmtId="0" fontId="21" fillId="0" borderId="110" xfId="0" applyFont="1" applyBorder="1" applyAlignment="1">
      <alignment horizontal="left"/>
    </xf>
    <xf numFmtId="180" fontId="41" fillId="0" borderId="34" xfId="0" applyNumberFormat="1" applyFont="1" applyBorder="1" applyAlignment="1">
      <alignment horizontal="right"/>
    </xf>
    <xf numFmtId="0" fontId="13" fillId="0" borderId="37" xfId="0" applyFont="1" applyBorder="1" applyAlignment="1">
      <alignment horizontal="center"/>
    </xf>
    <xf numFmtId="173" fontId="12" fillId="0" borderId="0" xfId="0" applyNumberFormat="1" applyFont="1" applyAlignment="1">
      <alignment horizontal="right"/>
    </xf>
    <xf numFmtId="208" fontId="12" fillId="0" borderId="0" xfId="0" applyNumberFormat="1" applyFont="1"/>
    <xf numFmtId="213" fontId="6" fillId="0" borderId="0" xfId="0" applyNumberFormat="1" applyFont="1"/>
    <xf numFmtId="0" fontId="0" fillId="23" borderId="0" xfId="0" applyFill="1" applyAlignment="1">
      <alignment horizontal="right"/>
    </xf>
    <xf numFmtId="0" fontId="0" fillId="0" borderId="0" xfId="0" applyAlignment="1">
      <alignment horizontal="right"/>
    </xf>
    <xf numFmtId="7" fontId="63" fillId="0" borderId="0" xfId="0" applyNumberFormat="1" applyFont="1"/>
    <xf numFmtId="14" fontId="63" fillId="0" borderId="0" xfId="0" applyNumberFormat="1" applyFont="1"/>
    <xf numFmtId="214" fontId="6" fillId="0" borderId="0" xfId="0" applyNumberFormat="1" applyFont="1" applyAlignment="1">
      <alignment horizontal="left"/>
    </xf>
    <xf numFmtId="214" fontId="6" fillId="23" borderId="0" xfId="0" applyNumberFormat="1" applyFont="1" applyFill="1" applyAlignment="1">
      <alignment horizontal="left"/>
    </xf>
    <xf numFmtId="4" fontId="0" fillId="0" borderId="0" xfId="0" applyNumberFormat="1"/>
    <xf numFmtId="10" fontId="0" fillId="0" borderId="0" xfId="0" applyNumberFormat="1"/>
    <xf numFmtId="215" fontId="69" fillId="0" borderId="0" xfId="0" applyNumberFormat="1" applyFont="1"/>
    <xf numFmtId="0" fontId="6" fillId="12" borderId="30" xfId="0" applyFont="1" applyFill="1" applyBorder="1" applyAlignment="1">
      <alignment horizontal="center"/>
    </xf>
    <xf numFmtId="0" fontId="5" fillId="0" borderId="31" xfId="0" applyFont="1" applyBorder="1"/>
    <xf numFmtId="0" fontId="6" fillId="13" borderId="30" xfId="0" applyFont="1" applyFill="1" applyBorder="1" applyAlignment="1">
      <alignment horizontal="center"/>
    </xf>
    <xf numFmtId="0" fontId="6" fillId="0" borderId="30" xfId="0" applyFont="1" applyBorder="1" applyAlignment="1">
      <alignment horizontal="center"/>
    </xf>
    <xf numFmtId="0" fontId="6" fillId="8" borderId="30" xfId="0" applyFont="1" applyFill="1" applyBorder="1" applyAlignment="1">
      <alignment horizontal="center"/>
    </xf>
    <xf numFmtId="0" fontId="12" fillId="2" borderId="2" xfId="0" applyFont="1" applyFill="1" applyBorder="1" applyAlignment="1">
      <alignment horizontal="center"/>
    </xf>
    <xf numFmtId="0" fontId="5" fillId="0" borderId="8" xfId="0" applyFont="1" applyBorder="1"/>
    <xf numFmtId="0" fontId="5" fillId="0" borderId="3" xfId="0" applyFont="1" applyBorder="1"/>
    <xf numFmtId="0" fontId="12" fillId="9" borderId="30" xfId="0" applyFont="1" applyFill="1" applyBorder="1" applyAlignment="1">
      <alignment horizontal="center"/>
    </xf>
    <xf numFmtId="0" fontId="12" fillId="6" borderId="30" xfId="0" applyFont="1" applyFill="1" applyBorder="1" applyAlignment="1">
      <alignment horizontal="center"/>
    </xf>
    <xf numFmtId="0" fontId="6" fillId="10" borderId="30" xfId="0" applyFont="1" applyFill="1" applyBorder="1" applyAlignment="1">
      <alignment horizontal="center"/>
    </xf>
    <xf numFmtId="0" fontId="6" fillId="5" borderId="30" xfId="0" applyFont="1" applyFill="1" applyBorder="1" applyAlignment="1">
      <alignment horizontal="center"/>
    </xf>
    <xf numFmtId="0" fontId="12" fillId="7" borderId="30" xfId="0" applyFont="1" applyFill="1" applyBorder="1" applyAlignment="1">
      <alignment horizontal="center"/>
    </xf>
    <xf numFmtId="0" fontId="12" fillId="2" borderId="30" xfId="0" applyFont="1" applyFill="1" applyBorder="1" applyAlignment="1">
      <alignment horizontal="center"/>
    </xf>
    <xf numFmtId="0" fontId="6" fillId="3" borderId="30" xfId="0" applyFont="1" applyFill="1" applyBorder="1" applyAlignment="1">
      <alignment horizontal="center"/>
    </xf>
    <xf numFmtId="0" fontId="12" fillId="11" borderId="30" xfId="0" applyFont="1" applyFill="1" applyBorder="1" applyAlignment="1">
      <alignment horizontal="center"/>
    </xf>
    <xf numFmtId="0" fontId="15" fillId="0" borderId="19" xfId="0" applyFont="1" applyBorder="1" applyAlignment="1">
      <alignment horizontal="center"/>
    </xf>
    <xf numFmtId="0" fontId="0" fillId="0" borderId="0" xfId="0"/>
    <xf numFmtId="0" fontId="5" fillId="0" borderId="20" xfId="0" applyFont="1" applyBorder="1"/>
    <xf numFmtId="0" fontId="6" fillId="0" borderId="19" xfId="0" applyFont="1" applyBorder="1" applyAlignment="1">
      <alignment horizontal="center"/>
    </xf>
    <xf numFmtId="0" fontId="13" fillId="0" borderId="19" xfId="0" applyFont="1" applyBorder="1" applyAlignment="1">
      <alignment horizontal="center"/>
    </xf>
    <xf numFmtId="0" fontId="19" fillId="0" borderId="27" xfId="0" applyFont="1" applyBorder="1" applyAlignment="1">
      <alignment horizontal="center"/>
    </xf>
    <xf numFmtId="0" fontId="5" fillId="0" borderId="28" xfId="0" applyFont="1" applyBorder="1"/>
    <xf numFmtId="0" fontId="5" fillId="0" borderId="29" xfId="0" applyFont="1" applyBorder="1"/>
    <xf numFmtId="0" fontId="2" fillId="3" borderId="2" xfId="0" applyFont="1" applyFill="1" applyBorder="1" applyAlignment="1">
      <alignment horizontal="center"/>
    </xf>
    <xf numFmtId="0" fontId="2" fillId="4" borderId="2" xfId="0" applyFont="1" applyFill="1" applyBorder="1" applyAlignment="1">
      <alignment horizontal="center"/>
    </xf>
    <xf numFmtId="0" fontId="12" fillId="2" borderId="35" xfId="0" applyFont="1" applyFill="1" applyBorder="1" applyAlignment="1">
      <alignment horizontal="center"/>
    </xf>
    <xf numFmtId="0" fontId="5" fillId="0" borderId="36" xfId="0" applyFont="1" applyBorder="1"/>
    <xf numFmtId="0" fontId="5" fillId="0" borderId="37" xfId="0" applyFont="1" applyBorder="1"/>
    <xf numFmtId="0" fontId="12" fillId="2" borderId="38" xfId="0" applyFont="1" applyFill="1" applyBorder="1" applyAlignment="1">
      <alignment horizontal="center"/>
    </xf>
    <xf numFmtId="0" fontId="5" fillId="0" borderId="39" xfId="0" applyFont="1" applyBorder="1"/>
    <xf numFmtId="0" fontId="5" fillId="0" borderId="40" xfId="0" applyFont="1" applyBorder="1"/>
    <xf numFmtId="0" fontId="12" fillId="2" borderId="62" xfId="0" applyFont="1" applyFill="1" applyBorder="1" applyAlignment="1">
      <alignment horizontal="center"/>
    </xf>
    <xf numFmtId="0" fontId="5" fillId="0" borderId="63" xfId="0" applyFont="1" applyBorder="1"/>
    <xf numFmtId="0" fontId="5" fillId="0" borderId="64" xfId="0" applyFont="1" applyBorder="1"/>
    <xf numFmtId="0" fontId="6" fillId="4" borderId="2" xfId="0" applyFont="1" applyFill="1" applyBorder="1" applyAlignment="1">
      <alignment horizontal="center"/>
    </xf>
    <xf numFmtId="5" fontId="6" fillId="0" borderId="25" xfId="0" applyNumberFormat="1" applyFont="1" applyBorder="1" applyAlignment="1">
      <alignment wrapText="1"/>
    </xf>
    <xf numFmtId="0" fontId="5" fillId="0" borderId="56" xfId="0" applyFont="1" applyBorder="1"/>
    <xf numFmtId="3" fontId="6" fillId="0" borderId="28" xfId="0" applyNumberFormat="1" applyFont="1" applyBorder="1" applyAlignment="1">
      <alignment horizontal="right"/>
    </xf>
    <xf numFmtId="0" fontId="5" fillId="0" borderId="57" xfId="0" applyFont="1" applyBorder="1"/>
    <xf numFmtId="5" fontId="6" fillId="0" borderId="14" xfId="0" applyNumberFormat="1" applyFont="1" applyBorder="1"/>
    <xf numFmtId="0" fontId="5" fillId="0" borderId="15" xfId="0" applyFont="1" applyBorder="1"/>
    <xf numFmtId="166" fontId="6" fillId="0" borderId="17" xfId="0" applyNumberFormat="1" applyFont="1" applyBorder="1"/>
    <xf numFmtId="0" fontId="5" fillId="0" borderId="18" xfId="0" applyFont="1" applyBorder="1"/>
    <xf numFmtId="0" fontId="12" fillId="2" borderId="50" xfId="0" applyFont="1" applyFill="1" applyBorder="1" applyAlignment="1">
      <alignment horizontal="center"/>
    </xf>
    <xf numFmtId="0" fontId="5" fillId="0" borderId="51" xfId="0" applyFont="1" applyBorder="1"/>
    <xf numFmtId="0" fontId="5" fillId="0" borderId="52" xfId="0" applyFont="1" applyBorder="1"/>
    <xf numFmtId="0" fontId="12" fillId="2" borderId="53" xfId="0" applyFont="1" applyFill="1" applyBorder="1" applyAlignment="1">
      <alignment horizontal="center"/>
    </xf>
    <xf numFmtId="0" fontId="5" fillId="0" borderId="54" xfId="0" applyFont="1" applyBorder="1"/>
    <xf numFmtId="0" fontId="5" fillId="0" borderId="55" xfId="0" applyFont="1" applyBorder="1"/>
    <xf numFmtId="0" fontId="12" fillId="0" borderId="0" xfId="0" applyFont="1" applyAlignment="1">
      <alignment horizontal="left"/>
    </xf>
    <xf numFmtId="0" fontId="68" fillId="0" borderId="0" xfId="0" applyFont="1"/>
    <xf numFmtId="0" fontId="12" fillId="0" borderId="0" xfId="0" applyFont="1" applyAlignment="1">
      <alignment horizontal="right"/>
    </xf>
    <xf numFmtId="0" fontId="12" fillId="0" borderId="0" xfId="0" applyFont="1"/>
    <xf numFmtId="14" fontId="12" fillId="0" borderId="0" xfId="0" applyNumberFormat="1" applyFont="1" applyAlignment="1">
      <alignment horizontal="left"/>
    </xf>
    <xf numFmtId="0" fontId="6" fillId="0" borderId="70" xfId="0" applyFont="1" applyBorder="1" applyAlignment="1">
      <alignment horizontal="center"/>
    </xf>
    <xf numFmtId="0" fontId="5" fillId="0" borderId="71" xfId="0" applyFont="1" applyBorder="1"/>
    <xf numFmtId="0" fontId="5" fillId="0" borderId="72" xfId="0" applyFont="1" applyBorder="1"/>
    <xf numFmtId="0" fontId="12" fillId="2" borderId="74" xfId="0" applyFont="1" applyFill="1" applyBorder="1" applyAlignment="1">
      <alignment horizontal="center"/>
    </xf>
    <xf numFmtId="0" fontId="5" fillId="0" borderId="75" xfId="0" applyFont="1" applyBorder="1"/>
    <xf numFmtId="0" fontId="47" fillId="0" borderId="0" xfId="0" applyFont="1" applyAlignment="1">
      <alignment horizontal="center"/>
    </xf>
    <xf numFmtId="0" fontId="33" fillId="2" borderId="2" xfId="0" applyFont="1" applyFill="1" applyBorder="1" applyAlignment="1">
      <alignment horizontal="center"/>
    </xf>
    <xf numFmtId="0" fontId="6" fillId="0" borderId="0" xfId="0" applyFont="1" applyAlignment="1">
      <alignment horizontal="left" vertical="top" wrapText="1"/>
    </xf>
    <xf numFmtId="0" fontId="6" fillId="0" borderId="1" xfId="0" applyFont="1" applyBorder="1" applyAlignment="1">
      <alignment horizontal="center"/>
    </xf>
    <xf numFmtId="0" fontId="5" fillId="0" borderId="1" xfId="0" applyFont="1" applyBorder="1"/>
    <xf numFmtId="0" fontId="6" fillId="0" borderId="94" xfId="0" applyFont="1" applyBorder="1" applyAlignment="1">
      <alignment horizontal="center" vertical="center" wrapText="1"/>
    </xf>
    <xf numFmtId="0" fontId="5" fillId="0" borderId="95" xfId="0" applyFont="1" applyBorder="1"/>
    <xf numFmtId="0" fontId="5" fillId="0" borderId="96" xfId="0" applyFont="1" applyBorder="1"/>
    <xf numFmtId="0" fontId="6" fillId="3" borderId="2" xfId="0" applyFont="1" applyFill="1" applyBorder="1" applyAlignment="1">
      <alignment horizontal="center"/>
    </xf>
    <xf numFmtId="0" fontId="12" fillId="2" borderId="101" xfId="0" applyFont="1" applyFill="1" applyBorder="1" applyAlignment="1">
      <alignment horizontal="center"/>
    </xf>
    <xf numFmtId="0" fontId="6" fillId="0" borderId="17" xfId="0" applyFont="1" applyBorder="1" applyAlignment="1">
      <alignment horizontal="center"/>
    </xf>
    <xf numFmtId="0" fontId="5" fillId="0" borderId="17" xfId="0" applyFont="1" applyBorder="1"/>
    <xf numFmtId="0" fontId="33" fillId="2" borderId="74" xfId="0" applyFont="1" applyFill="1" applyBorder="1" applyAlignment="1">
      <alignment horizontal="center"/>
    </xf>
    <xf numFmtId="0" fontId="5" fillId="0" borderId="97" xfId="0" applyFont="1" applyBorder="1"/>
    <xf numFmtId="0" fontId="5" fillId="0" borderId="98" xfId="0" applyFont="1" applyBorder="1"/>
    <xf numFmtId="183" fontId="6" fillId="0" borderId="0" xfId="0" applyNumberFormat="1" applyFont="1" applyAlignment="1">
      <alignment horizontal="center"/>
    </xf>
    <xf numFmtId="0" fontId="5" fillId="0" borderId="104" xfId="0" applyFont="1" applyBorder="1"/>
    <xf numFmtId="0" fontId="33" fillId="19" borderId="35" xfId="0" applyFont="1" applyFill="1" applyBorder="1" applyAlignment="1">
      <alignment horizontal="center"/>
    </xf>
    <xf numFmtId="0" fontId="12" fillId="19" borderId="35" xfId="0" applyFont="1" applyFill="1" applyBorder="1" applyAlignment="1">
      <alignment horizontal="center"/>
    </xf>
    <xf numFmtId="0" fontId="6" fillId="0" borderId="0" xfId="0" applyFont="1" applyAlignment="1">
      <alignment horizontal="center"/>
    </xf>
    <xf numFmtId="0" fontId="6" fillId="3" borderId="35" xfId="0" applyFont="1" applyFill="1" applyBorder="1" applyAlignment="1">
      <alignment horizontal="center"/>
    </xf>
  </cellXfs>
  <cellStyles count="2">
    <cellStyle name="Comma" xfId="1" builtinId="3"/>
    <cellStyle name="Normal" xfId="0" builtinId="0"/>
  </cellStyles>
  <dxfs count="166">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none"/>
      </fill>
    </dxf>
    <dxf>
      <fill>
        <patternFill patternType="none"/>
      </fill>
    </dxf>
    <dxf>
      <fill>
        <patternFill patternType="none"/>
      </fill>
    </dxf>
    <dxf>
      <fill>
        <patternFill patternType="none"/>
      </fill>
    </dxf>
    <dxf>
      <fill>
        <patternFill patternType="none"/>
      </fill>
    </dxf>
    <dxf>
      <font>
        <color theme="1"/>
      </font>
    </dxf>
    <dxf>
      <font>
        <color auto="1"/>
      </font>
    </dxf>
    <dxf>
      <font>
        <color theme="1"/>
      </font>
    </dxf>
    <dxf>
      <font>
        <color auto="1"/>
      </font>
    </dxf>
    <dxf>
      <font>
        <color theme="1"/>
      </font>
    </dxf>
    <dxf>
      <font>
        <color theme="1"/>
      </font>
    </dxf>
    <dxf>
      <font>
        <color auto="1"/>
      </font>
    </dxf>
    <dxf>
      <font>
        <color theme="1"/>
      </font>
      <fill>
        <patternFill patternType="none"/>
      </fill>
    </dxf>
    <dxf>
      <font>
        <color auto="1"/>
      </font>
    </dxf>
    <dxf>
      <fill>
        <patternFill patternType="none"/>
      </fill>
    </dxf>
    <dxf>
      <font>
        <color auto="1"/>
      </font>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auto="1"/>
      </font>
    </dxf>
    <dxf>
      <font>
        <color theme="1"/>
      </font>
    </dxf>
    <dxf>
      <font>
        <color auto="1"/>
      </font>
    </dxf>
    <dxf>
      <font>
        <color theme="1"/>
      </font>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rgb="FF760000"/>
      </font>
      <fill>
        <patternFill patternType="solid">
          <fgColor rgb="FFFF7C80"/>
          <bgColor rgb="FFFF7C80"/>
        </patternFill>
      </fill>
    </dxf>
    <dxf>
      <font>
        <color theme="1"/>
      </font>
      <fill>
        <patternFill patternType="none"/>
      </fill>
    </dxf>
    <dxf>
      <fill>
        <patternFill patternType="none"/>
      </fill>
    </dxf>
    <dxf>
      <font>
        <color theme="1"/>
      </font>
    </dxf>
    <dxf>
      <font>
        <color auto="1"/>
      </font>
    </dxf>
    <dxf>
      <font>
        <color theme="1"/>
      </font>
    </dxf>
    <dxf>
      <font>
        <color auto="1"/>
      </font>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ont>
        <color theme="1"/>
      </font>
      <fill>
        <patternFill patternType="none"/>
      </fill>
    </dxf>
    <dxf>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border>
    </dxf>
    <dxf>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border>
    </dxf>
    <dxf>
      <font>
        <color theme="1"/>
      </font>
      <fill>
        <patternFill patternType="none"/>
      </fill>
    </dxf>
    <dxf>
      <fill>
        <patternFill patternType="none"/>
      </fill>
    </dxf>
    <dxf>
      <font>
        <b/>
        <color rgb="FFFF0000"/>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s>
  <tableStyles count="0" defaultTableStyle="TableStyleMedium2" defaultPivotStyle="PivotStyleLight16"/>
  <colors>
    <mruColors>
      <color rgb="FF008000"/>
      <color rgb="FF00355F"/>
      <color rgb="FFC0DEF6"/>
      <color rgb="FF760000"/>
      <color rgb="FFEBE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2"/></Relationships>
</file>

<file path=xl/_rels/comments2.xml.rels><?xml version="1.0" encoding="UTF-8" standalone="yes"?>
<Relationships xmlns="http://schemas.openxmlformats.org/package/2006/relationships"><Relationship Id="rId1" Type="http://customschemas.google.com/relationships/workbookmetadata" Target="commentsmeta3"/></Relationships>
</file>

<file path=xl/_rels/comments3.xml.rels><?xml version="1.0" encoding="UTF-8" standalone="yes"?>
<Relationships xmlns="http://schemas.openxmlformats.org/package/2006/relationships"><Relationship Id="rId1" Type="http://customschemas.google.com/relationships/workbookmetadata" Target="commentsmeta4"/></Relationships>
</file>

<file path=xl/_rels/comments5.xml.rels><?xml version="1.0" encoding="UTF-8" standalone="yes"?>
<Relationships xmlns="http://schemas.openxmlformats.org/package/2006/relationships"><Relationship Id="rId1" Type="http://customschemas.google.com/relationships/workbookmetadata" Target="commentsmeta5"/></Relationships>
</file>

<file path=xl/_rels/comments6.xml.rels><?xml version="1.0" encoding="UTF-8" standalone="yes"?>
<Relationships xmlns="http://schemas.openxmlformats.org/package/2006/relationships"><Relationship Id="rId1" Type="http://customschemas.google.com/relationships/workbookmetadata" Target="commentsmeta6"/></Relationships>
</file>

<file path=xl/_rels/comments7.xml.rels><?xml version="1.0" encoding="UTF-8" standalone="yes"?>
<Relationships xmlns="http://schemas.openxmlformats.org/package/2006/relationships"><Relationship Id="rId1" Type="http://customschemas.google.com/relationships/workbookmetadata" Target="commentsmeta7"/></Relationships>
</file>

<file path=xl/_rels/comments8.xml.rels><?xml version="1.0" encoding="UTF-8" standalone="yes"?>
<Relationships xmlns="http://schemas.openxmlformats.org/package/2006/relationships"><Relationship Id="rId1" Type="http://customschemas.google.com/relationships/workbookmetadata" Target="commentsmeta8"/></Relationships>
</file>

<file path=xl/_rels/comments9.xml.rels><?xml version="1.0" encoding="UTF-8" standalone="yes"?>
<Relationships xmlns="http://schemas.openxmlformats.org/package/2006/relationships"><Relationship Id="rId1" Type="http://customschemas.google.com/relationships/workbookmetadata" Target="commentsmeta9"/></Relationships>
</file>

<file path=xl/_rels/comments10.xml.rels><?xml version="1.0" encoding="UTF-8" standalone="yes"?>
<Relationships xmlns="http://schemas.openxmlformats.org/package/2006/relationships"><Relationship Id="rId1" Type="http://customschemas.google.com/relationships/workbookmetadata" Target="commentsmeta10"/></Relationships>
</file>

<file path=xl/_rels/comments11.xml.rels><?xml version="1.0" encoding="UTF-8" standalone="yes"?>
<Relationships xmlns="http://schemas.openxmlformats.org/package/2006/relationships"><Relationship Id="rId1" Type="http://customschemas.google.com/relationships/workbookmetadata" Target="commentsmeta11"/></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7.xml"/><Relationship Id="rId39" Type="http://schemas.openxmlformats.org/officeDocument/2006/relationships/sharedStrings" Target="sharedStrings.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6.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externalLink" Target="externalLinks/externalLink10.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5.xml"/><Relationship Id="rId32" Type="http://schemas.openxmlformats.org/officeDocument/2006/relationships/externalLink" Target="externalLinks/externalLink13.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openxmlformats.org/officeDocument/2006/relationships/externalLink" Target="externalLinks/externalLink9.xml"/><Relationship Id="rId36"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externalLink" Target="externalLinks/externalLink8.xml"/><Relationship Id="rId30" Type="http://schemas.openxmlformats.org/officeDocument/2006/relationships/externalLink" Target="externalLinks/externalLink11.xml"/><Relationship Id="rId8" Type="http://schemas.openxmlformats.org/officeDocument/2006/relationships/worksheet" Target="worksheets/sheet8.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11500508608672719"/>
          <c:y val="5.555544833852414E-2"/>
          <c:w val="0.8272054151125845"/>
          <c:h val="0.84190288713910766"/>
        </c:manualLayout>
      </c:layout>
      <c:barChart>
        <c:barDir val="col"/>
        <c:grouping val="clustered"/>
        <c:varyColors val="1"/>
        <c:ser>
          <c:idx val="0"/>
          <c:order val="0"/>
          <c:spPr>
            <a:solidFill>
              <a:srgbClr val="00355F"/>
            </a:solidFill>
            <a:ln cmpd="sng">
              <a:solidFill>
                <a:srgbClr val="000000"/>
              </a:solidFill>
            </a:ln>
          </c:spPr>
          <c:invertIfNegative val="1"/>
          <c:dPt>
            <c:idx val="3"/>
            <c:invertIfNegative val="1"/>
            <c:bubble3D val="0"/>
            <c:spPr>
              <a:solidFill>
                <a:srgbClr val="760000"/>
              </a:solidFill>
              <a:ln cmpd="sng">
                <a:solidFill>
                  <a:srgbClr val="000000"/>
                </a:solidFill>
              </a:ln>
            </c:spPr>
            <c:extLst>
              <c:ext xmlns:c16="http://schemas.microsoft.com/office/drawing/2014/chart" uri="{C3380CC4-5D6E-409C-BE32-E72D297353CC}">
                <c16:uniqueId val="{00000001-C6E9-4196-BB47-7D33578822D4}"/>
              </c:ext>
            </c:extLst>
          </c:dPt>
          <c:dPt>
            <c:idx val="4"/>
            <c:invertIfNegative val="1"/>
            <c:bubble3D val="0"/>
            <c:spPr>
              <a:solidFill>
                <a:srgbClr val="760000"/>
              </a:solidFill>
              <a:ln cmpd="sng">
                <a:solidFill>
                  <a:srgbClr val="000000"/>
                </a:solidFill>
              </a:ln>
            </c:spPr>
            <c:extLst>
              <c:ext xmlns:c16="http://schemas.microsoft.com/office/drawing/2014/chart" uri="{C3380CC4-5D6E-409C-BE32-E72D297353CC}">
                <c16:uniqueId val="{00000003-C6E9-4196-BB47-7D33578822D4}"/>
              </c:ext>
            </c:extLst>
          </c:dPt>
          <c:dLbls>
            <c:spPr>
              <a:noFill/>
              <a:ln>
                <a:noFill/>
              </a:ln>
              <a:effectLst/>
            </c:spPr>
            <c:txPr>
              <a:bodyPr/>
              <a:lstStyle/>
              <a:p>
                <a:pPr lvl="0">
                  <a:defRPr sz="1000" b="0" i="0">
                    <a:solidFill>
                      <a:srgbClr val="000000"/>
                    </a:solidFill>
                    <a:latin typeface="Abadi"/>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'Model Output'!$R$24:$R$28</c:f>
              <c:strCache>
                <c:ptCount val="5"/>
                <c:pt idx="0">
                  <c:v>Entry Multiple</c:v>
                </c:pt>
                <c:pt idx="1">
                  <c:v>2026e</c:v>
                </c:pt>
                <c:pt idx="2">
                  <c:v>2030e</c:v>
                </c:pt>
                <c:pt idx="3">
                  <c:v>Exit Multiple</c:v>
                </c:pt>
                <c:pt idx="4">
                  <c:v>Implied PGM </c:v>
                </c:pt>
              </c:strCache>
            </c:strRef>
          </c:cat>
          <c:val>
            <c:numRef>
              <c:f>'Model Output'!$U$24:$U$28</c:f>
              <c:numCache>
                <c:formatCode>0.0"x"</c:formatCode>
                <c:ptCount val="5"/>
                <c:pt idx="0">
                  <c:v>16.643763590749799</c:v>
                </c:pt>
                <c:pt idx="1">
                  <c:v>16.273031205941891</c:v>
                </c:pt>
                <c:pt idx="2">
                  <c:v>9.7731994379145561</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6E9-4196-BB47-7D33578822D4}"/>
            </c:ext>
          </c:extLst>
        </c:ser>
        <c:dLbls>
          <c:showLegendKey val="0"/>
          <c:showVal val="0"/>
          <c:showCatName val="0"/>
          <c:showSerName val="0"/>
          <c:showPercent val="0"/>
          <c:showBubbleSize val="0"/>
        </c:dLbls>
        <c:gapWidth val="150"/>
        <c:axId val="1660175633"/>
        <c:axId val="1332260857"/>
      </c:barChart>
      <c:catAx>
        <c:axId val="166017563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a:defRPr>
            </a:pPr>
            <a:endParaRPr lang="en-US"/>
          </a:p>
        </c:txPr>
        <c:crossAx val="1332260857"/>
        <c:crosses val="autoZero"/>
        <c:auto val="1"/>
        <c:lblAlgn val="ctr"/>
        <c:lblOffset val="100"/>
        <c:noMultiLvlLbl val="1"/>
      </c:catAx>
      <c:valAx>
        <c:axId val="1332260857"/>
        <c:scaling>
          <c:orientation val="minMax"/>
          <c:min val="0"/>
        </c:scaling>
        <c:delete val="0"/>
        <c:axPos val="l"/>
        <c:title>
          <c:tx>
            <c:rich>
              <a:bodyPr/>
              <a:lstStyle/>
              <a:p>
                <a:pPr lvl="0">
                  <a:defRPr b="0">
                    <a:solidFill>
                      <a:srgbClr val="000000"/>
                    </a:solidFill>
                    <a:latin typeface="+mn-lt"/>
                  </a:defRPr>
                </a:pPr>
                <a:endParaRPr lang="en-US"/>
              </a:p>
            </c:rich>
          </c:tx>
          <c:overlay val="0"/>
        </c:title>
        <c:numFmt formatCode="0.0&quot;x&quot;" sourceLinked="1"/>
        <c:majorTickMark val="out"/>
        <c:minorTickMark val="none"/>
        <c:tickLblPos val="nextTo"/>
        <c:spPr>
          <a:ln/>
        </c:spPr>
        <c:txPr>
          <a:bodyPr/>
          <a:lstStyle/>
          <a:p>
            <a:pPr lvl="0">
              <a:defRPr sz="800" b="0" i="0">
                <a:solidFill>
                  <a:srgbClr val="000000"/>
                </a:solidFill>
                <a:latin typeface="Abadi"/>
              </a:defRPr>
            </a:pPr>
            <a:endParaRPr lang="en-US"/>
          </a:p>
        </c:txPr>
        <c:crossAx val="1660175633"/>
        <c:crosses val="autoZero"/>
        <c:crossBetween val="between"/>
        <c:majorUnit val="10"/>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i="0">
                <a:solidFill>
                  <a:srgbClr val="757575"/>
                </a:solidFill>
                <a:latin typeface="+mn-lt"/>
              </a:defRPr>
            </a:pPr>
            <a:r>
              <a:rPr lang="en-US" b="0" i="0">
                <a:solidFill>
                  <a:srgbClr val="757575"/>
                </a:solidFill>
                <a:latin typeface="+mn-lt"/>
              </a:rPr>
              <a:t>Lowe's Companies, Inc. - Football Field: Base Case</a:t>
            </a:r>
          </a:p>
        </c:rich>
      </c:tx>
      <c:layout>
        <c:manualLayout>
          <c:xMode val="edge"/>
          <c:yMode val="edge"/>
          <c:x val="0.40119148936170212"/>
          <c:y val="2.1967960220117808E-2"/>
        </c:manualLayout>
      </c:layout>
      <c:overlay val="0"/>
    </c:title>
    <c:autoTitleDeleted val="0"/>
    <c:plotArea>
      <c:layout>
        <c:manualLayout>
          <c:xMode val="edge"/>
          <c:yMode val="edge"/>
          <c:x val="0.49798600690964351"/>
          <c:y val="0.12025753593051831"/>
          <c:w val="0.46579378827291745"/>
          <c:h val="0.79810132464249017"/>
        </c:manualLayout>
      </c:layout>
      <c:barChart>
        <c:barDir val="bar"/>
        <c:grouping val="stacked"/>
        <c:varyColors val="1"/>
        <c:ser>
          <c:idx val="0"/>
          <c:order val="0"/>
          <c:spPr>
            <a:solidFill>
              <a:srgbClr val="4472C4"/>
            </a:solidFill>
            <a:ln cmpd="sng">
              <a:solidFill>
                <a:srgbClr val="000000"/>
              </a:solidFill>
            </a:ln>
          </c:spPr>
          <c:invertIfNegative val="1"/>
          <c:cat>
            <c:strRef>
              <c:f>'Football Field'!$O$5:$O$19</c:f>
              <c:strCache>
                <c:ptCount val="15"/>
                <c:pt idx="0">
                  <c:v>7.7% - 8.7% WACC &amp; 1.5% - 2.5% PGR</c:v>
                </c:pt>
                <c:pt idx="1">
                  <c:v>7.7% - 8.7% WACC &amp; 17.0x - 19.0x Exit Multiple</c:v>
                </c:pt>
                <c:pt idx="3">
                  <c:v>NTM EV/EBITDA Spread to Comps: 9.9x - 11.9x</c:v>
                </c:pt>
                <c:pt idx="4">
                  <c:v>NTM EV/EBITDA: 11.5x - 13.5x</c:v>
                </c:pt>
                <c:pt idx="5">
                  <c:v>NTM P/E Spread to Comps: 16.3x - 18.3x</c:v>
                </c:pt>
                <c:pt idx="6">
                  <c:v>NTM P/E: 18.6x - 20.6x</c:v>
                </c:pt>
                <c:pt idx="8">
                  <c:v>2009-2018 Early Cycle EV/EBITDA Spread to Comps: 12.5x - 14.5x</c:v>
                </c:pt>
                <c:pt idx="9">
                  <c:v>2009-2018 Early Cycle EV/EBITDA: 14.8x - 16.8x</c:v>
                </c:pt>
                <c:pt idx="10">
                  <c:v>2009-2018 Early Cycle P/E Spread to Comps: 16.1x - 18.1x</c:v>
                </c:pt>
                <c:pt idx="11">
                  <c:v>2009-2018 Early Cycle P/E: 13.1x - 15.1x</c:v>
                </c:pt>
                <c:pt idx="13">
                  <c:v>52-Week Price Range:</c:v>
                </c:pt>
                <c:pt idx="14">
                  <c:v>Median Value:</c:v>
                </c:pt>
              </c:strCache>
            </c:strRef>
          </c:cat>
          <c:val>
            <c:numRef>
              <c:f>'Football Field'!$P$5:$P$19</c:f>
              <c:numCache>
                <c:formatCode>General</c:formatCode>
                <c:ptCount val="15"/>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7BB-45AD-BA80-3825E358C0A0}"/>
            </c:ext>
          </c:extLst>
        </c:ser>
        <c:ser>
          <c:idx val="1"/>
          <c:order val="1"/>
          <c:spPr>
            <a:solidFill>
              <a:srgbClr val="ED7D31"/>
            </a:solidFill>
            <a:ln cmpd="sng">
              <a:solidFill>
                <a:srgbClr val="000000"/>
              </a:solidFill>
            </a:ln>
          </c:spPr>
          <c:invertIfNegative val="1"/>
          <c:cat>
            <c:strRef>
              <c:f>'Football Field'!$O$5:$O$19</c:f>
              <c:strCache>
                <c:ptCount val="15"/>
                <c:pt idx="0">
                  <c:v>7.7% - 8.7% WACC &amp; 1.5% - 2.5% PGR</c:v>
                </c:pt>
                <c:pt idx="1">
                  <c:v>7.7% - 8.7% WACC &amp; 17.0x - 19.0x Exit Multiple</c:v>
                </c:pt>
                <c:pt idx="3">
                  <c:v>NTM EV/EBITDA Spread to Comps: 9.9x - 11.9x</c:v>
                </c:pt>
                <c:pt idx="4">
                  <c:v>NTM EV/EBITDA: 11.5x - 13.5x</c:v>
                </c:pt>
                <c:pt idx="5">
                  <c:v>NTM P/E Spread to Comps: 16.3x - 18.3x</c:v>
                </c:pt>
                <c:pt idx="6">
                  <c:v>NTM P/E: 18.6x - 20.6x</c:v>
                </c:pt>
                <c:pt idx="8">
                  <c:v>2009-2018 Early Cycle EV/EBITDA Spread to Comps: 12.5x - 14.5x</c:v>
                </c:pt>
                <c:pt idx="9">
                  <c:v>2009-2018 Early Cycle EV/EBITDA: 14.8x - 16.8x</c:v>
                </c:pt>
                <c:pt idx="10">
                  <c:v>2009-2018 Early Cycle P/E Spread to Comps: 16.1x - 18.1x</c:v>
                </c:pt>
                <c:pt idx="11">
                  <c:v>2009-2018 Early Cycle P/E: 13.1x - 15.1x</c:v>
                </c:pt>
                <c:pt idx="13">
                  <c:v>52-Week Price Range:</c:v>
                </c:pt>
                <c:pt idx="14">
                  <c:v>Median Value:</c:v>
                </c:pt>
              </c:strCache>
            </c:strRef>
          </c:cat>
          <c:val>
            <c:numRef>
              <c:f>'Football Field'!$Q$5:$Q$19</c:f>
              <c:numCache>
                <c:formatCode>General</c:formatCode>
                <c:ptCount val="15"/>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7BB-45AD-BA80-3825E358C0A0}"/>
            </c:ext>
          </c:extLst>
        </c:ser>
        <c:ser>
          <c:idx val="2"/>
          <c:order val="2"/>
          <c:spPr>
            <a:solidFill>
              <a:srgbClr val="A5A5A5"/>
            </a:solidFill>
            <a:ln cmpd="sng">
              <a:solidFill>
                <a:srgbClr val="000000"/>
              </a:solidFill>
            </a:ln>
          </c:spPr>
          <c:invertIfNegative val="1"/>
          <c:cat>
            <c:strRef>
              <c:f>'Football Field'!$O$5:$O$19</c:f>
              <c:strCache>
                <c:ptCount val="15"/>
                <c:pt idx="0">
                  <c:v>7.7% - 8.7% WACC &amp; 1.5% - 2.5% PGR</c:v>
                </c:pt>
                <c:pt idx="1">
                  <c:v>7.7% - 8.7% WACC &amp; 17.0x - 19.0x Exit Multiple</c:v>
                </c:pt>
                <c:pt idx="3">
                  <c:v>NTM EV/EBITDA Spread to Comps: 9.9x - 11.9x</c:v>
                </c:pt>
                <c:pt idx="4">
                  <c:v>NTM EV/EBITDA: 11.5x - 13.5x</c:v>
                </c:pt>
                <c:pt idx="5">
                  <c:v>NTM P/E Spread to Comps: 16.3x - 18.3x</c:v>
                </c:pt>
                <c:pt idx="6">
                  <c:v>NTM P/E: 18.6x - 20.6x</c:v>
                </c:pt>
                <c:pt idx="8">
                  <c:v>2009-2018 Early Cycle EV/EBITDA Spread to Comps: 12.5x - 14.5x</c:v>
                </c:pt>
                <c:pt idx="9">
                  <c:v>2009-2018 Early Cycle EV/EBITDA: 14.8x - 16.8x</c:v>
                </c:pt>
                <c:pt idx="10">
                  <c:v>2009-2018 Early Cycle P/E Spread to Comps: 16.1x - 18.1x</c:v>
                </c:pt>
                <c:pt idx="11">
                  <c:v>2009-2018 Early Cycle P/E: 13.1x - 15.1x</c:v>
                </c:pt>
                <c:pt idx="13">
                  <c:v>52-Week Price Range:</c:v>
                </c:pt>
                <c:pt idx="14">
                  <c:v>Median Value:</c:v>
                </c:pt>
              </c:strCache>
            </c:strRef>
          </c:cat>
          <c:val>
            <c:numRef>
              <c:f>'Football Field'!$R$5:$R$19</c:f>
              <c:numCache>
                <c:formatCode>General</c:formatCode>
                <c:ptCount val="15"/>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7BB-45AD-BA80-3825E358C0A0}"/>
            </c:ext>
          </c:extLst>
        </c:ser>
        <c:ser>
          <c:idx val="3"/>
          <c:order val="3"/>
          <c:invertIfNegative val="1"/>
          <c:cat>
            <c:strRef>
              <c:f>'Football Field'!$O$5:$O$19</c:f>
              <c:strCache>
                <c:ptCount val="15"/>
                <c:pt idx="0">
                  <c:v>7.7% - 8.7% WACC &amp; 1.5% - 2.5% PGR</c:v>
                </c:pt>
                <c:pt idx="1">
                  <c:v>7.7% - 8.7% WACC &amp; 17.0x - 19.0x Exit Multiple</c:v>
                </c:pt>
                <c:pt idx="3">
                  <c:v>NTM EV/EBITDA Spread to Comps: 9.9x - 11.9x</c:v>
                </c:pt>
                <c:pt idx="4">
                  <c:v>NTM EV/EBITDA: 11.5x - 13.5x</c:v>
                </c:pt>
                <c:pt idx="5">
                  <c:v>NTM P/E Spread to Comps: 16.3x - 18.3x</c:v>
                </c:pt>
                <c:pt idx="6">
                  <c:v>NTM P/E: 18.6x - 20.6x</c:v>
                </c:pt>
                <c:pt idx="8">
                  <c:v>2009-2018 Early Cycle EV/EBITDA Spread to Comps: 12.5x - 14.5x</c:v>
                </c:pt>
                <c:pt idx="9">
                  <c:v>2009-2018 Early Cycle EV/EBITDA: 14.8x - 16.8x</c:v>
                </c:pt>
                <c:pt idx="10">
                  <c:v>2009-2018 Early Cycle P/E Spread to Comps: 16.1x - 18.1x</c:v>
                </c:pt>
                <c:pt idx="11">
                  <c:v>2009-2018 Early Cycle P/E: 13.1x - 15.1x</c:v>
                </c:pt>
                <c:pt idx="13">
                  <c:v>52-Week Price Range:</c:v>
                </c:pt>
                <c:pt idx="14">
                  <c:v>Median Value:</c:v>
                </c:pt>
              </c:strCache>
            </c:strRef>
          </c:cat>
          <c:val>
            <c:numRef>
              <c:f>'Football Field'!$S$5:$S$19</c:f>
              <c:numCache>
                <c:formatCode>General</c:formatCode>
                <c:ptCount val="15"/>
              </c:numCache>
            </c:numRef>
          </c:val>
          <c:extLst>
            <c:ext xmlns:c16="http://schemas.microsoft.com/office/drawing/2014/chart" uri="{C3380CC4-5D6E-409C-BE32-E72D297353CC}">
              <c16:uniqueId val="{00000003-97BB-45AD-BA80-3825E358C0A0}"/>
            </c:ext>
          </c:extLst>
        </c:ser>
        <c:ser>
          <c:idx val="4"/>
          <c:order val="4"/>
          <c:invertIfNegative val="1"/>
          <c:cat>
            <c:strRef>
              <c:f>'Football Field'!$O$5:$O$19</c:f>
              <c:strCache>
                <c:ptCount val="15"/>
                <c:pt idx="0">
                  <c:v>7.7% - 8.7% WACC &amp; 1.5% - 2.5% PGR</c:v>
                </c:pt>
                <c:pt idx="1">
                  <c:v>7.7% - 8.7% WACC &amp; 17.0x - 19.0x Exit Multiple</c:v>
                </c:pt>
                <c:pt idx="3">
                  <c:v>NTM EV/EBITDA Spread to Comps: 9.9x - 11.9x</c:v>
                </c:pt>
                <c:pt idx="4">
                  <c:v>NTM EV/EBITDA: 11.5x - 13.5x</c:v>
                </c:pt>
                <c:pt idx="5">
                  <c:v>NTM P/E Spread to Comps: 16.3x - 18.3x</c:v>
                </c:pt>
                <c:pt idx="6">
                  <c:v>NTM P/E: 18.6x - 20.6x</c:v>
                </c:pt>
                <c:pt idx="8">
                  <c:v>2009-2018 Early Cycle EV/EBITDA Spread to Comps: 12.5x - 14.5x</c:v>
                </c:pt>
                <c:pt idx="9">
                  <c:v>2009-2018 Early Cycle EV/EBITDA: 14.8x - 16.8x</c:v>
                </c:pt>
                <c:pt idx="10">
                  <c:v>2009-2018 Early Cycle P/E Spread to Comps: 16.1x - 18.1x</c:v>
                </c:pt>
                <c:pt idx="11">
                  <c:v>2009-2018 Early Cycle P/E: 13.1x - 15.1x</c:v>
                </c:pt>
                <c:pt idx="13">
                  <c:v>52-Week Price Range:</c:v>
                </c:pt>
                <c:pt idx="14">
                  <c:v>Median Value:</c:v>
                </c:pt>
              </c:strCache>
            </c:strRef>
          </c:cat>
          <c:val>
            <c:numRef>
              <c:f>'Football Field'!$T$5:$T$19</c:f>
              <c:numCache>
                <c:formatCode>_(* #,##0.00_);_(* \(#,##0.00\);_(* "-"??_);_(@_)</c:formatCode>
                <c:ptCount val="15"/>
                <c:pt idx="0" formatCode="_(&quot;$&quot;* #,##0.00_);_(&quot;$&quot;* \(#,##0.00\);_(&quot;$&quot;* &quot;-&quot;??_);_(@_)">
                  <c:v>195.04954830416227</c:v>
                </c:pt>
                <c:pt idx="1">
                  <c:v>250.78261834058881</c:v>
                </c:pt>
                <c:pt idx="3">
                  <c:v>209.23348011234188</c:v>
                </c:pt>
                <c:pt idx="4">
                  <c:v>197.97413940238593</c:v>
                </c:pt>
                <c:pt idx="5">
                  <c:v>271.58665503518813</c:v>
                </c:pt>
                <c:pt idx="6">
                  <c:v>309.49701904103568</c:v>
                </c:pt>
                <c:pt idx="8">
                  <c:v>202.21364140726214</c:v>
                </c:pt>
                <c:pt idx="9">
                  <c:v>99.10310229774737</c:v>
                </c:pt>
                <c:pt idx="10">
                  <c:v>267.04260782546874</c:v>
                </c:pt>
                <c:pt idx="11">
                  <c:v>205.30918954876387</c:v>
                </c:pt>
                <c:pt idx="13" formatCode="#,##0.00_);\(#,##0.00\)">
                  <c:v>273.61</c:v>
                </c:pt>
                <c:pt idx="14" formatCode="&quot;$&quot;#,##0.00_);\(&quot;$&quot;#,##0.00\)">
                  <c:v>209.23348011234188</c:v>
                </c:pt>
              </c:numCache>
            </c:numRef>
          </c:val>
          <c:extLst>
            <c:ext xmlns:c16="http://schemas.microsoft.com/office/drawing/2014/chart" uri="{C3380CC4-5D6E-409C-BE32-E72D297353CC}">
              <c16:uniqueId val="{00000004-97BB-45AD-BA80-3825E358C0A0}"/>
            </c:ext>
          </c:extLst>
        </c:ser>
        <c:ser>
          <c:idx val="5"/>
          <c:order val="5"/>
          <c:invertIfNegative val="1"/>
          <c:cat>
            <c:strRef>
              <c:f>'Football Field'!$O$5:$O$19</c:f>
              <c:strCache>
                <c:ptCount val="15"/>
                <c:pt idx="0">
                  <c:v>7.7% - 8.7% WACC &amp; 1.5% - 2.5% PGR</c:v>
                </c:pt>
                <c:pt idx="1">
                  <c:v>7.7% - 8.7% WACC &amp; 17.0x - 19.0x Exit Multiple</c:v>
                </c:pt>
                <c:pt idx="3">
                  <c:v>NTM EV/EBITDA Spread to Comps: 9.9x - 11.9x</c:v>
                </c:pt>
                <c:pt idx="4">
                  <c:v>NTM EV/EBITDA: 11.5x - 13.5x</c:v>
                </c:pt>
                <c:pt idx="5">
                  <c:v>NTM P/E Spread to Comps: 16.3x - 18.3x</c:v>
                </c:pt>
                <c:pt idx="6">
                  <c:v>NTM P/E: 18.6x - 20.6x</c:v>
                </c:pt>
                <c:pt idx="8">
                  <c:v>2009-2018 Early Cycle EV/EBITDA Spread to Comps: 12.5x - 14.5x</c:v>
                </c:pt>
                <c:pt idx="9">
                  <c:v>2009-2018 Early Cycle EV/EBITDA: 14.8x - 16.8x</c:v>
                </c:pt>
                <c:pt idx="10">
                  <c:v>2009-2018 Early Cycle P/E Spread to Comps: 16.1x - 18.1x</c:v>
                </c:pt>
                <c:pt idx="11">
                  <c:v>2009-2018 Early Cycle P/E: 13.1x - 15.1x</c:v>
                </c:pt>
                <c:pt idx="13">
                  <c:v>52-Week Price Range:</c:v>
                </c:pt>
                <c:pt idx="14">
                  <c:v>Median Value:</c:v>
                </c:pt>
              </c:strCache>
            </c:strRef>
          </c:cat>
          <c:val>
            <c:numRef>
              <c:f>'Football Field'!$U$5:$U$19</c:f>
              <c:numCache>
                <c:formatCode>_(* #,##0.0_);_(* \(#,##0.0\);_(* "-"?_);_(@_)</c:formatCode>
                <c:ptCount val="15"/>
                <c:pt idx="0" formatCode="_(&quot;$&quot;* #,##0.0_);_(&quot;$&quot;* \(#,##0.0\);_(&quot;$&quot;* &quot;-&quot;?_);_(@_)">
                  <c:v>20.38591593197205</c:v>
                </c:pt>
                <c:pt idx="1">
                  <c:v>27.264040885164633</c:v>
                </c:pt>
                <c:pt idx="3">
                  <c:v>100.49024724596924</c:v>
                </c:pt>
                <c:pt idx="4">
                  <c:v>97.988171532645737</c:v>
                </c:pt>
                <c:pt idx="5">
                  <c:v>101.01250305151422</c:v>
                </c:pt>
                <c:pt idx="6">
                  <c:v>109.43702838614701</c:v>
                </c:pt>
                <c:pt idx="8">
                  <c:v>39.300331499266292</c:v>
                </c:pt>
                <c:pt idx="9">
                  <c:v>39.300331499266349</c:v>
                </c:pt>
                <c:pt idx="10">
                  <c:v>26.408300884071082</c:v>
                </c:pt>
                <c:pt idx="11">
                  <c:v>26.40830088407111</c:v>
                </c:pt>
                <c:pt idx="13" formatCode="_(* #,##0.00_);_(* \(#,##0.00\);_(* &quot;-&quot;?_);_(@_)">
                  <c:v>113.88</c:v>
                </c:pt>
                <c:pt idx="14" formatCode="&quot;$&quot;#,##0.00_);\(&quot;$&quot;#,##0.00\)">
                  <c:v>39.300331499266349</c:v>
                </c:pt>
              </c:numCache>
            </c:numRef>
          </c:val>
          <c:extLst>
            <c:ext xmlns:c16="http://schemas.microsoft.com/office/drawing/2014/chart" uri="{C3380CC4-5D6E-409C-BE32-E72D297353CC}">
              <c16:uniqueId val="{00000005-97BB-45AD-BA80-3825E358C0A0}"/>
            </c:ext>
          </c:extLst>
        </c:ser>
        <c:ser>
          <c:idx val="6"/>
          <c:order val="6"/>
          <c:invertIfNegative val="1"/>
          <c:cat>
            <c:strRef>
              <c:f>'Football Field'!$O$5:$O$19</c:f>
              <c:strCache>
                <c:ptCount val="15"/>
                <c:pt idx="0">
                  <c:v>7.7% - 8.7% WACC &amp; 1.5% - 2.5% PGR</c:v>
                </c:pt>
                <c:pt idx="1">
                  <c:v>7.7% - 8.7% WACC &amp; 17.0x - 19.0x Exit Multiple</c:v>
                </c:pt>
                <c:pt idx="3">
                  <c:v>NTM EV/EBITDA Spread to Comps: 9.9x - 11.9x</c:v>
                </c:pt>
                <c:pt idx="4">
                  <c:v>NTM EV/EBITDA: 11.5x - 13.5x</c:v>
                </c:pt>
                <c:pt idx="5">
                  <c:v>NTM P/E Spread to Comps: 16.3x - 18.3x</c:v>
                </c:pt>
                <c:pt idx="6">
                  <c:v>NTM P/E: 18.6x - 20.6x</c:v>
                </c:pt>
                <c:pt idx="8">
                  <c:v>2009-2018 Early Cycle EV/EBITDA Spread to Comps: 12.5x - 14.5x</c:v>
                </c:pt>
                <c:pt idx="9">
                  <c:v>2009-2018 Early Cycle EV/EBITDA: 14.8x - 16.8x</c:v>
                </c:pt>
                <c:pt idx="10">
                  <c:v>2009-2018 Early Cycle P/E Spread to Comps: 16.1x - 18.1x</c:v>
                </c:pt>
                <c:pt idx="11">
                  <c:v>2009-2018 Early Cycle P/E: 13.1x - 15.1x</c:v>
                </c:pt>
                <c:pt idx="13">
                  <c:v>52-Week Price Range:</c:v>
                </c:pt>
                <c:pt idx="14">
                  <c:v>Median Value:</c:v>
                </c:pt>
              </c:strCache>
            </c:strRef>
          </c:cat>
          <c:val>
            <c:numRef>
              <c:f>'Football Field'!$V$5:$V$19</c:f>
              <c:numCache>
                <c:formatCode>_(* #,##0.00_);_(* \(#,##0.00\);_(* "-"??_);_(@_)</c:formatCode>
                <c:ptCount val="15"/>
                <c:pt idx="0" formatCode="_(&quot;$&quot;* #,##0.00_);_(&quot;$&quot;* \(#,##0.00\);_(&quot;$&quot;* &quot;-&quot;??_);_(@_)">
                  <c:v>215.43546423613432</c:v>
                </c:pt>
                <c:pt idx="1">
                  <c:v>278.04665922575344</c:v>
                </c:pt>
                <c:pt idx="3">
                  <c:v>309.72372735831112</c:v>
                </c:pt>
                <c:pt idx="4">
                  <c:v>295.96231093503167</c:v>
                </c:pt>
                <c:pt idx="5">
                  <c:v>372.59915808670235</c:v>
                </c:pt>
                <c:pt idx="6">
                  <c:v>418.93404742718269</c:v>
                </c:pt>
                <c:pt idx="8">
                  <c:v>241.51397290652844</c:v>
                </c:pt>
                <c:pt idx="9">
                  <c:v>138.40343379701372</c:v>
                </c:pt>
                <c:pt idx="10">
                  <c:v>293.45090870953982</c:v>
                </c:pt>
                <c:pt idx="11">
                  <c:v>231.71749043283498</c:v>
                </c:pt>
                <c:pt idx="13" formatCode="_(* #,##0.00_);_(* \(#,##0.00\);_(* &quot;-&quot;?_);_(@_)">
                  <c:v>387.49</c:v>
                </c:pt>
                <c:pt idx="14" formatCode="&quot;$&quot;#,##0.00_);\(&quot;$&quot;#,##0.00\)">
                  <c:v>293.45090870953982</c:v>
                </c:pt>
              </c:numCache>
            </c:numRef>
          </c:val>
          <c:extLst>
            <c:ext xmlns:c16="http://schemas.microsoft.com/office/drawing/2014/chart" uri="{C3380CC4-5D6E-409C-BE32-E72D297353CC}">
              <c16:uniqueId val="{00000006-97BB-45AD-BA80-3825E358C0A0}"/>
            </c:ext>
          </c:extLst>
        </c:ser>
        <c:dLbls>
          <c:showLegendKey val="0"/>
          <c:showVal val="0"/>
          <c:showCatName val="0"/>
          <c:showSerName val="0"/>
          <c:showPercent val="0"/>
          <c:showBubbleSize val="0"/>
        </c:dLbls>
        <c:gapWidth val="150"/>
        <c:overlap val="100"/>
        <c:axId val="535350720"/>
        <c:axId val="158864564"/>
      </c:barChart>
      <c:catAx>
        <c:axId val="535350720"/>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1000" b="0" i="0">
                <a:solidFill>
                  <a:srgbClr val="000000"/>
                </a:solidFill>
                <a:latin typeface="Abadi"/>
              </a:defRPr>
            </a:pPr>
            <a:endParaRPr lang="en-US"/>
          </a:p>
        </c:txPr>
        <c:crossAx val="158864564"/>
        <c:crosses val="autoZero"/>
        <c:auto val="1"/>
        <c:lblAlgn val="ctr"/>
        <c:lblOffset val="100"/>
        <c:noMultiLvlLbl val="1"/>
      </c:catAx>
      <c:valAx>
        <c:axId val="158864564"/>
        <c:scaling>
          <c:orientation val="minMax"/>
          <c:max val="500"/>
        </c:scaling>
        <c:delete val="0"/>
        <c:axPos val="b"/>
        <c:title>
          <c:tx>
            <c:rich>
              <a:bodyPr/>
              <a:lstStyle/>
              <a:p>
                <a:pPr lvl="0">
                  <a:defRPr b="0">
                    <a:solidFill>
                      <a:srgbClr val="000000"/>
                    </a:solidFill>
                    <a:latin typeface="+mn-lt"/>
                  </a:defRPr>
                </a:pPr>
                <a:endParaRPr lang="en-US"/>
              </a:p>
            </c:rich>
          </c:tx>
          <c:overlay val="0"/>
        </c:title>
        <c:numFmt formatCode="&quot;$&quot;#,##0_);\(&quot;$&quot;#,##0\)" sourceLinked="0"/>
        <c:majorTickMark val="out"/>
        <c:minorTickMark val="none"/>
        <c:tickLblPos val="nextTo"/>
        <c:spPr>
          <a:ln/>
        </c:spPr>
        <c:txPr>
          <a:bodyPr/>
          <a:lstStyle/>
          <a:p>
            <a:pPr lvl="0">
              <a:defRPr sz="1000" b="0" i="0">
                <a:solidFill>
                  <a:srgbClr val="000000"/>
                </a:solidFill>
                <a:latin typeface="Abadi"/>
              </a:defRPr>
            </a:pPr>
            <a:endParaRPr lang="en-US"/>
          </a:p>
        </c:txPr>
        <c:crossAx val="535350720"/>
        <c:crosses val="max"/>
        <c:crossBetween val="between"/>
        <c:majorUnit val="100"/>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areaChart>
        <c:grouping val="standard"/>
        <c:varyColors val="1"/>
        <c:ser>
          <c:idx val="0"/>
          <c:order val="0"/>
          <c:spPr>
            <a:solidFill>
              <a:srgbClr val="000000">
                <a:alpha val="30000"/>
              </a:srgbClr>
            </a:solidFill>
            <a:ln w="19050" cmpd="sng">
              <a:solidFill>
                <a:srgbClr val="000000">
                  <a:alpha val="0"/>
                </a:srgbClr>
              </a:solidFill>
            </a:ln>
          </c:spPr>
          <c:cat>
            <c:numRef>
              <c:f>Charts!$C$182:$C$448</c:f>
              <c:numCache>
                <c:formatCode>mm/dd/yyyy</c:formatCode>
                <c:ptCount val="267"/>
                <c:pt idx="0">
                  <c:v>46113</c:v>
                </c:pt>
                <c:pt idx="1">
                  <c:v>46112</c:v>
                </c:pt>
                <c:pt idx="2">
                  <c:v>46111</c:v>
                </c:pt>
                <c:pt idx="3">
                  <c:v>46108</c:v>
                </c:pt>
                <c:pt idx="4">
                  <c:v>46107</c:v>
                </c:pt>
                <c:pt idx="5">
                  <c:v>46106</c:v>
                </c:pt>
                <c:pt idx="6">
                  <c:v>46105</c:v>
                </c:pt>
                <c:pt idx="7">
                  <c:v>46104</c:v>
                </c:pt>
                <c:pt idx="8">
                  <c:v>46101</c:v>
                </c:pt>
                <c:pt idx="9">
                  <c:v>46100</c:v>
                </c:pt>
                <c:pt idx="10">
                  <c:v>46099</c:v>
                </c:pt>
                <c:pt idx="11">
                  <c:v>46098</c:v>
                </c:pt>
                <c:pt idx="12">
                  <c:v>46097</c:v>
                </c:pt>
                <c:pt idx="13">
                  <c:v>46094</c:v>
                </c:pt>
                <c:pt idx="14">
                  <c:v>46093</c:v>
                </c:pt>
                <c:pt idx="15">
                  <c:v>46092</c:v>
                </c:pt>
                <c:pt idx="16">
                  <c:v>46091</c:v>
                </c:pt>
                <c:pt idx="17">
                  <c:v>46090</c:v>
                </c:pt>
                <c:pt idx="18">
                  <c:v>46087</c:v>
                </c:pt>
                <c:pt idx="19">
                  <c:v>46086</c:v>
                </c:pt>
                <c:pt idx="20">
                  <c:v>46085</c:v>
                </c:pt>
                <c:pt idx="21">
                  <c:v>46084</c:v>
                </c:pt>
                <c:pt idx="22">
                  <c:v>46083</c:v>
                </c:pt>
                <c:pt idx="23">
                  <c:v>46080</c:v>
                </c:pt>
                <c:pt idx="24">
                  <c:v>46079</c:v>
                </c:pt>
                <c:pt idx="25">
                  <c:v>46078</c:v>
                </c:pt>
                <c:pt idx="26">
                  <c:v>46077</c:v>
                </c:pt>
                <c:pt idx="27">
                  <c:v>46076</c:v>
                </c:pt>
                <c:pt idx="28">
                  <c:v>46073</c:v>
                </c:pt>
                <c:pt idx="29">
                  <c:v>46072</c:v>
                </c:pt>
                <c:pt idx="30">
                  <c:v>46071</c:v>
                </c:pt>
                <c:pt idx="31">
                  <c:v>46070</c:v>
                </c:pt>
                <c:pt idx="32">
                  <c:v>46066</c:v>
                </c:pt>
                <c:pt idx="33">
                  <c:v>46065</c:v>
                </c:pt>
                <c:pt idx="34">
                  <c:v>46064</c:v>
                </c:pt>
                <c:pt idx="35">
                  <c:v>46063</c:v>
                </c:pt>
                <c:pt idx="36">
                  <c:v>46062</c:v>
                </c:pt>
                <c:pt idx="37">
                  <c:v>46059</c:v>
                </c:pt>
                <c:pt idx="38">
                  <c:v>46058</c:v>
                </c:pt>
                <c:pt idx="39">
                  <c:v>46057</c:v>
                </c:pt>
                <c:pt idx="40">
                  <c:v>46056</c:v>
                </c:pt>
                <c:pt idx="41">
                  <c:v>46055</c:v>
                </c:pt>
                <c:pt idx="42">
                  <c:v>46052</c:v>
                </c:pt>
                <c:pt idx="43">
                  <c:v>46051</c:v>
                </c:pt>
                <c:pt idx="44">
                  <c:v>46050</c:v>
                </c:pt>
                <c:pt idx="45">
                  <c:v>46049</c:v>
                </c:pt>
                <c:pt idx="46">
                  <c:v>46048</c:v>
                </c:pt>
                <c:pt idx="47">
                  <c:v>46045</c:v>
                </c:pt>
                <c:pt idx="48">
                  <c:v>46044</c:v>
                </c:pt>
                <c:pt idx="49">
                  <c:v>46043</c:v>
                </c:pt>
                <c:pt idx="50">
                  <c:v>46042</c:v>
                </c:pt>
                <c:pt idx="51">
                  <c:v>46038</c:v>
                </c:pt>
                <c:pt idx="52">
                  <c:v>46037</c:v>
                </c:pt>
                <c:pt idx="53">
                  <c:v>46036</c:v>
                </c:pt>
                <c:pt idx="54">
                  <c:v>46035</c:v>
                </c:pt>
                <c:pt idx="55">
                  <c:v>46034</c:v>
                </c:pt>
                <c:pt idx="56">
                  <c:v>46031</c:v>
                </c:pt>
                <c:pt idx="57">
                  <c:v>46030</c:v>
                </c:pt>
                <c:pt idx="58">
                  <c:v>46029</c:v>
                </c:pt>
                <c:pt idx="59">
                  <c:v>46028</c:v>
                </c:pt>
                <c:pt idx="60">
                  <c:v>46027</c:v>
                </c:pt>
                <c:pt idx="61">
                  <c:v>46024</c:v>
                </c:pt>
                <c:pt idx="62">
                  <c:v>46022</c:v>
                </c:pt>
                <c:pt idx="63">
                  <c:v>46021</c:v>
                </c:pt>
                <c:pt idx="64">
                  <c:v>46020</c:v>
                </c:pt>
                <c:pt idx="65">
                  <c:v>46017</c:v>
                </c:pt>
                <c:pt idx="66">
                  <c:v>46015</c:v>
                </c:pt>
                <c:pt idx="67">
                  <c:v>46014</c:v>
                </c:pt>
                <c:pt idx="68">
                  <c:v>46013</c:v>
                </c:pt>
                <c:pt idx="69">
                  <c:v>46010</c:v>
                </c:pt>
                <c:pt idx="70">
                  <c:v>46009</c:v>
                </c:pt>
                <c:pt idx="71">
                  <c:v>46008</c:v>
                </c:pt>
                <c:pt idx="72">
                  <c:v>46007</c:v>
                </c:pt>
                <c:pt idx="73">
                  <c:v>46006</c:v>
                </c:pt>
                <c:pt idx="74">
                  <c:v>46003</c:v>
                </c:pt>
                <c:pt idx="75">
                  <c:v>46002</c:v>
                </c:pt>
                <c:pt idx="76">
                  <c:v>46001</c:v>
                </c:pt>
                <c:pt idx="77">
                  <c:v>46000</c:v>
                </c:pt>
                <c:pt idx="78">
                  <c:v>45999</c:v>
                </c:pt>
                <c:pt idx="79">
                  <c:v>45996</c:v>
                </c:pt>
                <c:pt idx="80">
                  <c:v>45995</c:v>
                </c:pt>
                <c:pt idx="81">
                  <c:v>45994</c:v>
                </c:pt>
                <c:pt idx="82">
                  <c:v>45993</c:v>
                </c:pt>
                <c:pt idx="83">
                  <c:v>45992</c:v>
                </c:pt>
                <c:pt idx="84">
                  <c:v>45989</c:v>
                </c:pt>
                <c:pt idx="85">
                  <c:v>45987</c:v>
                </c:pt>
                <c:pt idx="86">
                  <c:v>45986</c:v>
                </c:pt>
                <c:pt idx="87">
                  <c:v>45985</c:v>
                </c:pt>
                <c:pt idx="88">
                  <c:v>45982</c:v>
                </c:pt>
                <c:pt idx="89">
                  <c:v>45981</c:v>
                </c:pt>
                <c:pt idx="90">
                  <c:v>45980</c:v>
                </c:pt>
                <c:pt idx="91">
                  <c:v>45979</c:v>
                </c:pt>
                <c:pt idx="92">
                  <c:v>45978</c:v>
                </c:pt>
                <c:pt idx="93">
                  <c:v>45975</c:v>
                </c:pt>
                <c:pt idx="94">
                  <c:v>45974</c:v>
                </c:pt>
                <c:pt idx="95">
                  <c:v>45973</c:v>
                </c:pt>
                <c:pt idx="96">
                  <c:v>45972</c:v>
                </c:pt>
                <c:pt idx="97">
                  <c:v>45971</c:v>
                </c:pt>
                <c:pt idx="98">
                  <c:v>45968</c:v>
                </c:pt>
                <c:pt idx="99">
                  <c:v>45967</c:v>
                </c:pt>
                <c:pt idx="100">
                  <c:v>45966</c:v>
                </c:pt>
                <c:pt idx="101">
                  <c:v>45965</c:v>
                </c:pt>
                <c:pt idx="102">
                  <c:v>45964</c:v>
                </c:pt>
                <c:pt idx="103">
                  <c:v>45961</c:v>
                </c:pt>
                <c:pt idx="104">
                  <c:v>45960</c:v>
                </c:pt>
                <c:pt idx="105">
                  <c:v>45959</c:v>
                </c:pt>
                <c:pt idx="106">
                  <c:v>45958</c:v>
                </c:pt>
                <c:pt idx="107">
                  <c:v>45957</c:v>
                </c:pt>
                <c:pt idx="108">
                  <c:v>45954</c:v>
                </c:pt>
                <c:pt idx="109">
                  <c:v>45953</c:v>
                </c:pt>
                <c:pt idx="110">
                  <c:v>45952</c:v>
                </c:pt>
                <c:pt idx="111">
                  <c:v>45951</c:v>
                </c:pt>
                <c:pt idx="112">
                  <c:v>45950</c:v>
                </c:pt>
                <c:pt idx="113">
                  <c:v>45947</c:v>
                </c:pt>
                <c:pt idx="114">
                  <c:v>45946</c:v>
                </c:pt>
                <c:pt idx="115">
                  <c:v>45945</c:v>
                </c:pt>
                <c:pt idx="116">
                  <c:v>45944</c:v>
                </c:pt>
                <c:pt idx="117">
                  <c:v>45943</c:v>
                </c:pt>
                <c:pt idx="118">
                  <c:v>45940</c:v>
                </c:pt>
                <c:pt idx="119">
                  <c:v>45939</c:v>
                </c:pt>
                <c:pt idx="120">
                  <c:v>45938</c:v>
                </c:pt>
                <c:pt idx="121">
                  <c:v>45937</c:v>
                </c:pt>
                <c:pt idx="122">
                  <c:v>45936</c:v>
                </c:pt>
                <c:pt idx="123">
                  <c:v>45933</c:v>
                </c:pt>
                <c:pt idx="124">
                  <c:v>45932</c:v>
                </c:pt>
                <c:pt idx="125">
                  <c:v>45931</c:v>
                </c:pt>
                <c:pt idx="126">
                  <c:v>45930</c:v>
                </c:pt>
                <c:pt idx="127">
                  <c:v>45929</c:v>
                </c:pt>
                <c:pt idx="128">
                  <c:v>45926</c:v>
                </c:pt>
                <c:pt idx="129">
                  <c:v>45925</c:v>
                </c:pt>
                <c:pt idx="130">
                  <c:v>45924</c:v>
                </c:pt>
                <c:pt idx="131">
                  <c:v>45923</c:v>
                </c:pt>
                <c:pt idx="132">
                  <c:v>45922</c:v>
                </c:pt>
                <c:pt idx="133">
                  <c:v>45919</c:v>
                </c:pt>
                <c:pt idx="134">
                  <c:v>45918</c:v>
                </c:pt>
                <c:pt idx="135">
                  <c:v>45917</c:v>
                </c:pt>
                <c:pt idx="136">
                  <c:v>45916</c:v>
                </c:pt>
                <c:pt idx="137">
                  <c:v>45915</c:v>
                </c:pt>
                <c:pt idx="138">
                  <c:v>45912</c:v>
                </c:pt>
                <c:pt idx="139">
                  <c:v>45911</c:v>
                </c:pt>
                <c:pt idx="140">
                  <c:v>45910</c:v>
                </c:pt>
                <c:pt idx="141">
                  <c:v>45909</c:v>
                </c:pt>
                <c:pt idx="142">
                  <c:v>45908</c:v>
                </c:pt>
                <c:pt idx="143">
                  <c:v>45905</c:v>
                </c:pt>
                <c:pt idx="144">
                  <c:v>45904</c:v>
                </c:pt>
                <c:pt idx="145">
                  <c:v>45903</c:v>
                </c:pt>
                <c:pt idx="146">
                  <c:v>45902</c:v>
                </c:pt>
                <c:pt idx="147">
                  <c:v>45898</c:v>
                </c:pt>
                <c:pt idx="148">
                  <c:v>45897</c:v>
                </c:pt>
                <c:pt idx="149">
                  <c:v>45896</c:v>
                </c:pt>
                <c:pt idx="150">
                  <c:v>45895</c:v>
                </c:pt>
                <c:pt idx="151">
                  <c:v>45894</c:v>
                </c:pt>
                <c:pt idx="152">
                  <c:v>45891</c:v>
                </c:pt>
                <c:pt idx="153">
                  <c:v>45890</c:v>
                </c:pt>
                <c:pt idx="154">
                  <c:v>45889</c:v>
                </c:pt>
                <c:pt idx="155">
                  <c:v>45888</c:v>
                </c:pt>
                <c:pt idx="156">
                  <c:v>45887</c:v>
                </c:pt>
                <c:pt idx="157">
                  <c:v>45884</c:v>
                </c:pt>
                <c:pt idx="158">
                  <c:v>45883</c:v>
                </c:pt>
                <c:pt idx="159">
                  <c:v>45882</c:v>
                </c:pt>
                <c:pt idx="160">
                  <c:v>45881</c:v>
                </c:pt>
                <c:pt idx="161">
                  <c:v>45880</c:v>
                </c:pt>
                <c:pt idx="162">
                  <c:v>45877</c:v>
                </c:pt>
                <c:pt idx="163">
                  <c:v>45876</c:v>
                </c:pt>
                <c:pt idx="164">
                  <c:v>45875</c:v>
                </c:pt>
                <c:pt idx="165">
                  <c:v>45874</c:v>
                </c:pt>
                <c:pt idx="166">
                  <c:v>45873</c:v>
                </c:pt>
                <c:pt idx="167">
                  <c:v>45870</c:v>
                </c:pt>
                <c:pt idx="168">
                  <c:v>45869</c:v>
                </c:pt>
                <c:pt idx="169">
                  <c:v>45868</c:v>
                </c:pt>
                <c:pt idx="170">
                  <c:v>45867</c:v>
                </c:pt>
                <c:pt idx="171">
                  <c:v>45866</c:v>
                </c:pt>
                <c:pt idx="172">
                  <c:v>45863</c:v>
                </c:pt>
                <c:pt idx="173">
                  <c:v>45862</c:v>
                </c:pt>
                <c:pt idx="174">
                  <c:v>45861</c:v>
                </c:pt>
                <c:pt idx="175">
                  <c:v>45860</c:v>
                </c:pt>
                <c:pt idx="176">
                  <c:v>45859</c:v>
                </c:pt>
                <c:pt idx="177">
                  <c:v>45856</c:v>
                </c:pt>
                <c:pt idx="178">
                  <c:v>45855</c:v>
                </c:pt>
                <c:pt idx="179">
                  <c:v>45854</c:v>
                </c:pt>
                <c:pt idx="180">
                  <c:v>45853</c:v>
                </c:pt>
                <c:pt idx="181">
                  <c:v>45852</c:v>
                </c:pt>
                <c:pt idx="182">
                  <c:v>45849</c:v>
                </c:pt>
                <c:pt idx="183">
                  <c:v>45848</c:v>
                </c:pt>
                <c:pt idx="184">
                  <c:v>45847</c:v>
                </c:pt>
                <c:pt idx="185">
                  <c:v>45846</c:v>
                </c:pt>
                <c:pt idx="186">
                  <c:v>45845</c:v>
                </c:pt>
                <c:pt idx="187">
                  <c:v>45841</c:v>
                </c:pt>
                <c:pt idx="188">
                  <c:v>45840</c:v>
                </c:pt>
                <c:pt idx="189">
                  <c:v>45839</c:v>
                </c:pt>
                <c:pt idx="190">
                  <c:v>45838</c:v>
                </c:pt>
                <c:pt idx="191">
                  <c:v>45835</c:v>
                </c:pt>
                <c:pt idx="192">
                  <c:v>45834</c:v>
                </c:pt>
                <c:pt idx="193">
                  <c:v>45833</c:v>
                </c:pt>
                <c:pt idx="194">
                  <c:v>45832</c:v>
                </c:pt>
                <c:pt idx="195">
                  <c:v>45831</c:v>
                </c:pt>
                <c:pt idx="196">
                  <c:v>45828</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45800</c:v>
                </c:pt>
                <c:pt idx="215">
                  <c:v>45799</c:v>
                </c:pt>
                <c:pt idx="216">
                  <c:v>45798</c:v>
                </c:pt>
                <c:pt idx="217">
                  <c:v>45797</c:v>
                </c:pt>
                <c:pt idx="218">
                  <c:v>45796</c:v>
                </c:pt>
                <c:pt idx="219">
                  <c:v>45793</c:v>
                </c:pt>
                <c:pt idx="220">
                  <c:v>45792</c:v>
                </c:pt>
                <c:pt idx="221">
                  <c:v>45791</c:v>
                </c:pt>
                <c:pt idx="222">
                  <c:v>45790</c:v>
                </c:pt>
                <c:pt idx="223">
                  <c:v>45789</c:v>
                </c:pt>
                <c:pt idx="224">
                  <c:v>45786</c:v>
                </c:pt>
                <c:pt idx="225">
                  <c:v>45785</c:v>
                </c:pt>
                <c:pt idx="226">
                  <c:v>45784</c:v>
                </c:pt>
                <c:pt idx="227">
                  <c:v>45783</c:v>
                </c:pt>
                <c:pt idx="228">
                  <c:v>45782</c:v>
                </c:pt>
                <c:pt idx="229">
                  <c:v>45779</c:v>
                </c:pt>
                <c:pt idx="230">
                  <c:v>45778</c:v>
                </c:pt>
                <c:pt idx="231">
                  <c:v>45777</c:v>
                </c:pt>
                <c:pt idx="232">
                  <c:v>45776</c:v>
                </c:pt>
                <c:pt idx="233">
                  <c:v>45775</c:v>
                </c:pt>
                <c:pt idx="234">
                  <c:v>45772</c:v>
                </c:pt>
                <c:pt idx="235">
                  <c:v>45771</c:v>
                </c:pt>
                <c:pt idx="236">
                  <c:v>45770</c:v>
                </c:pt>
                <c:pt idx="237">
                  <c:v>45769</c:v>
                </c:pt>
                <c:pt idx="238">
                  <c:v>45768</c:v>
                </c:pt>
                <c:pt idx="239">
                  <c:v>45764</c:v>
                </c:pt>
                <c:pt idx="240">
                  <c:v>45763</c:v>
                </c:pt>
                <c:pt idx="241">
                  <c:v>45762</c:v>
                </c:pt>
                <c:pt idx="242">
                  <c:v>45761</c:v>
                </c:pt>
                <c:pt idx="243">
                  <c:v>45758</c:v>
                </c:pt>
                <c:pt idx="244">
                  <c:v>45757</c:v>
                </c:pt>
                <c:pt idx="245">
                  <c:v>45756</c:v>
                </c:pt>
                <c:pt idx="246">
                  <c:v>45755</c:v>
                </c:pt>
                <c:pt idx="247">
                  <c:v>45754</c:v>
                </c:pt>
                <c:pt idx="248">
                  <c:v>45751</c:v>
                </c:pt>
                <c:pt idx="249">
                  <c:v>45750</c:v>
                </c:pt>
              </c:numCache>
            </c:numRef>
          </c:cat>
          <c:val>
            <c:numRef>
              <c:f>Charts!$E$182:$E$448</c:f>
              <c:numCache>
                <c:formatCode>#,##0_);\(#,##0\)</c:formatCode>
                <c:ptCount val="267"/>
                <c:pt idx="0">
                  <c:v>2769871</c:v>
                </c:pt>
                <c:pt idx="1">
                  <c:v>3250400</c:v>
                </c:pt>
                <c:pt idx="2">
                  <c:v>2628800</c:v>
                </c:pt>
                <c:pt idx="3">
                  <c:v>4110400</c:v>
                </c:pt>
                <c:pt idx="4">
                  <c:v>4195200</c:v>
                </c:pt>
                <c:pt idx="5">
                  <c:v>4914400</c:v>
                </c:pt>
                <c:pt idx="6">
                  <c:v>5378300</c:v>
                </c:pt>
                <c:pt idx="7">
                  <c:v>16992700</c:v>
                </c:pt>
                <c:pt idx="8">
                  <c:v>8256400</c:v>
                </c:pt>
                <c:pt idx="9">
                  <c:v>3485800</c:v>
                </c:pt>
                <c:pt idx="10">
                  <c:v>2399300</c:v>
                </c:pt>
                <c:pt idx="11">
                  <c:v>2753600</c:v>
                </c:pt>
                <c:pt idx="12">
                  <c:v>3367300</c:v>
                </c:pt>
                <c:pt idx="13">
                  <c:v>2548300</c:v>
                </c:pt>
                <c:pt idx="14">
                  <c:v>2296200</c:v>
                </c:pt>
                <c:pt idx="15">
                  <c:v>2853800</c:v>
                </c:pt>
                <c:pt idx="16">
                  <c:v>2335500</c:v>
                </c:pt>
                <c:pt idx="17">
                  <c:v>3162200</c:v>
                </c:pt>
                <c:pt idx="18">
                  <c:v>2335100</c:v>
                </c:pt>
                <c:pt idx="19">
                  <c:v>3051700</c:v>
                </c:pt>
                <c:pt idx="20">
                  <c:v>2841600</c:v>
                </c:pt>
                <c:pt idx="21">
                  <c:v>2532800</c:v>
                </c:pt>
                <c:pt idx="22">
                  <c:v>2152500</c:v>
                </c:pt>
                <c:pt idx="23">
                  <c:v>4106100</c:v>
                </c:pt>
                <c:pt idx="24">
                  <c:v>3422200</c:v>
                </c:pt>
                <c:pt idx="25">
                  <c:v>3358100</c:v>
                </c:pt>
                <c:pt idx="26">
                  <c:v>3244100</c:v>
                </c:pt>
                <c:pt idx="27">
                  <c:v>2112900</c:v>
                </c:pt>
                <c:pt idx="28">
                  <c:v>2882400</c:v>
                </c:pt>
                <c:pt idx="29">
                  <c:v>5214000</c:v>
                </c:pt>
                <c:pt idx="30">
                  <c:v>4920700</c:v>
                </c:pt>
                <c:pt idx="31">
                  <c:v>3188000</c:v>
                </c:pt>
                <c:pt idx="32">
                  <c:v>2943300</c:v>
                </c:pt>
                <c:pt idx="33">
                  <c:v>3191900</c:v>
                </c:pt>
                <c:pt idx="34">
                  <c:v>2405600</c:v>
                </c:pt>
                <c:pt idx="35">
                  <c:v>2436300</c:v>
                </c:pt>
                <c:pt idx="36">
                  <c:v>3993600</c:v>
                </c:pt>
                <c:pt idx="37">
                  <c:v>3647100</c:v>
                </c:pt>
                <c:pt idx="38">
                  <c:v>2588300</c:v>
                </c:pt>
                <c:pt idx="39">
                  <c:v>2553000</c:v>
                </c:pt>
                <c:pt idx="40">
                  <c:v>2456300</c:v>
                </c:pt>
                <c:pt idx="41">
                  <c:v>2715900</c:v>
                </c:pt>
                <c:pt idx="42">
                  <c:v>2628800</c:v>
                </c:pt>
                <c:pt idx="43">
                  <c:v>2510600</c:v>
                </c:pt>
                <c:pt idx="44">
                  <c:v>4149500</c:v>
                </c:pt>
                <c:pt idx="45">
                  <c:v>2767800</c:v>
                </c:pt>
                <c:pt idx="46">
                  <c:v>2835900</c:v>
                </c:pt>
                <c:pt idx="47">
                  <c:v>3995700</c:v>
                </c:pt>
                <c:pt idx="48">
                  <c:v>4539400</c:v>
                </c:pt>
                <c:pt idx="49">
                  <c:v>9316900</c:v>
                </c:pt>
                <c:pt idx="50">
                  <c:v>4260900</c:v>
                </c:pt>
                <c:pt idx="51">
                  <c:v>4175800</c:v>
                </c:pt>
                <c:pt idx="52">
                  <c:v>4472600</c:v>
                </c:pt>
                <c:pt idx="53">
                  <c:v>3257700</c:v>
                </c:pt>
                <c:pt idx="54">
                  <c:v>3127800</c:v>
                </c:pt>
                <c:pt idx="55">
                  <c:v>3905800</c:v>
                </c:pt>
                <c:pt idx="56">
                  <c:v>3638900</c:v>
                </c:pt>
                <c:pt idx="57">
                  <c:v>3604600</c:v>
                </c:pt>
                <c:pt idx="58">
                  <c:v>2913500</c:v>
                </c:pt>
                <c:pt idx="59">
                  <c:v>4210500</c:v>
                </c:pt>
                <c:pt idx="60">
                  <c:v>3469200</c:v>
                </c:pt>
                <c:pt idx="61">
                  <c:v>3997700</c:v>
                </c:pt>
                <c:pt idx="62">
                  <c:v>4105600</c:v>
                </c:pt>
                <c:pt idx="63">
                  <c:v>3619400</c:v>
                </c:pt>
                <c:pt idx="64">
                  <c:v>5126500</c:v>
                </c:pt>
                <c:pt idx="65">
                  <c:v>3565600</c:v>
                </c:pt>
                <c:pt idx="66">
                  <c:v>4089300</c:v>
                </c:pt>
                <c:pt idx="67">
                  <c:v>3396200</c:v>
                </c:pt>
                <c:pt idx="68">
                  <c:v>4032700</c:v>
                </c:pt>
                <c:pt idx="69">
                  <c:v>4397700</c:v>
                </c:pt>
                <c:pt idx="70">
                  <c:v>6797900</c:v>
                </c:pt>
                <c:pt idx="71">
                  <c:v>5691500</c:v>
                </c:pt>
                <c:pt idx="72">
                  <c:v>5798800</c:v>
                </c:pt>
                <c:pt idx="73">
                  <c:v>3743000</c:v>
                </c:pt>
                <c:pt idx="74">
                  <c:v>4494000</c:v>
                </c:pt>
                <c:pt idx="75">
                  <c:v>5406600</c:v>
                </c:pt>
                <c:pt idx="76">
                  <c:v>4449200</c:v>
                </c:pt>
                <c:pt idx="77">
                  <c:v>4476900</c:v>
                </c:pt>
                <c:pt idx="78">
                  <c:v>3694800</c:v>
                </c:pt>
                <c:pt idx="79">
                  <c:v>4525200</c:v>
                </c:pt>
                <c:pt idx="80">
                  <c:v>3715300</c:v>
                </c:pt>
                <c:pt idx="81">
                  <c:v>4150100</c:v>
                </c:pt>
                <c:pt idx="82">
                  <c:v>4629500</c:v>
                </c:pt>
                <c:pt idx="83">
                  <c:v>4255500</c:v>
                </c:pt>
                <c:pt idx="84">
                  <c:v>3860200</c:v>
                </c:pt>
                <c:pt idx="85">
                  <c:v>4939200</c:v>
                </c:pt>
                <c:pt idx="86">
                  <c:v>3453900</c:v>
                </c:pt>
                <c:pt idx="87">
                  <c:v>3017000</c:v>
                </c:pt>
                <c:pt idx="88">
                  <c:v>3634000</c:v>
                </c:pt>
                <c:pt idx="89">
                  <c:v>3713000</c:v>
                </c:pt>
                <c:pt idx="90">
                  <c:v>2716600</c:v>
                </c:pt>
                <c:pt idx="91">
                  <c:v>3006200</c:v>
                </c:pt>
                <c:pt idx="92">
                  <c:v>3828800</c:v>
                </c:pt>
                <c:pt idx="93">
                  <c:v>6359800</c:v>
                </c:pt>
                <c:pt idx="94">
                  <c:v>3656300</c:v>
                </c:pt>
                <c:pt idx="95">
                  <c:v>3371900</c:v>
                </c:pt>
                <c:pt idx="96">
                  <c:v>2964500</c:v>
                </c:pt>
                <c:pt idx="97">
                  <c:v>3647900</c:v>
                </c:pt>
                <c:pt idx="98">
                  <c:v>3168500</c:v>
                </c:pt>
                <c:pt idx="99">
                  <c:v>2684300</c:v>
                </c:pt>
                <c:pt idx="100">
                  <c:v>3276300</c:v>
                </c:pt>
                <c:pt idx="101">
                  <c:v>2917700</c:v>
                </c:pt>
                <c:pt idx="102">
                  <c:v>3507200</c:v>
                </c:pt>
                <c:pt idx="103">
                  <c:v>3192200</c:v>
                </c:pt>
                <c:pt idx="104">
                  <c:v>3564200</c:v>
                </c:pt>
                <c:pt idx="105">
                  <c:v>3547600</c:v>
                </c:pt>
                <c:pt idx="106">
                  <c:v>3970900</c:v>
                </c:pt>
                <c:pt idx="107">
                  <c:v>4795200</c:v>
                </c:pt>
                <c:pt idx="108">
                  <c:v>4543300</c:v>
                </c:pt>
                <c:pt idx="109">
                  <c:v>3555400</c:v>
                </c:pt>
                <c:pt idx="110">
                  <c:v>3324400</c:v>
                </c:pt>
                <c:pt idx="111">
                  <c:v>4700200</c:v>
                </c:pt>
                <c:pt idx="112">
                  <c:v>8525100</c:v>
                </c:pt>
                <c:pt idx="113">
                  <c:v>3888100</c:v>
                </c:pt>
                <c:pt idx="114">
                  <c:v>3119900</c:v>
                </c:pt>
                <c:pt idx="115">
                  <c:v>3737200</c:v>
                </c:pt>
                <c:pt idx="116">
                  <c:v>3745200</c:v>
                </c:pt>
                <c:pt idx="117">
                  <c:v>3638700</c:v>
                </c:pt>
                <c:pt idx="118">
                  <c:v>4989600</c:v>
                </c:pt>
                <c:pt idx="119">
                  <c:v>3394900</c:v>
                </c:pt>
                <c:pt idx="120">
                  <c:v>4585200</c:v>
                </c:pt>
                <c:pt idx="121">
                  <c:v>4613400</c:v>
                </c:pt>
                <c:pt idx="122">
                  <c:v>5143100</c:v>
                </c:pt>
                <c:pt idx="123">
                  <c:v>7792700</c:v>
                </c:pt>
                <c:pt idx="124">
                  <c:v>5238500</c:v>
                </c:pt>
                <c:pt idx="125">
                  <c:v>4330900</c:v>
                </c:pt>
                <c:pt idx="126">
                  <c:v>3361100</c:v>
                </c:pt>
                <c:pt idx="127">
                  <c:v>6030400</c:v>
                </c:pt>
                <c:pt idx="128">
                  <c:v>6639300</c:v>
                </c:pt>
                <c:pt idx="129">
                  <c:v>9972300</c:v>
                </c:pt>
                <c:pt idx="130">
                  <c:v>5149500</c:v>
                </c:pt>
                <c:pt idx="131">
                  <c:v>3767700</c:v>
                </c:pt>
                <c:pt idx="132">
                  <c:v>2842000</c:v>
                </c:pt>
                <c:pt idx="133">
                  <c:v>2758700</c:v>
                </c:pt>
                <c:pt idx="134">
                  <c:v>2244100</c:v>
                </c:pt>
                <c:pt idx="135">
                  <c:v>2947700</c:v>
                </c:pt>
                <c:pt idx="136">
                  <c:v>2035500</c:v>
                </c:pt>
                <c:pt idx="137">
                  <c:v>2783900</c:v>
                </c:pt>
                <c:pt idx="138">
                  <c:v>2837900</c:v>
                </c:pt>
                <c:pt idx="139">
                  <c:v>2723800</c:v>
                </c:pt>
                <c:pt idx="140">
                  <c:v>3421800</c:v>
                </c:pt>
                <c:pt idx="141">
                  <c:v>2562700</c:v>
                </c:pt>
                <c:pt idx="142">
                  <c:v>2679800</c:v>
                </c:pt>
                <c:pt idx="143">
                  <c:v>2996500</c:v>
                </c:pt>
                <c:pt idx="144">
                  <c:v>3181900</c:v>
                </c:pt>
                <c:pt idx="145">
                  <c:v>3898500</c:v>
                </c:pt>
                <c:pt idx="146">
                  <c:v>4400500</c:v>
                </c:pt>
                <c:pt idx="147">
                  <c:v>3816600</c:v>
                </c:pt>
                <c:pt idx="148">
                  <c:v>4762700</c:v>
                </c:pt>
                <c:pt idx="149">
                  <c:v>2496200</c:v>
                </c:pt>
                <c:pt idx="150">
                  <c:v>4764100</c:v>
                </c:pt>
                <c:pt idx="151">
                  <c:v>3612300</c:v>
                </c:pt>
                <c:pt idx="152">
                  <c:v>5322600</c:v>
                </c:pt>
                <c:pt idx="153">
                  <c:v>3899800</c:v>
                </c:pt>
                <c:pt idx="154">
                  <c:v>4683100</c:v>
                </c:pt>
                <c:pt idx="155">
                  <c:v>3727200</c:v>
                </c:pt>
                <c:pt idx="156">
                  <c:v>4090900</c:v>
                </c:pt>
                <c:pt idx="157">
                  <c:v>3291800</c:v>
                </c:pt>
                <c:pt idx="158">
                  <c:v>4036900</c:v>
                </c:pt>
                <c:pt idx="159">
                  <c:v>3005200</c:v>
                </c:pt>
                <c:pt idx="160">
                  <c:v>4971200</c:v>
                </c:pt>
                <c:pt idx="161">
                  <c:v>4144100</c:v>
                </c:pt>
                <c:pt idx="162">
                  <c:v>4937000</c:v>
                </c:pt>
                <c:pt idx="163">
                  <c:v>3911900</c:v>
                </c:pt>
                <c:pt idx="164">
                  <c:v>7243400</c:v>
                </c:pt>
                <c:pt idx="165">
                  <c:v>2335300</c:v>
                </c:pt>
                <c:pt idx="166">
                  <c:v>3227000</c:v>
                </c:pt>
                <c:pt idx="167">
                  <c:v>3326100</c:v>
                </c:pt>
                <c:pt idx="168">
                  <c:v>2635000</c:v>
                </c:pt>
                <c:pt idx="169">
                  <c:v>1044600</c:v>
                </c:pt>
                <c:pt idx="170">
                  <c:v>3613700</c:v>
                </c:pt>
                <c:pt idx="171">
                  <c:v>3274200</c:v>
                </c:pt>
                <c:pt idx="172">
                  <c:v>5153100</c:v>
                </c:pt>
                <c:pt idx="173">
                  <c:v>11916900</c:v>
                </c:pt>
                <c:pt idx="174">
                  <c:v>4471500</c:v>
                </c:pt>
                <c:pt idx="175">
                  <c:v>4443500</c:v>
                </c:pt>
                <c:pt idx="176">
                  <c:v>4764700</c:v>
                </c:pt>
                <c:pt idx="177">
                  <c:v>4654000</c:v>
                </c:pt>
                <c:pt idx="178">
                  <c:v>5292600</c:v>
                </c:pt>
                <c:pt idx="179">
                  <c:v>6647400</c:v>
                </c:pt>
                <c:pt idx="180">
                  <c:v>11093300</c:v>
                </c:pt>
                <c:pt idx="181">
                  <c:v>6737300</c:v>
                </c:pt>
                <c:pt idx="182">
                  <c:v>7306800</c:v>
                </c:pt>
                <c:pt idx="183">
                  <c:v>4709100</c:v>
                </c:pt>
                <c:pt idx="184">
                  <c:v>4870100</c:v>
                </c:pt>
                <c:pt idx="185">
                  <c:v>5133100</c:v>
                </c:pt>
                <c:pt idx="186">
                  <c:v>6103700</c:v>
                </c:pt>
                <c:pt idx="187">
                  <c:v>7292400</c:v>
                </c:pt>
                <c:pt idx="188">
                  <c:v>2081300</c:v>
                </c:pt>
                <c:pt idx="189">
                  <c:v>5228300</c:v>
                </c:pt>
                <c:pt idx="190">
                  <c:v>7190200</c:v>
                </c:pt>
                <c:pt idx="191">
                  <c:v>6978500</c:v>
                </c:pt>
                <c:pt idx="192">
                  <c:v>6005800</c:v>
                </c:pt>
                <c:pt idx="193">
                  <c:v>9393700</c:v>
                </c:pt>
                <c:pt idx="194">
                  <c:v>18087800</c:v>
                </c:pt>
                <c:pt idx="195">
                  <c:v>5642100</c:v>
                </c:pt>
                <c:pt idx="196">
                  <c:v>5005400</c:v>
                </c:pt>
                <c:pt idx="197">
                  <c:v>4036000</c:v>
                </c:pt>
                <c:pt idx="198">
                  <c:v>3893900</c:v>
                </c:pt>
                <c:pt idx="199">
                  <c:v>4551700</c:v>
                </c:pt>
                <c:pt idx="200">
                  <c:v>5925100</c:v>
                </c:pt>
                <c:pt idx="201">
                  <c:v>10765200</c:v>
                </c:pt>
                <c:pt idx="202">
                  <c:v>2672900</c:v>
                </c:pt>
                <c:pt idx="203">
                  <c:v>4088100</c:v>
                </c:pt>
                <c:pt idx="204">
                  <c:v>5006500</c:v>
                </c:pt>
                <c:pt idx="205">
                  <c:v>2908200</c:v>
                </c:pt>
                <c:pt idx="206">
                  <c:v>2978900</c:v>
                </c:pt>
                <c:pt idx="207">
                  <c:v>3948900</c:v>
                </c:pt>
                <c:pt idx="208">
                  <c:v>3697800</c:v>
                </c:pt>
                <c:pt idx="209">
                  <c:v>4947700</c:v>
                </c:pt>
                <c:pt idx="210">
                  <c:v>4425700</c:v>
                </c:pt>
                <c:pt idx="211">
                  <c:v>4380800</c:v>
                </c:pt>
                <c:pt idx="212">
                  <c:v>2963100</c:v>
                </c:pt>
                <c:pt idx="213">
                  <c:v>3266800</c:v>
                </c:pt>
                <c:pt idx="214">
                  <c:v>3431800</c:v>
                </c:pt>
                <c:pt idx="215">
                  <c:v>3603800</c:v>
                </c:pt>
                <c:pt idx="216">
                  <c:v>4073200</c:v>
                </c:pt>
                <c:pt idx="217">
                  <c:v>3879100</c:v>
                </c:pt>
                <c:pt idx="218">
                  <c:v>3631600</c:v>
                </c:pt>
                <c:pt idx="219">
                  <c:v>3474800</c:v>
                </c:pt>
                <c:pt idx="220">
                  <c:v>2987800</c:v>
                </c:pt>
                <c:pt idx="221">
                  <c:v>3377900</c:v>
                </c:pt>
                <c:pt idx="222">
                  <c:v>4593700</c:v>
                </c:pt>
                <c:pt idx="223">
                  <c:v>3105700</c:v>
                </c:pt>
                <c:pt idx="224">
                  <c:v>2587400</c:v>
                </c:pt>
                <c:pt idx="225">
                  <c:v>2765600</c:v>
                </c:pt>
                <c:pt idx="226">
                  <c:v>2437400</c:v>
                </c:pt>
                <c:pt idx="227">
                  <c:v>2026600</c:v>
                </c:pt>
                <c:pt idx="228">
                  <c:v>2677200</c:v>
                </c:pt>
                <c:pt idx="229">
                  <c:v>4198600</c:v>
                </c:pt>
                <c:pt idx="230">
                  <c:v>2212000</c:v>
                </c:pt>
                <c:pt idx="231">
                  <c:v>2815700</c:v>
                </c:pt>
                <c:pt idx="232">
                  <c:v>2828600</c:v>
                </c:pt>
                <c:pt idx="233">
                  <c:v>3888600</c:v>
                </c:pt>
                <c:pt idx="234">
                  <c:v>3245500</c:v>
                </c:pt>
                <c:pt idx="235">
                  <c:v>3526300</c:v>
                </c:pt>
                <c:pt idx="236">
                  <c:v>3929500</c:v>
                </c:pt>
                <c:pt idx="237">
                  <c:v>5484700</c:v>
                </c:pt>
                <c:pt idx="238">
                  <c:v>3717800</c:v>
                </c:pt>
                <c:pt idx="239">
                  <c:v>3814700</c:v>
                </c:pt>
                <c:pt idx="240">
                  <c:v>3998100</c:v>
                </c:pt>
                <c:pt idx="241">
                  <c:v>3583300</c:v>
                </c:pt>
                <c:pt idx="242">
                  <c:v>4870800</c:v>
                </c:pt>
                <c:pt idx="243">
                  <c:v>4129200</c:v>
                </c:pt>
                <c:pt idx="244">
                  <c:v>4382600</c:v>
                </c:pt>
                <c:pt idx="245">
                  <c:v>4892800</c:v>
                </c:pt>
                <c:pt idx="246">
                  <c:v>6303800</c:v>
                </c:pt>
                <c:pt idx="247">
                  <c:v>5734400</c:v>
                </c:pt>
                <c:pt idx="248">
                  <c:v>4262700</c:v>
                </c:pt>
                <c:pt idx="249">
                  <c:v>4284400</c:v>
                </c:pt>
              </c:numCache>
            </c:numRef>
          </c:val>
          <c:extLst>
            <c:ext xmlns:c16="http://schemas.microsoft.com/office/drawing/2014/chart" uri="{C3380CC4-5D6E-409C-BE32-E72D297353CC}">
              <c16:uniqueId val="{00000000-DE17-4B69-8046-F075F28ADC60}"/>
            </c:ext>
          </c:extLst>
        </c:ser>
        <c:dLbls>
          <c:showLegendKey val="0"/>
          <c:showVal val="0"/>
          <c:showCatName val="0"/>
          <c:showSerName val="0"/>
          <c:showPercent val="0"/>
          <c:showBubbleSize val="0"/>
        </c:dLbls>
        <c:axId val="1144880854"/>
        <c:axId val="590727935"/>
      </c:areaChart>
      <c:lineChart>
        <c:grouping val="standard"/>
        <c:varyColors val="0"/>
        <c:ser>
          <c:idx val="1"/>
          <c:order val="1"/>
          <c:spPr>
            <a:ln w="19050" cmpd="sng">
              <a:solidFill>
                <a:srgbClr val="00355F">
                  <a:alpha val="100000"/>
                </a:srgbClr>
              </a:solidFill>
            </a:ln>
          </c:spPr>
          <c:marker>
            <c:symbol val="none"/>
          </c:marker>
          <c:cat>
            <c:numRef>
              <c:f>Charts!$C$182:$C$448</c:f>
              <c:numCache>
                <c:formatCode>mm/dd/yyyy</c:formatCode>
                <c:ptCount val="267"/>
                <c:pt idx="0">
                  <c:v>46113</c:v>
                </c:pt>
                <c:pt idx="1">
                  <c:v>46112</c:v>
                </c:pt>
                <c:pt idx="2">
                  <c:v>46111</c:v>
                </c:pt>
                <c:pt idx="3">
                  <c:v>46108</c:v>
                </c:pt>
                <c:pt idx="4">
                  <c:v>46107</c:v>
                </c:pt>
                <c:pt idx="5">
                  <c:v>46106</c:v>
                </c:pt>
                <c:pt idx="6">
                  <c:v>46105</c:v>
                </c:pt>
                <c:pt idx="7">
                  <c:v>46104</c:v>
                </c:pt>
                <c:pt idx="8">
                  <c:v>46101</c:v>
                </c:pt>
                <c:pt idx="9">
                  <c:v>46100</c:v>
                </c:pt>
                <c:pt idx="10">
                  <c:v>46099</c:v>
                </c:pt>
                <c:pt idx="11">
                  <c:v>46098</c:v>
                </c:pt>
                <c:pt idx="12">
                  <c:v>46097</c:v>
                </c:pt>
                <c:pt idx="13">
                  <c:v>46094</c:v>
                </c:pt>
                <c:pt idx="14">
                  <c:v>46093</c:v>
                </c:pt>
                <c:pt idx="15">
                  <c:v>46092</c:v>
                </c:pt>
                <c:pt idx="16">
                  <c:v>46091</c:v>
                </c:pt>
                <c:pt idx="17">
                  <c:v>46090</c:v>
                </c:pt>
                <c:pt idx="18">
                  <c:v>46087</c:v>
                </c:pt>
                <c:pt idx="19">
                  <c:v>46086</c:v>
                </c:pt>
                <c:pt idx="20">
                  <c:v>46085</c:v>
                </c:pt>
                <c:pt idx="21">
                  <c:v>46084</c:v>
                </c:pt>
                <c:pt idx="22">
                  <c:v>46083</c:v>
                </c:pt>
                <c:pt idx="23">
                  <c:v>46080</c:v>
                </c:pt>
                <c:pt idx="24">
                  <c:v>46079</c:v>
                </c:pt>
                <c:pt idx="25">
                  <c:v>46078</c:v>
                </c:pt>
                <c:pt idx="26">
                  <c:v>46077</c:v>
                </c:pt>
                <c:pt idx="27">
                  <c:v>46076</c:v>
                </c:pt>
                <c:pt idx="28">
                  <c:v>46073</c:v>
                </c:pt>
                <c:pt idx="29">
                  <c:v>46072</c:v>
                </c:pt>
                <c:pt idx="30">
                  <c:v>46071</c:v>
                </c:pt>
                <c:pt idx="31">
                  <c:v>46070</c:v>
                </c:pt>
                <c:pt idx="32">
                  <c:v>46066</c:v>
                </c:pt>
                <c:pt idx="33">
                  <c:v>46065</c:v>
                </c:pt>
                <c:pt idx="34">
                  <c:v>46064</c:v>
                </c:pt>
                <c:pt idx="35">
                  <c:v>46063</c:v>
                </c:pt>
                <c:pt idx="36">
                  <c:v>46062</c:v>
                </c:pt>
                <c:pt idx="37">
                  <c:v>46059</c:v>
                </c:pt>
                <c:pt idx="38">
                  <c:v>46058</c:v>
                </c:pt>
                <c:pt idx="39">
                  <c:v>46057</c:v>
                </c:pt>
                <c:pt idx="40">
                  <c:v>46056</c:v>
                </c:pt>
                <c:pt idx="41">
                  <c:v>46055</c:v>
                </c:pt>
                <c:pt idx="42">
                  <c:v>46052</c:v>
                </c:pt>
                <c:pt idx="43">
                  <c:v>46051</c:v>
                </c:pt>
                <c:pt idx="44">
                  <c:v>46050</c:v>
                </c:pt>
                <c:pt idx="45">
                  <c:v>46049</c:v>
                </c:pt>
                <c:pt idx="46">
                  <c:v>46048</c:v>
                </c:pt>
                <c:pt idx="47">
                  <c:v>46045</c:v>
                </c:pt>
                <c:pt idx="48">
                  <c:v>46044</c:v>
                </c:pt>
                <c:pt idx="49">
                  <c:v>46043</c:v>
                </c:pt>
                <c:pt idx="50">
                  <c:v>46042</c:v>
                </c:pt>
                <c:pt idx="51">
                  <c:v>46038</c:v>
                </c:pt>
                <c:pt idx="52">
                  <c:v>46037</c:v>
                </c:pt>
                <c:pt idx="53">
                  <c:v>46036</c:v>
                </c:pt>
                <c:pt idx="54">
                  <c:v>46035</c:v>
                </c:pt>
                <c:pt idx="55">
                  <c:v>46034</c:v>
                </c:pt>
                <c:pt idx="56">
                  <c:v>46031</c:v>
                </c:pt>
                <c:pt idx="57">
                  <c:v>46030</c:v>
                </c:pt>
                <c:pt idx="58">
                  <c:v>46029</c:v>
                </c:pt>
                <c:pt idx="59">
                  <c:v>46028</c:v>
                </c:pt>
                <c:pt idx="60">
                  <c:v>46027</c:v>
                </c:pt>
                <c:pt idx="61">
                  <c:v>46024</c:v>
                </c:pt>
                <c:pt idx="62">
                  <c:v>46022</c:v>
                </c:pt>
                <c:pt idx="63">
                  <c:v>46021</c:v>
                </c:pt>
                <c:pt idx="64">
                  <c:v>46020</c:v>
                </c:pt>
                <c:pt idx="65">
                  <c:v>46017</c:v>
                </c:pt>
                <c:pt idx="66">
                  <c:v>46015</c:v>
                </c:pt>
                <c:pt idx="67">
                  <c:v>46014</c:v>
                </c:pt>
                <c:pt idx="68">
                  <c:v>46013</c:v>
                </c:pt>
                <c:pt idx="69">
                  <c:v>46010</c:v>
                </c:pt>
                <c:pt idx="70">
                  <c:v>46009</c:v>
                </c:pt>
                <c:pt idx="71">
                  <c:v>46008</c:v>
                </c:pt>
                <c:pt idx="72">
                  <c:v>46007</c:v>
                </c:pt>
                <c:pt idx="73">
                  <c:v>46006</c:v>
                </c:pt>
                <c:pt idx="74">
                  <c:v>46003</c:v>
                </c:pt>
                <c:pt idx="75">
                  <c:v>46002</c:v>
                </c:pt>
                <c:pt idx="76">
                  <c:v>46001</c:v>
                </c:pt>
                <c:pt idx="77">
                  <c:v>46000</c:v>
                </c:pt>
                <c:pt idx="78">
                  <c:v>45999</c:v>
                </c:pt>
                <c:pt idx="79">
                  <c:v>45996</c:v>
                </c:pt>
                <c:pt idx="80">
                  <c:v>45995</c:v>
                </c:pt>
                <c:pt idx="81">
                  <c:v>45994</c:v>
                </c:pt>
                <c:pt idx="82">
                  <c:v>45993</c:v>
                </c:pt>
                <c:pt idx="83">
                  <c:v>45992</c:v>
                </c:pt>
                <c:pt idx="84">
                  <c:v>45989</c:v>
                </c:pt>
                <c:pt idx="85">
                  <c:v>45987</c:v>
                </c:pt>
                <c:pt idx="86">
                  <c:v>45986</c:v>
                </c:pt>
                <c:pt idx="87">
                  <c:v>45985</c:v>
                </c:pt>
                <c:pt idx="88">
                  <c:v>45982</c:v>
                </c:pt>
                <c:pt idx="89">
                  <c:v>45981</c:v>
                </c:pt>
                <c:pt idx="90">
                  <c:v>45980</c:v>
                </c:pt>
                <c:pt idx="91">
                  <c:v>45979</c:v>
                </c:pt>
                <c:pt idx="92">
                  <c:v>45978</c:v>
                </c:pt>
                <c:pt idx="93">
                  <c:v>45975</c:v>
                </c:pt>
                <c:pt idx="94">
                  <c:v>45974</c:v>
                </c:pt>
                <c:pt idx="95">
                  <c:v>45973</c:v>
                </c:pt>
                <c:pt idx="96">
                  <c:v>45972</c:v>
                </c:pt>
                <c:pt idx="97">
                  <c:v>45971</c:v>
                </c:pt>
                <c:pt idx="98">
                  <c:v>45968</c:v>
                </c:pt>
                <c:pt idx="99">
                  <c:v>45967</c:v>
                </c:pt>
                <c:pt idx="100">
                  <c:v>45966</c:v>
                </c:pt>
                <c:pt idx="101">
                  <c:v>45965</c:v>
                </c:pt>
                <c:pt idx="102">
                  <c:v>45964</c:v>
                </c:pt>
                <c:pt idx="103">
                  <c:v>45961</c:v>
                </c:pt>
                <c:pt idx="104">
                  <c:v>45960</c:v>
                </c:pt>
                <c:pt idx="105">
                  <c:v>45959</c:v>
                </c:pt>
                <c:pt idx="106">
                  <c:v>45958</c:v>
                </c:pt>
                <c:pt idx="107">
                  <c:v>45957</c:v>
                </c:pt>
                <c:pt idx="108">
                  <c:v>45954</c:v>
                </c:pt>
                <c:pt idx="109">
                  <c:v>45953</c:v>
                </c:pt>
                <c:pt idx="110">
                  <c:v>45952</c:v>
                </c:pt>
                <c:pt idx="111">
                  <c:v>45951</c:v>
                </c:pt>
                <c:pt idx="112">
                  <c:v>45950</c:v>
                </c:pt>
                <c:pt idx="113">
                  <c:v>45947</c:v>
                </c:pt>
                <c:pt idx="114">
                  <c:v>45946</c:v>
                </c:pt>
                <c:pt idx="115">
                  <c:v>45945</c:v>
                </c:pt>
                <c:pt idx="116">
                  <c:v>45944</c:v>
                </c:pt>
                <c:pt idx="117">
                  <c:v>45943</c:v>
                </c:pt>
                <c:pt idx="118">
                  <c:v>45940</c:v>
                </c:pt>
                <c:pt idx="119">
                  <c:v>45939</c:v>
                </c:pt>
                <c:pt idx="120">
                  <c:v>45938</c:v>
                </c:pt>
                <c:pt idx="121">
                  <c:v>45937</c:v>
                </c:pt>
                <c:pt idx="122">
                  <c:v>45936</c:v>
                </c:pt>
                <c:pt idx="123">
                  <c:v>45933</c:v>
                </c:pt>
                <c:pt idx="124">
                  <c:v>45932</c:v>
                </c:pt>
                <c:pt idx="125">
                  <c:v>45931</c:v>
                </c:pt>
                <c:pt idx="126">
                  <c:v>45930</c:v>
                </c:pt>
                <c:pt idx="127">
                  <c:v>45929</c:v>
                </c:pt>
                <c:pt idx="128">
                  <c:v>45926</c:v>
                </c:pt>
                <c:pt idx="129">
                  <c:v>45925</c:v>
                </c:pt>
                <c:pt idx="130">
                  <c:v>45924</c:v>
                </c:pt>
                <c:pt idx="131">
                  <c:v>45923</c:v>
                </c:pt>
                <c:pt idx="132">
                  <c:v>45922</c:v>
                </c:pt>
                <c:pt idx="133">
                  <c:v>45919</c:v>
                </c:pt>
                <c:pt idx="134">
                  <c:v>45918</c:v>
                </c:pt>
                <c:pt idx="135">
                  <c:v>45917</c:v>
                </c:pt>
                <c:pt idx="136">
                  <c:v>45916</c:v>
                </c:pt>
                <c:pt idx="137">
                  <c:v>45915</c:v>
                </c:pt>
                <c:pt idx="138">
                  <c:v>45912</c:v>
                </c:pt>
                <c:pt idx="139">
                  <c:v>45911</c:v>
                </c:pt>
                <c:pt idx="140">
                  <c:v>45910</c:v>
                </c:pt>
                <c:pt idx="141">
                  <c:v>45909</c:v>
                </c:pt>
                <c:pt idx="142">
                  <c:v>45908</c:v>
                </c:pt>
                <c:pt idx="143">
                  <c:v>45905</c:v>
                </c:pt>
                <c:pt idx="144">
                  <c:v>45904</c:v>
                </c:pt>
                <c:pt idx="145">
                  <c:v>45903</c:v>
                </c:pt>
                <c:pt idx="146">
                  <c:v>45902</c:v>
                </c:pt>
                <c:pt idx="147">
                  <c:v>45898</c:v>
                </c:pt>
                <c:pt idx="148">
                  <c:v>45897</c:v>
                </c:pt>
                <c:pt idx="149">
                  <c:v>45896</c:v>
                </c:pt>
                <c:pt idx="150">
                  <c:v>45895</c:v>
                </c:pt>
                <c:pt idx="151">
                  <c:v>45894</c:v>
                </c:pt>
                <c:pt idx="152">
                  <c:v>45891</c:v>
                </c:pt>
                <c:pt idx="153">
                  <c:v>45890</c:v>
                </c:pt>
                <c:pt idx="154">
                  <c:v>45889</c:v>
                </c:pt>
                <c:pt idx="155">
                  <c:v>45888</c:v>
                </c:pt>
                <c:pt idx="156">
                  <c:v>45887</c:v>
                </c:pt>
                <c:pt idx="157">
                  <c:v>45884</c:v>
                </c:pt>
                <c:pt idx="158">
                  <c:v>45883</c:v>
                </c:pt>
                <c:pt idx="159">
                  <c:v>45882</c:v>
                </c:pt>
                <c:pt idx="160">
                  <c:v>45881</c:v>
                </c:pt>
                <c:pt idx="161">
                  <c:v>45880</c:v>
                </c:pt>
                <c:pt idx="162">
                  <c:v>45877</c:v>
                </c:pt>
                <c:pt idx="163">
                  <c:v>45876</c:v>
                </c:pt>
                <c:pt idx="164">
                  <c:v>45875</c:v>
                </c:pt>
                <c:pt idx="165">
                  <c:v>45874</c:v>
                </c:pt>
                <c:pt idx="166">
                  <c:v>45873</c:v>
                </c:pt>
                <c:pt idx="167">
                  <c:v>45870</c:v>
                </c:pt>
                <c:pt idx="168">
                  <c:v>45869</c:v>
                </c:pt>
                <c:pt idx="169">
                  <c:v>45868</c:v>
                </c:pt>
                <c:pt idx="170">
                  <c:v>45867</c:v>
                </c:pt>
                <c:pt idx="171">
                  <c:v>45866</c:v>
                </c:pt>
                <c:pt idx="172">
                  <c:v>45863</c:v>
                </c:pt>
                <c:pt idx="173">
                  <c:v>45862</c:v>
                </c:pt>
                <c:pt idx="174">
                  <c:v>45861</c:v>
                </c:pt>
                <c:pt idx="175">
                  <c:v>45860</c:v>
                </c:pt>
                <c:pt idx="176">
                  <c:v>45859</c:v>
                </c:pt>
                <c:pt idx="177">
                  <c:v>45856</c:v>
                </c:pt>
                <c:pt idx="178">
                  <c:v>45855</c:v>
                </c:pt>
                <c:pt idx="179">
                  <c:v>45854</c:v>
                </c:pt>
                <c:pt idx="180">
                  <c:v>45853</c:v>
                </c:pt>
                <c:pt idx="181">
                  <c:v>45852</c:v>
                </c:pt>
                <c:pt idx="182">
                  <c:v>45849</c:v>
                </c:pt>
                <c:pt idx="183">
                  <c:v>45848</c:v>
                </c:pt>
                <c:pt idx="184">
                  <c:v>45847</c:v>
                </c:pt>
                <c:pt idx="185">
                  <c:v>45846</c:v>
                </c:pt>
                <c:pt idx="186">
                  <c:v>45845</c:v>
                </c:pt>
                <c:pt idx="187">
                  <c:v>45841</c:v>
                </c:pt>
                <c:pt idx="188">
                  <c:v>45840</c:v>
                </c:pt>
                <c:pt idx="189">
                  <c:v>45839</c:v>
                </c:pt>
                <c:pt idx="190">
                  <c:v>45838</c:v>
                </c:pt>
                <c:pt idx="191">
                  <c:v>45835</c:v>
                </c:pt>
                <c:pt idx="192">
                  <c:v>45834</c:v>
                </c:pt>
                <c:pt idx="193">
                  <c:v>45833</c:v>
                </c:pt>
                <c:pt idx="194">
                  <c:v>45832</c:v>
                </c:pt>
                <c:pt idx="195">
                  <c:v>45831</c:v>
                </c:pt>
                <c:pt idx="196">
                  <c:v>45828</c:v>
                </c:pt>
                <c:pt idx="197">
                  <c:v>45826</c:v>
                </c:pt>
                <c:pt idx="198">
                  <c:v>45825</c:v>
                </c:pt>
                <c:pt idx="199">
                  <c:v>45824</c:v>
                </c:pt>
                <c:pt idx="200">
                  <c:v>45821</c:v>
                </c:pt>
                <c:pt idx="201">
                  <c:v>45820</c:v>
                </c:pt>
                <c:pt idx="202">
                  <c:v>45819</c:v>
                </c:pt>
                <c:pt idx="203">
                  <c:v>45818</c:v>
                </c:pt>
                <c:pt idx="204">
                  <c:v>45817</c:v>
                </c:pt>
                <c:pt idx="205">
                  <c:v>45814</c:v>
                </c:pt>
                <c:pt idx="206">
                  <c:v>45813</c:v>
                </c:pt>
                <c:pt idx="207">
                  <c:v>45812</c:v>
                </c:pt>
                <c:pt idx="208">
                  <c:v>45811</c:v>
                </c:pt>
                <c:pt idx="209">
                  <c:v>45810</c:v>
                </c:pt>
                <c:pt idx="210">
                  <c:v>45807</c:v>
                </c:pt>
                <c:pt idx="211">
                  <c:v>45806</c:v>
                </c:pt>
                <c:pt idx="212">
                  <c:v>45805</c:v>
                </c:pt>
                <c:pt idx="213">
                  <c:v>45804</c:v>
                </c:pt>
                <c:pt idx="214">
                  <c:v>45800</c:v>
                </c:pt>
                <c:pt idx="215">
                  <c:v>45799</c:v>
                </c:pt>
                <c:pt idx="216">
                  <c:v>45798</c:v>
                </c:pt>
                <c:pt idx="217">
                  <c:v>45797</c:v>
                </c:pt>
                <c:pt idx="218">
                  <c:v>45796</c:v>
                </c:pt>
                <c:pt idx="219">
                  <c:v>45793</c:v>
                </c:pt>
                <c:pt idx="220">
                  <c:v>45792</c:v>
                </c:pt>
                <c:pt idx="221">
                  <c:v>45791</c:v>
                </c:pt>
                <c:pt idx="222">
                  <c:v>45790</c:v>
                </c:pt>
                <c:pt idx="223">
                  <c:v>45789</c:v>
                </c:pt>
                <c:pt idx="224">
                  <c:v>45786</c:v>
                </c:pt>
                <c:pt idx="225">
                  <c:v>45785</c:v>
                </c:pt>
                <c:pt idx="226">
                  <c:v>45784</c:v>
                </c:pt>
                <c:pt idx="227">
                  <c:v>45783</c:v>
                </c:pt>
                <c:pt idx="228">
                  <c:v>45782</c:v>
                </c:pt>
                <c:pt idx="229">
                  <c:v>45779</c:v>
                </c:pt>
                <c:pt idx="230">
                  <c:v>45778</c:v>
                </c:pt>
                <c:pt idx="231">
                  <c:v>45777</c:v>
                </c:pt>
                <c:pt idx="232">
                  <c:v>45776</c:v>
                </c:pt>
                <c:pt idx="233">
                  <c:v>45775</c:v>
                </c:pt>
                <c:pt idx="234">
                  <c:v>45772</c:v>
                </c:pt>
                <c:pt idx="235">
                  <c:v>45771</c:v>
                </c:pt>
                <c:pt idx="236">
                  <c:v>45770</c:v>
                </c:pt>
                <c:pt idx="237">
                  <c:v>45769</c:v>
                </c:pt>
                <c:pt idx="238">
                  <c:v>45768</c:v>
                </c:pt>
                <c:pt idx="239">
                  <c:v>45764</c:v>
                </c:pt>
                <c:pt idx="240">
                  <c:v>45763</c:v>
                </c:pt>
                <c:pt idx="241">
                  <c:v>45762</c:v>
                </c:pt>
                <c:pt idx="242">
                  <c:v>45761</c:v>
                </c:pt>
                <c:pt idx="243">
                  <c:v>45758</c:v>
                </c:pt>
                <c:pt idx="244">
                  <c:v>45757</c:v>
                </c:pt>
                <c:pt idx="245">
                  <c:v>45756</c:v>
                </c:pt>
                <c:pt idx="246">
                  <c:v>45755</c:v>
                </c:pt>
                <c:pt idx="247">
                  <c:v>45754</c:v>
                </c:pt>
                <c:pt idx="248">
                  <c:v>45751</c:v>
                </c:pt>
                <c:pt idx="249">
                  <c:v>45750</c:v>
                </c:pt>
              </c:numCache>
            </c:numRef>
          </c:cat>
          <c:val>
            <c:numRef>
              <c:f>Charts!$D$182:$D$448</c:f>
              <c:numCache>
                <c:formatCode>General</c:formatCode>
                <c:ptCount val="267"/>
                <c:pt idx="0">
                  <c:v>301.45</c:v>
                </c:pt>
                <c:pt idx="1">
                  <c:v>302.48</c:v>
                </c:pt>
                <c:pt idx="2">
                  <c:v>297.49</c:v>
                </c:pt>
                <c:pt idx="3">
                  <c:v>292.27</c:v>
                </c:pt>
                <c:pt idx="4">
                  <c:v>299.39</c:v>
                </c:pt>
                <c:pt idx="5">
                  <c:v>300.24</c:v>
                </c:pt>
                <c:pt idx="6">
                  <c:v>302</c:v>
                </c:pt>
                <c:pt idx="7">
                  <c:v>301.91000000000003</c:v>
                </c:pt>
                <c:pt idx="8">
                  <c:v>295.5</c:v>
                </c:pt>
                <c:pt idx="9">
                  <c:v>294.93</c:v>
                </c:pt>
                <c:pt idx="10">
                  <c:v>294.39</c:v>
                </c:pt>
                <c:pt idx="11">
                  <c:v>300.27</c:v>
                </c:pt>
                <c:pt idx="12">
                  <c:v>298.2</c:v>
                </c:pt>
                <c:pt idx="13">
                  <c:v>299.95999999999998</c:v>
                </c:pt>
                <c:pt idx="14">
                  <c:v>301.89</c:v>
                </c:pt>
                <c:pt idx="15">
                  <c:v>305.99</c:v>
                </c:pt>
                <c:pt idx="16">
                  <c:v>303.14999999999998</c:v>
                </c:pt>
                <c:pt idx="17">
                  <c:v>305.38</c:v>
                </c:pt>
                <c:pt idx="18">
                  <c:v>301</c:v>
                </c:pt>
                <c:pt idx="19">
                  <c:v>307.20999999999998</c:v>
                </c:pt>
                <c:pt idx="20">
                  <c:v>311.20999999999998</c:v>
                </c:pt>
                <c:pt idx="21">
                  <c:v>307.82</c:v>
                </c:pt>
                <c:pt idx="22">
                  <c:v>307.43</c:v>
                </c:pt>
                <c:pt idx="23">
                  <c:v>308.89999999999998</c:v>
                </c:pt>
                <c:pt idx="24">
                  <c:v>335.32</c:v>
                </c:pt>
                <c:pt idx="25">
                  <c:v>327.08999999999997</c:v>
                </c:pt>
                <c:pt idx="26">
                  <c:v>320.48</c:v>
                </c:pt>
                <c:pt idx="27">
                  <c:v>321.24</c:v>
                </c:pt>
                <c:pt idx="28">
                  <c:v>346.18</c:v>
                </c:pt>
                <c:pt idx="29">
                  <c:v>342.65</c:v>
                </c:pt>
                <c:pt idx="30">
                  <c:v>346.24</c:v>
                </c:pt>
                <c:pt idx="31">
                  <c:v>344.53</c:v>
                </c:pt>
                <c:pt idx="32">
                  <c:v>337.5</c:v>
                </c:pt>
                <c:pt idx="33">
                  <c:v>342.88</c:v>
                </c:pt>
                <c:pt idx="34">
                  <c:v>354.01</c:v>
                </c:pt>
                <c:pt idx="35">
                  <c:v>363.2</c:v>
                </c:pt>
                <c:pt idx="36">
                  <c:v>359.66</c:v>
                </c:pt>
                <c:pt idx="37">
                  <c:v>359.15</c:v>
                </c:pt>
                <c:pt idx="38">
                  <c:v>354.62</c:v>
                </c:pt>
                <c:pt idx="39">
                  <c:v>353.67</c:v>
                </c:pt>
                <c:pt idx="40">
                  <c:v>349.63</c:v>
                </c:pt>
                <c:pt idx="41">
                  <c:v>352.83</c:v>
                </c:pt>
                <c:pt idx="42">
                  <c:v>352.17</c:v>
                </c:pt>
                <c:pt idx="43">
                  <c:v>358.5</c:v>
                </c:pt>
                <c:pt idx="44">
                  <c:v>356.99</c:v>
                </c:pt>
                <c:pt idx="45">
                  <c:v>359.45</c:v>
                </c:pt>
                <c:pt idx="46">
                  <c:v>363.25</c:v>
                </c:pt>
                <c:pt idx="47">
                  <c:v>361.69</c:v>
                </c:pt>
                <c:pt idx="48">
                  <c:v>368.02</c:v>
                </c:pt>
                <c:pt idx="49">
                  <c:v>359.61</c:v>
                </c:pt>
                <c:pt idx="50">
                  <c:v>352.19</c:v>
                </c:pt>
                <c:pt idx="51">
                  <c:v>364.79</c:v>
                </c:pt>
                <c:pt idx="52">
                  <c:v>357.37</c:v>
                </c:pt>
                <c:pt idx="53">
                  <c:v>358.26</c:v>
                </c:pt>
                <c:pt idx="54">
                  <c:v>358</c:v>
                </c:pt>
                <c:pt idx="55">
                  <c:v>359.59</c:v>
                </c:pt>
                <c:pt idx="56">
                  <c:v>375.61</c:v>
                </c:pt>
                <c:pt idx="57">
                  <c:v>382.98</c:v>
                </c:pt>
                <c:pt idx="58">
                  <c:v>378.22</c:v>
                </c:pt>
                <c:pt idx="59">
                  <c:v>383.56</c:v>
                </c:pt>
                <c:pt idx="60">
                  <c:v>379.8</c:v>
                </c:pt>
                <c:pt idx="61">
                  <c:v>372.73</c:v>
                </c:pt>
                <c:pt idx="62">
                  <c:v>369.95</c:v>
                </c:pt>
                <c:pt idx="63">
                  <c:v>373.39</c:v>
                </c:pt>
                <c:pt idx="64">
                  <c:v>375.32</c:v>
                </c:pt>
                <c:pt idx="65">
                  <c:v>381.05</c:v>
                </c:pt>
                <c:pt idx="66">
                  <c:v>383.11</c:v>
                </c:pt>
                <c:pt idx="67">
                  <c:v>382.19</c:v>
                </c:pt>
                <c:pt idx="68">
                  <c:v>380.85</c:v>
                </c:pt>
                <c:pt idx="69">
                  <c:v>376.51</c:v>
                </c:pt>
                <c:pt idx="70">
                  <c:v>375.52</c:v>
                </c:pt>
                <c:pt idx="71">
                  <c:v>375.61</c:v>
                </c:pt>
                <c:pt idx="72">
                  <c:v>380.75</c:v>
                </c:pt>
                <c:pt idx="73">
                  <c:v>382.57</c:v>
                </c:pt>
                <c:pt idx="74">
                  <c:v>382.56</c:v>
                </c:pt>
                <c:pt idx="75">
                  <c:v>384.89</c:v>
                </c:pt>
                <c:pt idx="76">
                  <c:v>375.57</c:v>
                </c:pt>
                <c:pt idx="77">
                  <c:v>363.91</c:v>
                </c:pt>
                <c:pt idx="78">
                  <c:v>362.28</c:v>
                </c:pt>
                <c:pt idx="79">
                  <c:v>370.35</c:v>
                </c:pt>
                <c:pt idx="80">
                  <c:v>371.15</c:v>
                </c:pt>
                <c:pt idx="81">
                  <c:v>368.13</c:v>
                </c:pt>
                <c:pt idx="82">
                  <c:v>360.7</c:v>
                </c:pt>
                <c:pt idx="83">
                  <c:v>360.31</c:v>
                </c:pt>
                <c:pt idx="84">
                  <c:v>365.27</c:v>
                </c:pt>
                <c:pt idx="85">
                  <c:v>363.97</c:v>
                </c:pt>
                <c:pt idx="86">
                  <c:v>362.64</c:v>
                </c:pt>
                <c:pt idx="87">
                  <c:v>355.93</c:v>
                </c:pt>
                <c:pt idx="88">
                  <c:v>352.89</c:v>
                </c:pt>
                <c:pt idx="89">
                  <c:v>343.8</c:v>
                </c:pt>
                <c:pt idx="90">
                  <c:v>344.64</c:v>
                </c:pt>
                <c:pt idx="91">
                  <c:v>340.66</c:v>
                </c:pt>
                <c:pt idx="92">
                  <c:v>341.25</c:v>
                </c:pt>
                <c:pt idx="93">
                  <c:v>357.18</c:v>
                </c:pt>
                <c:pt idx="94">
                  <c:v>364.73</c:v>
                </c:pt>
                <c:pt idx="95">
                  <c:v>372.77</c:v>
                </c:pt>
                <c:pt idx="96">
                  <c:v>370.16</c:v>
                </c:pt>
                <c:pt idx="97">
                  <c:v>367.88</c:v>
                </c:pt>
                <c:pt idx="98">
                  <c:v>368.54</c:v>
                </c:pt>
                <c:pt idx="99">
                  <c:v>365.73</c:v>
                </c:pt>
                <c:pt idx="100">
                  <c:v>365.8</c:v>
                </c:pt>
                <c:pt idx="101">
                  <c:v>360.49</c:v>
                </c:pt>
                <c:pt idx="102">
                  <c:v>361.62</c:v>
                </c:pt>
                <c:pt idx="103">
                  <c:v>360.73</c:v>
                </c:pt>
                <c:pt idx="104">
                  <c:v>358.88</c:v>
                </c:pt>
                <c:pt idx="105">
                  <c:v>358.22</c:v>
                </c:pt>
                <c:pt idx="106">
                  <c:v>361.03</c:v>
                </c:pt>
                <c:pt idx="107">
                  <c:v>361.67</c:v>
                </c:pt>
                <c:pt idx="108">
                  <c:v>357.56</c:v>
                </c:pt>
                <c:pt idx="109">
                  <c:v>354.93</c:v>
                </c:pt>
                <c:pt idx="110">
                  <c:v>352</c:v>
                </c:pt>
                <c:pt idx="111">
                  <c:v>355.22</c:v>
                </c:pt>
                <c:pt idx="112">
                  <c:v>349.48</c:v>
                </c:pt>
                <c:pt idx="113">
                  <c:v>346.62</c:v>
                </c:pt>
                <c:pt idx="114">
                  <c:v>323.12</c:v>
                </c:pt>
                <c:pt idx="115">
                  <c:v>330.66</c:v>
                </c:pt>
                <c:pt idx="116">
                  <c:v>332.85</c:v>
                </c:pt>
                <c:pt idx="117">
                  <c:v>323.12</c:v>
                </c:pt>
                <c:pt idx="118">
                  <c:v>316.26</c:v>
                </c:pt>
                <c:pt idx="119">
                  <c:v>324.44</c:v>
                </c:pt>
                <c:pt idx="120">
                  <c:v>323.82</c:v>
                </c:pt>
                <c:pt idx="121">
                  <c:v>327.97</c:v>
                </c:pt>
                <c:pt idx="122">
                  <c:v>331.99</c:v>
                </c:pt>
                <c:pt idx="123">
                  <c:v>330.24</c:v>
                </c:pt>
                <c:pt idx="124">
                  <c:v>330.48</c:v>
                </c:pt>
                <c:pt idx="125">
                  <c:v>328.56</c:v>
                </c:pt>
                <c:pt idx="126">
                  <c:v>332.16</c:v>
                </c:pt>
                <c:pt idx="127">
                  <c:v>342.31</c:v>
                </c:pt>
                <c:pt idx="128">
                  <c:v>341.68</c:v>
                </c:pt>
                <c:pt idx="129">
                  <c:v>340.18</c:v>
                </c:pt>
                <c:pt idx="130">
                  <c:v>340.48</c:v>
                </c:pt>
                <c:pt idx="131">
                  <c:v>341.47</c:v>
                </c:pt>
                <c:pt idx="132">
                  <c:v>340.98</c:v>
                </c:pt>
                <c:pt idx="133">
                  <c:v>341.12</c:v>
                </c:pt>
                <c:pt idx="134">
                  <c:v>341.67</c:v>
                </c:pt>
                <c:pt idx="135">
                  <c:v>336</c:v>
                </c:pt>
                <c:pt idx="136">
                  <c:v>327.04000000000002</c:v>
                </c:pt>
                <c:pt idx="137">
                  <c:v>327.26</c:v>
                </c:pt>
                <c:pt idx="138">
                  <c:v>325.31</c:v>
                </c:pt>
                <c:pt idx="139">
                  <c:v>329.32</c:v>
                </c:pt>
                <c:pt idx="140">
                  <c:v>323.35000000000002</c:v>
                </c:pt>
                <c:pt idx="141">
                  <c:v>324.33999999999997</c:v>
                </c:pt>
                <c:pt idx="142">
                  <c:v>325.41000000000003</c:v>
                </c:pt>
                <c:pt idx="143">
                  <c:v>326.22000000000003</c:v>
                </c:pt>
                <c:pt idx="144">
                  <c:v>330.65</c:v>
                </c:pt>
                <c:pt idx="145">
                  <c:v>323.70999999999998</c:v>
                </c:pt>
                <c:pt idx="146">
                  <c:v>331.18</c:v>
                </c:pt>
                <c:pt idx="147">
                  <c:v>331.28</c:v>
                </c:pt>
                <c:pt idx="148">
                  <c:v>326.99</c:v>
                </c:pt>
                <c:pt idx="149">
                  <c:v>322.45999999999998</c:v>
                </c:pt>
                <c:pt idx="150">
                  <c:v>320.60000000000002</c:v>
                </c:pt>
                <c:pt idx="151">
                  <c:v>315.8</c:v>
                </c:pt>
                <c:pt idx="152">
                  <c:v>319.16000000000003</c:v>
                </c:pt>
                <c:pt idx="153">
                  <c:v>308.17</c:v>
                </c:pt>
                <c:pt idx="154">
                  <c:v>308.39999999999998</c:v>
                </c:pt>
                <c:pt idx="155">
                  <c:v>306.10000000000002</c:v>
                </c:pt>
                <c:pt idx="156">
                  <c:v>307.05</c:v>
                </c:pt>
                <c:pt idx="157">
                  <c:v>305.47000000000003</c:v>
                </c:pt>
                <c:pt idx="158">
                  <c:v>307.73</c:v>
                </c:pt>
                <c:pt idx="159">
                  <c:v>306.87</c:v>
                </c:pt>
                <c:pt idx="160">
                  <c:v>303.20999999999998</c:v>
                </c:pt>
                <c:pt idx="161">
                  <c:v>296.23</c:v>
                </c:pt>
                <c:pt idx="162">
                  <c:v>297.43</c:v>
                </c:pt>
                <c:pt idx="163">
                  <c:v>294.73</c:v>
                </c:pt>
                <c:pt idx="164">
                  <c:v>295.54000000000002</c:v>
                </c:pt>
                <c:pt idx="165">
                  <c:v>296.64</c:v>
                </c:pt>
                <c:pt idx="166">
                  <c:v>298.58999999999997</c:v>
                </c:pt>
                <c:pt idx="167">
                  <c:v>294.27</c:v>
                </c:pt>
                <c:pt idx="168">
                  <c:v>299.31</c:v>
                </c:pt>
                <c:pt idx="169">
                  <c:v>303.41000000000003</c:v>
                </c:pt>
                <c:pt idx="170">
                  <c:v>308.54000000000002</c:v>
                </c:pt>
                <c:pt idx="171">
                  <c:v>310.74</c:v>
                </c:pt>
                <c:pt idx="172">
                  <c:v>311.61</c:v>
                </c:pt>
                <c:pt idx="173">
                  <c:v>308.25</c:v>
                </c:pt>
                <c:pt idx="174">
                  <c:v>308.66000000000003</c:v>
                </c:pt>
                <c:pt idx="175">
                  <c:v>304.14</c:v>
                </c:pt>
                <c:pt idx="176">
                  <c:v>302.97000000000003</c:v>
                </c:pt>
                <c:pt idx="177">
                  <c:v>307.95</c:v>
                </c:pt>
                <c:pt idx="178">
                  <c:v>315.35000000000002</c:v>
                </c:pt>
                <c:pt idx="179">
                  <c:v>311.89999999999998</c:v>
                </c:pt>
                <c:pt idx="180">
                  <c:v>310.64999999999998</c:v>
                </c:pt>
                <c:pt idx="181">
                  <c:v>320.92</c:v>
                </c:pt>
                <c:pt idx="182">
                  <c:v>319.47000000000003</c:v>
                </c:pt>
                <c:pt idx="183">
                  <c:v>325.24</c:v>
                </c:pt>
                <c:pt idx="184">
                  <c:v>317.35000000000002</c:v>
                </c:pt>
                <c:pt idx="185">
                  <c:v>316.98</c:v>
                </c:pt>
                <c:pt idx="186">
                  <c:v>322.73</c:v>
                </c:pt>
                <c:pt idx="187">
                  <c:v>328.13</c:v>
                </c:pt>
                <c:pt idx="188">
                  <c:v>325.61</c:v>
                </c:pt>
                <c:pt idx="189">
                  <c:v>322.52999999999997</c:v>
                </c:pt>
                <c:pt idx="190">
                  <c:v>318.98</c:v>
                </c:pt>
                <c:pt idx="191">
                  <c:v>317.19</c:v>
                </c:pt>
                <c:pt idx="192">
                  <c:v>311.42</c:v>
                </c:pt>
                <c:pt idx="193">
                  <c:v>308.58999999999997</c:v>
                </c:pt>
                <c:pt idx="194">
                  <c:v>308.38</c:v>
                </c:pt>
                <c:pt idx="195">
                  <c:v>299.63</c:v>
                </c:pt>
                <c:pt idx="196">
                  <c:v>298.58999999999997</c:v>
                </c:pt>
                <c:pt idx="197">
                  <c:v>296.42</c:v>
                </c:pt>
                <c:pt idx="198">
                  <c:v>292.81</c:v>
                </c:pt>
                <c:pt idx="199">
                  <c:v>294.22000000000003</c:v>
                </c:pt>
                <c:pt idx="200">
                  <c:v>287.79000000000002</c:v>
                </c:pt>
                <c:pt idx="201">
                  <c:v>297.99</c:v>
                </c:pt>
                <c:pt idx="202">
                  <c:v>299.10000000000002</c:v>
                </c:pt>
                <c:pt idx="203">
                  <c:v>299.52</c:v>
                </c:pt>
                <c:pt idx="204">
                  <c:v>301.56</c:v>
                </c:pt>
                <c:pt idx="205">
                  <c:v>302.47000000000003</c:v>
                </c:pt>
                <c:pt idx="206">
                  <c:v>295.95999999999998</c:v>
                </c:pt>
                <c:pt idx="207">
                  <c:v>295.93</c:v>
                </c:pt>
                <c:pt idx="208">
                  <c:v>297.39</c:v>
                </c:pt>
                <c:pt idx="209">
                  <c:v>295.33</c:v>
                </c:pt>
                <c:pt idx="210">
                  <c:v>294.05</c:v>
                </c:pt>
                <c:pt idx="211">
                  <c:v>295.38</c:v>
                </c:pt>
                <c:pt idx="212">
                  <c:v>293.36</c:v>
                </c:pt>
                <c:pt idx="213">
                  <c:v>293.76</c:v>
                </c:pt>
                <c:pt idx="214">
                  <c:v>285.22000000000003</c:v>
                </c:pt>
                <c:pt idx="215">
                  <c:v>287.18</c:v>
                </c:pt>
                <c:pt idx="216">
                  <c:v>286</c:v>
                </c:pt>
                <c:pt idx="217">
                  <c:v>296.17</c:v>
                </c:pt>
                <c:pt idx="218">
                  <c:v>299.3</c:v>
                </c:pt>
                <c:pt idx="219">
                  <c:v>299.72000000000003</c:v>
                </c:pt>
                <c:pt idx="220">
                  <c:v>299.55</c:v>
                </c:pt>
                <c:pt idx="221">
                  <c:v>300.10000000000002</c:v>
                </c:pt>
                <c:pt idx="222">
                  <c:v>302.3</c:v>
                </c:pt>
                <c:pt idx="223">
                  <c:v>298.92</c:v>
                </c:pt>
                <c:pt idx="224">
                  <c:v>284.51</c:v>
                </c:pt>
                <c:pt idx="225">
                  <c:v>283.66000000000003</c:v>
                </c:pt>
                <c:pt idx="226">
                  <c:v>276.24</c:v>
                </c:pt>
                <c:pt idx="227">
                  <c:v>275.37</c:v>
                </c:pt>
                <c:pt idx="228">
                  <c:v>278.02999999999997</c:v>
                </c:pt>
                <c:pt idx="229">
                  <c:v>276.85000000000002</c:v>
                </c:pt>
                <c:pt idx="230">
                  <c:v>268.54000000000002</c:v>
                </c:pt>
                <c:pt idx="231">
                  <c:v>266.41000000000003</c:v>
                </c:pt>
                <c:pt idx="232">
                  <c:v>267.02</c:v>
                </c:pt>
                <c:pt idx="233">
                  <c:v>264.95</c:v>
                </c:pt>
                <c:pt idx="234">
                  <c:v>264.81</c:v>
                </c:pt>
                <c:pt idx="235">
                  <c:v>267.32</c:v>
                </c:pt>
                <c:pt idx="236">
                  <c:v>260.14</c:v>
                </c:pt>
                <c:pt idx="237">
                  <c:v>252.42</c:v>
                </c:pt>
                <c:pt idx="238">
                  <c:v>242.51</c:v>
                </c:pt>
                <c:pt idx="239">
                  <c:v>251.31</c:v>
                </c:pt>
                <c:pt idx="240">
                  <c:v>252.92</c:v>
                </c:pt>
                <c:pt idx="241">
                  <c:v>257.86</c:v>
                </c:pt>
                <c:pt idx="242">
                  <c:v>255.38</c:v>
                </c:pt>
                <c:pt idx="243">
                  <c:v>251.13</c:v>
                </c:pt>
                <c:pt idx="244">
                  <c:v>246.89</c:v>
                </c:pt>
                <c:pt idx="245">
                  <c:v>262.36</c:v>
                </c:pt>
                <c:pt idx="246">
                  <c:v>231.39</c:v>
                </c:pt>
                <c:pt idx="247">
                  <c:v>234.28</c:v>
                </c:pt>
                <c:pt idx="248">
                  <c:v>233.68</c:v>
                </c:pt>
                <c:pt idx="249">
                  <c:v>247.82</c:v>
                </c:pt>
              </c:numCache>
            </c:numRef>
          </c:val>
          <c:smooth val="0"/>
          <c:extLst>
            <c:ext xmlns:c16="http://schemas.microsoft.com/office/drawing/2014/chart" uri="{C3380CC4-5D6E-409C-BE32-E72D297353CC}">
              <c16:uniqueId val="{00000001-DE17-4B69-8046-F075F28ADC60}"/>
            </c:ext>
          </c:extLst>
        </c:ser>
        <c:dLbls>
          <c:showLegendKey val="0"/>
          <c:showVal val="0"/>
          <c:showCatName val="0"/>
          <c:showSerName val="0"/>
          <c:showPercent val="0"/>
          <c:showBubbleSize val="0"/>
        </c:dLbls>
        <c:marker val="1"/>
        <c:smooth val="0"/>
        <c:axId val="1144880854"/>
        <c:axId val="590727935"/>
      </c:lineChart>
      <c:dateAx>
        <c:axId val="1144880854"/>
        <c:scaling>
          <c:orientation val="minMax"/>
        </c:scaling>
        <c:delete val="0"/>
        <c:axPos val="b"/>
        <c:title>
          <c:tx>
            <c:rich>
              <a:bodyPr/>
              <a:lstStyle/>
              <a:p>
                <a:pPr lvl="0">
                  <a:defRPr b="0">
                    <a:solidFill>
                      <a:srgbClr val="000000"/>
                    </a:solidFill>
                    <a:latin typeface="+mn-lt"/>
                  </a:defRPr>
                </a:pPr>
                <a:endParaRPr lang="en-US"/>
              </a:p>
            </c:rich>
          </c:tx>
          <c:overlay val="0"/>
        </c:title>
        <c:numFmt formatCode="[$-409]mmm\-yy;@" sourceLinked="0"/>
        <c:majorTickMark val="out"/>
        <c:minorTickMark val="none"/>
        <c:tickLblPos val="nextTo"/>
        <c:txPr>
          <a:bodyPr/>
          <a:lstStyle/>
          <a:p>
            <a:pPr lvl="0">
              <a:defRPr sz="800" b="0" i="0">
                <a:solidFill>
                  <a:srgbClr val="000000"/>
                </a:solidFill>
                <a:latin typeface="Abadi Extra Light"/>
              </a:defRPr>
            </a:pPr>
            <a:endParaRPr lang="en-US"/>
          </a:p>
        </c:txPr>
        <c:crossAx val="590727935"/>
        <c:crosses val="autoZero"/>
        <c:auto val="1"/>
        <c:lblOffset val="100"/>
        <c:baseTimeUnit val="days"/>
      </c:dateAx>
      <c:valAx>
        <c:axId val="590727935"/>
        <c:scaling>
          <c:orientation val="minMax"/>
        </c:scaling>
        <c:delete val="0"/>
        <c:axPos val="l"/>
        <c:title>
          <c:tx>
            <c:rich>
              <a:bodyPr/>
              <a:lstStyle/>
              <a:p>
                <a:pPr lvl="0">
                  <a:defRPr b="0">
                    <a:solidFill>
                      <a:srgbClr val="000000"/>
                    </a:solidFill>
                    <a:latin typeface="+mn-lt"/>
                  </a:defRPr>
                </a:pPr>
                <a:endParaRPr lang="en-US"/>
              </a:p>
            </c:rich>
          </c:tx>
          <c:overlay val="0"/>
        </c:title>
        <c:numFmt formatCode="_(&quot;$&quot;* #,##0_);_(&quot;$&quot;* \(#,##0\);_(&quot;$&quot;* &quot;-&quot;_);_(@_)" sourceLinked="0"/>
        <c:majorTickMark val="out"/>
        <c:minorTickMark val="none"/>
        <c:tickLblPos val="nextTo"/>
        <c:spPr>
          <a:ln/>
        </c:spPr>
        <c:txPr>
          <a:bodyPr/>
          <a:lstStyle/>
          <a:p>
            <a:pPr lvl="0">
              <a:defRPr sz="800" b="0" i="0">
                <a:solidFill>
                  <a:srgbClr val="000000"/>
                </a:solidFill>
                <a:latin typeface="Abadi Extra Light"/>
              </a:defRPr>
            </a:pPr>
            <a:endParaRPr lang="en-US"/>
          </a:p>
        </c:txPr>
        <c:crossAx val="1144880854"/>
        <c:crosses val="autoZero"/>
        <c:crossBetween val="between"/>
        <c:majorUnit val="40"/>
      </c:valAx>
    </c:plotArea>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b="0">
                <a:latin typeface="Abadi" panose="020B0604020104020204" pitchFamily="34" charset="0"/>
              </a:rPr>
              <a:t>Margins Analysis</a:t>
            </a:r>
          </a:p>
        </c:rich>
      </c:tx>
      <c:layout>
        <c:manualLayout>
          <c:xMode val="edge"/>
          <c:yMode val="edge"/>
          <c:x val="0.33222740791033112"/>
          <c:y val="4.5976876857334988E-2"/>
        </c:manualLayout>
      </c:layout>
      <c:overlay val="0"/>
    </c:title>
    <c:autoTitleDeleted val="0"/>
    <c:plotArea>
      <c:layout>
        <c:manualLayout>
          <c:layoutTarget val="inner"/>
          <c:xMode val="edge"/>
          <c:yMode val="edge"/>
          <c:x val="0.16233134174811062"/>
          <c:y val="0.16292085049001903"/>
          <c:w val="0.80081773697885772"/>
          <c:h val="0.55163813238941461"/>
        </c:manualLayout>
      </c:layout>
      <c:lineChart>
        <c:grouping val="standard"/>
        <c:varyColors val="1"/>
        <c:ser>
          <c:idx val="0"/>
          <c:order val="0"/>
          <c:tx>
            <c:v>EBIT</c:v>
          </c:tx>
          <c:spPr>
            <a:ln w="28575" cmpd="sng">
              <a:solidFill>
                <a:srgbClr val="C0DEF6">
                  <a:alpha val="100000"/>
                </a:srgbClr>
              </a:solidFill>
            </a:ln>
          </c:spPr>
          <c:marker>
            <c:symbol val="none"/>
          </c:marker>
          <c:dPt>
            <c:idx val="4"/>
            <c:bubble3D val="0"/>
            <c:spPr>
              <a:ln w="28575" cmpd="sng">
                <a:solidFill>
                  <a:srgbClr val="C0DEF6">
                    <a:alpha val="100000"/>
                  </a:srgbClr>
                </a:solidFill>
                <a:prstDash val="dash"/>
              </a:ln>
            </c:spPr>
            <c:extLst>
              <c:ext xmlns:c16="http://schemas.microsoft.com/office/drawing/2014/chart" uri="{C3380CC4-5D6E-409C-BE32-E72D297353CC}">
                <c16:uniqueId val="{00000005-3B79-488B-B53E-D8158B945C46}"/>
              </c:ext>
            </c:extLst>
          </c:dPt>
          <c:dPt>
            <c:idx val="5"/>
            <c:bubble3D val="0"/>
            <c:spPr>
              <a:ln w="28575" cmpd="sng">
                <a:solidFill>
                  <a:srgbClr val="C0DEF6">
                    <a:alpha val="100000"/>
                  </a:srgbClr>
                </a:solidFill>
                <a:prstDash val="dash"/>
              </a:ln>
            </c:spPr>
            <c:extLst>
              <c:ext xmlns:c16="http://schemas.microsoft.com/office/drawing/2014/chart" uri="{C3380CC4-5D6E-409C-BE32-E72D297353CC}">
                <c16:uniqueId val="{00000004-3B79-488B-B53E-D8158B945C46}"/>
              </c:ext>
            </c:extLst>
          </c:dPt>
          <c:cat>
            <c:strRef>
              <c:f>Charts!$D$6:$I$6</c:f>
              <c:strCache>
                <c:ptCount val="6"/>
                <c:pt idx="0">
                  <c:v>2023</c:v>
                </c:pt>
                <c:pt idx="1">
                  <c:v>2024</c:v>
                </c:pt>
                <c:pt idx="2">
                  <c:v>2025</c:v>
                </c:pt>
                <c:pt idx="3">
                  <c:v>2026e</c:v>
                </c:pt>
                <c:pt idx="4">
                  <c:v>2027e</c:v>
                </c:pt>
                <c:pt idx="5">
                  <c:v>2028e</c:v>
                </c:pt>
              </c:strCache>
            </c:strRef>
          </c:cat>
          <c:val>
            <c:numRef>
              <c:f>Charts!$D$7:$I$7</c:f>
              <c:numCache>
                <c:formatCode>#,##0.0%_);\(#,##0.0%\)</c:formatCode>
                <c:ptCount val="6"/>
                <c:pt idx="0">
                  <c:v>0.15606258535716405</c:v>
                </c:pt>
                <c:pt idx="1">
                  <c:v>0.17378471988248137</c:v>
                </c:pt>
                <c:pt idx="2">
                  <c:v>0.1714452605545406</c:v>
                </c:pt>
                <c:pt idx="3">
                  <c:v>0.18275347626959298</c:v>
                </c:pt>
                <c:pt idx="4">
                  <c:v>0.20392927922726287</c:v>
                </c:pt>
                <c:pt idx="5">
                  <c:v>0.21747604978061744</c:v>
                </c:pt>
              </c:numCache>
            </c:numRef>
          </c:val>
          <c:smooth val="1"/>
          <c:extLst>
            <c:ext xmlns:c16="http://schemas.microsoft.com/office/drawing/2014/chart" uri="{C3380CC4-5D6E-409C-BE32-E72D297353CC}">
              <c16:uniqueId val="{00000000-95D4-4715-BD92-372031962671}"/>
            </c:ext>
          </c:extLst>
        </c:ser>
        <c:ser>
          <c:idx val="1"/>
          <c:order val="1"/>
          <c:tx>
            <c:v>EBITDA</c:v>
          </c:tx>
          <c:spPr>
            <a:ln w="28575" cmpd="sng">
              <a:solidFill>
                <a:srgbClr val="00355F">
                  <a:alpha val="100000"/>
                </a:srgbClr>
              </a:solidFill>
            </a:ln>
          </c:spPr>
          <c:marker>
            <c:symbol val="none"/>
          </c:marker>
          <c:dPt>
            <c:idx val="4"/>
            <c:bubble3D val="0"/>
            <c:spPr>
              <a:ln w="28575" cmpd="sng">
                <a:solidFill>
                  <a:srgbClr val="00355F">
                    <a:alpha val="100000"/>
                  </a:srgbClr>
                </a:solidFill>
                <a:prstDash val="dash"/>
              </a:ln>
            </c:spPr>
            <c:extLst>
              <c:ext xmlns:c16="http://schemas.microsoft.com/office/drawing/2014/chart" uri="{C3380CC4-5D6E-409C-BE32-E72D297353CC}">
                <c16:uniqueId val="{00000001-3B79-488B-B53E-D8158B945C46}"/>
              </c:ext>
            </c:extLst>
          </c:dPt>
          <c:dPt>
            <c:idx val="5"/>
            <c:bubble3D val="0"/>
            <c:spPr>
              <a:ln w="28575" cmpd="sng">
                <a:solidFill>
                  <a:srgbClr val="00355F">
                    <a:alpha val="100000"/>
                  </a:srgbClr>
                </a:solidFill>
                <a:prstDash val="dash"/>
              </a:ln>
            </c:spPr>
            <c:extLst>
              <c:ext xmlns:c16="http://schemas.microsoft.com/office/drawing/2014/chart" uri="{C3380CC4-5D6E-409C-BE32-E72D297353CC}">
                <c16:uniqueId val="{00000000-3B79-488B-B53E-D8158B945C46}"/>
              </c:ext>
            </c:extLst>
          </c:dPt>
          <c:cat>
            <c:strRef>
              <c:f>Charts!$D$6:$I$6</c:f>
              <c:strCache>
                <c:ptCount val="6"/>
                <c:pt idx="0">
                  <c:v>2023</c:v>
                </c:pt>
                <c:pt idx="1">
                  <c:v>2024</c:v>
                </c:pt>
                <c:pt idx="2">
                  <c:v>2025</c:v>
                </c:pt>
                <c:pt idx="3">
                  <c:v>2026e</c:v>
                </c:pt>
                <c:pt idx="4">
                  <c:v>2027e</c:v>
                </c:pt>
                <c:pt idx="5">
                  <c:v>2028e</c:v>
                </c:pt>
              </c:strCache>
            </c:strRef>
          </c:cat>
          <c:val>
            <c:numRef>
              <c:f>Charts!$D$8:$I$8</c:f>
              <c:numCache>
                <c:formatCode>#,##0.0%_);\(#,##0.0%\)</c:formatCode>
                <c:ptCount val="6"/>
                <c:pt idx="0">
                  <c:v>0.18057122498663974</c:v>
                </c:pt>
                <c:pt idx="1">
                  <c:v>0.19637201654964218</c:v>
                </c:pt>
                <c:pt idx="2">
                  <c:v>0.1935299454407616</c:v>
                </c:pt>
                <c:pt idx="3">
                  <c:v>0.2075671293475092</c:v>
                </c:pt>
                <c:pt idx="4">
                  <c:v>0.22765646392338629</c:v>
                </c:pt>
                <c:pt idx="5">
                  <c:v>0.23995514965794679</c:v>
                </c:pt>
              </c:numCache>
            </c:numRef>
          </c:val>
          <c:smooth val="1"/>
          <c:extLst>
            <c:ext xmlns:c16="http://schemas.microsoft.com/office/drawing/2014/chart" uri="{C3380CC4-5D6E-409C-BE32-E72D297353CC}">
              <c16:uniqueId val="{00000001-95D4-4715-BD92-372031962671}"/>
            </c:ext>
          </c:extLst>
        </c:ser>
        <c:ser>
          <c:idx val="2"/>
          <c:order val="2"/>
          <c:tx>
            <c:v>Profit</c:v>
          </c:tx>
          <c:spPr>
            <a:ln w="28575" cmpd="sng">
              <a:solidFill>
                <a:srgbClr val="969696">
                  <a:alpha val="100000"/>
                </a:srgbClr>
              </a:solidFill>
            </a:ln>
          </c:spPr>
          <c:marker>
            <c:symbol val="none"/>
          </c:marker>
          <c:dPt>
            <c:idx val="4"/>
            <c:bubble3D val="0"/>
            <c:spPr>
              <a:ln w="28575" cmpd="sng">
                <a:solidFill>
                  <a:srgbClr val="969696">
                    <a:alpha val="100000"/>
                  </a:srgbClr>
                </a:solidFill>
                <a:prstDash val="dash"/>
              </a:ln>
            </c:spPr>
            <c:extLst>
              <c:ext xmlns:c16="http://schemas.microsoft.com/office/drawing/2014/chart" uri="{C3380CC4-5D6E-409C-BE32-E72D297353CC}">
                <c16:uniqueId val="{00000003-3B79-488B-B53E-D8158B945C46}"/>
              </c:ext>
            </c:extLst>
          </c:dPt>
          <c:dPt>
            <c:idx val="5"/>
            <c:bubble3D val="0"/>
            <c:spPr>
              <a:ln w="28575" cmpd="sng">
                <a:solidFill>
                  <a:srgbClr val="969696">
                    <a:alpha val="100000"/>
                  </a:srgbClr>
                </a:solidFill>
                <a:prstDash val="dash"/>
              </a:ln>
            </c:spPr>
            <c:extLst>
              <c:ext xmlns:c16="http://schemas.microsoft.com/office/drawing/2014/chart" uri="{C3380CC4-5D6E-409C-BE32-E72D297353CC}">
                <c16:uniqueId val="{00000002-3B79-488B-B53E-D8158B945C46}"/>
              </c:ext>
            </c:extLst>
          </c:dPt>
          <c:cat>
            <c:strRef>
              <c:f>Charts!$D$6:$I$6</c:f>
              <c:strCache>
                <c:ptCount val="6"/>
                <c:pt idx="0">
                  <c:v>2023</c:v>
                </c:pt>
                <c:pt idx="1">
                  <c:v>2024</c:v>
                </c:pt>
                <c:pt idx="2">
                  <c:v>2025</c:v>
                </c:pt>
                <c:pt idx="3">
                  <c:v>2026e</c:v>
                </c:pt>
                <c:pt idx="4">
                  <c:v>2027e</c:v>
                </c:pt>
                <c:pt idx="5">
                  <c:v>2028e</c:v>
                </c:pt>
              </c:strCache>
            </c:strRef>
          </c:cat>
          <c:val>
            <c:numRef>
              <c:f>Charts!$D$9:$I$9</c:f>
              <c:numCache>
                <c:formatCode>#,##0.0%_);\(#,##0.0%\);"-"</c:formatCode>
                <c:ptCount val="6"/>
                <c:pt idx="0">
                  <c:v>0.12430972032539635</c:v>
                </c:pt>
                <c:pt idx="1">
                  <c:v>0.13650759423727443</c:v>
                </c:pt>
                <c:pt idx="2">
                  <c:v>0.13463330971999551</c:v>
                </c:pt>
                <c:pt idx="3">
                  <c:v>0.14366117591039704</c:v>
                </c:pt>
                <c:pt idx="4">
                  <c:v>0.16008448419340138</c:v>
                </c:pt>
                <c:pt idx="5">
                  <c:v>0.17050122302800405</c:v>
                </c:pt>
              </c:numCache>
            </c:numRef>
          </c:val>
          <c:smooth val="1"/>
          <c:extLst>
            <c:ext xmlns:c16="http://schemas.microsoft.com/office/drawing/2014/chart" uri="{C3380CC4-5D6E-409C-BE32-E72D297353CC}">
              <c16:uniqueId val="{00000002-95D4-4715-BD92-372031962671}"/>
            </c:ext>
          </c:extLst>
        </c:ser>
        <c:dLbls>
          <c:showLegendKey val="0"/>
          <c:showVal val="0"/>
          <c:showCatName val="0"/>
          <c:showSerName val="0"/>
          <c:showPercent val="0"/>
          <c:showBubbleSize val="0"/>
        </c:dLbls>
        <c:smooth val="0"/>
        <c:axId val="885751228"/>
        <c:axId val="808695667"/>
      </c:lineChart>
      <c:catAx>
        <c:axId val="885751228"/>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crossAx val="808695667"/>
        <c:crosses val="autoZero"/>
        <c:auto val="1"/>
        <c:lblAlgn val="ctr"/>
        <c:lblOffset val="100"/>
        <c:noMultiLvlLbl val="1"/>
      </c:catAx>
      <c:valAx>
        <c:axId val="808695667"/>
        <c:scaling>
          <c:orientation val="minMax"/>
          <c:max val="0.25"/>
        </c:scaling>
        <c:delete val="0"/>
        <c:axPos val="l"/>
        <c:title>
          <c:tx>
            <c:rich>
              <a:bodyPr/>
              <a:lstStyle/>
              <a:p>
                <a:pPr>
                  <a:defRPr/>
                </a:pPr>
                <a:endParaRPr lang="en-US"/>
              </a:p>
            </c:rich>
          </c:tx>
          <c:overlay val="0"/>
        </c:title>
        <c:numFmt formatCode="#,##0.0%_);\(#,##0.0%\)" sourceLinked="1"/>
        <c:majorTickMark val="out"/>
        <c:minorTickMark val="none"/>
        <c:tickLblPos val="nextTo"/>
        <c:spPr>
          <a:ln/>
        </c:spPr>
        <c:crossAx val="885751228"/>
        <c:crosses val="autoZero"/>
        <c:crossBetween val="between"/>
        <c:majorUnit val="5.000000000000001E-2"/>
      </c:valAx>
    </c:plotArea>
    <c:legend>
      <c:legendPos val="b"/>
      <c:overlay val="0"/>
    </c:legend>
    <c:plotVisOnly val="1"/>
    <c:dispBlanksAs val="zero"/>
    <c:showDLblsOverMax val="1"/>
  </c:chart>
  <c:txPr>
    <a:bodyPr/>
    <a:lstStyle/>
    <a:p>
      <a:pPr>
        <a:defRPr>
          <a:latin typeface="Abadi Extra Light" panose="020F050202020403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latin typeface="Abadi" panose="020B0604020104020204" pitchFamily="34" charset="0"/>
              </a:defRPr>
            </a:pPr>
            <a:r>
              <a:rPr lang="en-US">
                <a:latin typeface="Abadi" panose="020B0604020104020204" pitchFamily="34" charset="0"/>
              </a:rPr>
              <a:t>Discount Revenue</a:t>
            </a:r>
          </a:p>
        </c:rich>
      </c:tx>
      <c:overlay val="0"/>
    </c:title>
    <c:autoTitleDeleted val="0"/>
    <c:plotArea>
      <c:layout>
        <c:manualLayout>
          <c:layoutTarget val="inner"/>
          <c:xMode val="edge"/>
          <c:yMode val="edge"/>
          <c:x val="0.14763792716865165"/>
          <c:y val="0.19759974957258786"/>
          <c:w val="0.74909244384652907"/>
          <c:h val="0.49706373859230896"/>
        </c:manualLayout>
      </c:layout>
      <c:barChart>
        <c:barDir val="col"/>
        <c:grouping val="clustered"/>
        <c:varyColors val="1"/>
        <c:ser>
          <c:idx val="0"/>
          <c:order val="0"/>
          <c:tx>
            <c:strRef>
              <c:f>Charts!$C$31</c:f>
              <c:strCache>
                <c:ptCount val="1"/>
                <c:pt idx="0">
                  <c:v>Discount Revenue</c:v>
                </c:pt>
              </c:strCache>
            </c:strRef>
          </c:tx>
          <c:spPr>
            <a:solidFill>
              <a:srgbClr val="002060"/>
            </a:solidFill>
            <a:ln cmpd="sng">
              <a:solidFill>
                <a:srgbClr val="000000"/>
              </a:solidFill>
            </a:ln>
          </c:spPr>
          <c:invertIfNegative val="1"/>
          <c:dPt>
            <c:idx val="0"/>
            <c:invertIfNegative val="1"/>
            <c:bubble3D val="0"/>
            <c:spPr>
              <a:solidFill>
                <a:srgbClr val="00355F"/>
              </a:solidFill>
              <a:ln cmpd="sng">
                <a:solidFill>
                  <a:srgbClr val="000000"/>
                </a:solidFill>
              </a:ln>
            </c:spPr>
            <c:extLst>
              <c:ext xmlns:c16="http://schemas.microsoft.com/office/drawing/2014/chart" uri="{C3380CC4-5D6E-409C-BE32-E72D297353CC}">
                <c16:uniqueId val="{00000001-4C5A-4CB0-A395-F1C19E68A6A0}"/>
              </c:ext>
            </c:extLst>
          </c:dPt>
          <c:dPt>
            <c:idx val="1"/>
            <c:invertIfNegative val="1"/>
            <c:bubble3D val="0"/>
            <c:spPr>
              <a:solidFill>
                <a:srgbClr val="00355F"/>
              </a:solidFill>
              <a:ln cmpd="sng">
                <a:solidFill>
                  <a:srgbClr val="000000"/>
                </a:solidFill>
              </a:ln>
            </c:spPr>
            <c:extLst>
              <c:ext xmlns:c16="http://schemas.microsoft.com/office/drawing/2014/chart" uri="{C3380CC4-5D6E-409C-BE32-E72D297353CC}">
                <c16:uniqueId val="{00000003-4C5A-4CB0-A395-F1C19E68A6A0}"/>
              </c:ext>
            </c:extLst>
          </c:dPt>
          <c:dPt>
            <c:idx val="2"/>
            <c:invertIfNegative val="1"/>
            <c:bubble3D val="0"/>
            <c:spPr>
              <a:solidFill>
                <a:srgbClr val="00355F"/>
              </a:solidFill>
              <a:ln cmpd="sng">
                <a:solidFill>
                  <a:srgbClr val="000000"/>
                </a:solidFill>
              </a:ln>
            </c:spPr>
            <c:extLst>
              <c:ext xmlns:c16="http://schemas.microsoft.com/office/drawing/2014/chart" uri="{C3380CC4-5D6E-409C-BE32-E72D297353CC}">
                <c16:uniqueId val="{00000005-4C5A-4CB0-A395-F1C19E68A6A0}"/>
              </c:ext>
            </c:extLst>
          </c:dPt>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7-4C5A-4CB0-A395-F1C19E68A6A0}"/>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9-4C5A-4CB0-A395-F1C19E68A6A0}"/>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B-4C5A-4CB0-A395-F1C19E68A6A0}"/>
              </c:ext>
            </c:extLst>
          </c:dPt>
          <c:cat>
            <c:strRef>
              <c:f>Charts!$D$30:$I$30</c:f>
              <c:strCache>
                <c:ptCount val="6"/>
                <c:pt idx="0">
                  <c:v>2023</c:v>
                </c:pt>
                <c:pt idx="1">
                  <c:v>2024</c:v>
                </c:pt>
                <c:pt idx="2">
                  <c:v>2025</c:v>
                </c:pt>
                <c:pt idx="3">
                  <c:v>2026e</c:v>
                </c:pt>
                <c:pt idx="4">
                  <c:v>2027e</c:v>
                </c:pt>
                <c:pt idx="5">
                  <c:v>2028e</c:v>
                </c:pt>
              </c:strCache>
            </c:strRef>
          </c:cat>
          <c:val>
            <c:numRef>
              <c:f>Charts!$D$31:$I$31</c:f>
              <c:numCache>
                <c:formatCode>"$"#,##0_);\("$"#,##0\)</c:formatCode>
                <c:ptCount val="6"/>
                <c:pt idx="0">
                  <c:v>33416</c:v>
                </c:pt>
                <c:pt idx="1">
                  <c:v>35192</c:v>
                </c:pt>
                <c:pt idx="2">
                  <c:v>37401</c:v>
                </c:pt>
                <c:pt idx="3">
                  <c:v>40625.509444000003</c:v>
                </c:pt>
                <c:pt idx="4">
                  <c:v>46099.205549314429</c:v>
                </c:pt>
                <c:pt idx="5">
                  <c:v>49326.149937766444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4C5A-4CB0-A395-F1C19E68A6A0}"/>
            </c:ext>
          </c:extLst>
        </c:ser>
        <c:dLbls>
          <c:showLegendKey val="0"/>
          <c:showVal val="0"/>
          <c:showCatName val="0"/>
          <c:showSerName val="0"/>
          <c:showPercent val="0"/>
          <c:showBubbleSize val="0"/>
        </c:dLbls>
        <c:gapWidth val="150"/>
        <c:axId val="1856802696"/>
        <c:axId val="1743121947"/>
      </c:barChart>
      <c:lineChart>
        <c:grouping val="standard"/>
        <c:varyColors val="0"/>
        <c:ser>
          <c:idx val="1"/>
          <c:order val="1"/>
          <c:tx>
            <c:v>Growth Rate YoY %</c:v>
          </c:tx>
          <c:spPr>
            <a:ln w="28575" cmpd="sng">
              <a:solidFill>
                <a:srgbClr val="969696">
                  <a:alpha val="100000"/>
                </a:srgbClr>
              </a:solidFill>
            </a:ln>
          </c:spPr>
          <c:marker>
            <c:symbol val="none"/>
          </c:marker>
          <c:dPt>
            <c:idx val="3"/>
            <c:bubble3D val="0"/>
            <c:spPr>
              <a:ln w="28575" cmpd="sng">
                <a:solidFill>
                  <a:srgbClr val="969696">
                    <a:alpha val="100000"/>
                  </a:srgbClr>
                </a:solidFill>
                <a:prstDash val="dash"/>
              </a:ln>
            </c:spPr>
            <c:extLst>
              <c:ext xmlns:c16="http://schemas.microsoft.com/office/drawing/2014/chart" uri="{C3380CC4-5D6E-409C-BE32-E72D297353CC}">
                <c16:uniqueId val="{0000000E-FC35-45AC-B198-90FD749317DB}"/>
              </c:ext>
            </c:extLst>
          </c:dPt>
          <c:dPt>
            <c:idx val="4"/>
            <c:bubble3D val="0"/>
            <c:spPr>
              <a:ln w="28575" cmpd="sng">
                <a:solidFill>
                  <a:srgbClr val="969696">
                    <a:alpha val="100000"/>
                  </a:srgbClr>
                </a:solidFill>
                <a:prstDash val="dash"/>
              </a:ln>
            </c:spPr>
            <c:extLst>
              <c:ext xmlns:c16="http://schemas.microsoft.com/office/drawing/2014/chart" uri="{C3380CC4-5D6E-409C-BE32-E72D297353CC}">
                <c16:uniqueId val="{0000000D-FC35-45AC-B198-90FD749317DB}"/>
              </c:ext>
            </c:extLst>
          </c:dPt>
          <c:dPt>
            <c:idx val="5"/>
            <c:bubble3D val="0"/>
            <c:spPr>
              <a:ln w="28575" cmpd="sng">
                <a:solidFill>
                  <a:srgbClr val="969696">
                    <a:alpha val="100000"/>
                  </a:srgbClr>
                </a:solidFill>
                <a:prstDash val="dash"/>
              </a:ln>
            </c:spPr>
            <c:extLst>
              <c:ext xmlns:c16="http://schemas.microsoft.com/office/drawing/2014/chart" uri="{C3380CC4-5D6E-409C-BE32-E72D297353CC}">
                <c16:uniqueId val="{0000000C-FC35-45AC-B198-90FD749317DB}"/>
              </c:ext>
            </c:extLst>
          </c:dPt>
          <c:cat>
            <c:strRef>
              <c:f>Charts!$D$30:$I$30</c:f>
              <c:strCache>
                <c:ptCount val="6"/>
                <c:pt idx="0">
                  <c:v>2023</c:v>
                </c:pt>
                <c:pt idx="1">
                  <c:v>2024</c:v>
                </c:pt>
                <c:pt idx="2">
                  <c:v>2025</c:v>
                </c:pt>
                <c:pt idx="3">
                  <c:v>2026e</c:v>
                </c:pt>
                <c:pt idx="4">
                  <c:v>2027e</c:v>
                </c:pt>
                <c:pt idx="5">
                  <c:v>2028e</c:v>
                </c:pt>
              </c:strCache>
            </c:strRef>
          </c:cat>
          <c:val>
            <c:numRef>
              <c:f>Charts!$D$32:$I$32</c:f>
              <c:numCache>
                <c:formatCode>#,##0.0%_);\(#,##0.0%\);"-"</c:formatCode>
                <c:ptCount val="6"/>
                <c:pt idx="0">
                  <c:v>0</c:v>
                </c:pt>
                <c:pt idx="1">
                  <c:v>5.3148192482643131E-2</c:v>
                </c:pt>
                <c:pt idx="2">
                  <c:v>6.2769947715389796E-2</c:v>
                </c:pt>
                <c:pt idx="3">
                  <c:v>8.6214524852276764E-2</c:v>
                </c:pt>
                <c:pt idx="4">
                  <c:v>0.13473544529600567</c:v>
                </c:pt>
                <c:pt idx="5">
                  <c:v>7.0000000000000062E-2</c:v>
                </c:pt>
              </c:numCache>
            </c:numRef>
          </c:val>
          <c:smooth val="1"/>
          <c:extLst>
            <c:ext xmlns:c16="http://schemas.microsoft.com/office/drawing/2014/chart" uri="{C3380CC4-5D6E-409C-BE32-E72D297353CC}">
              <c16:uniqueId val="{0000000D-4C5A-4CB0-A395-F1C19E68A6A0}"/>
            </c:ext>
          </c:extLst>
        </c:ser>
        <c:dLbls>
          <c:showLegendKey val="0"/>
          <c:showVal val="0"/>
          <c:showCatName val="0"/>
          <c:showSerName val="0"/>
          <c:showPercent val="0"/>
          <c:showBubbleSize val="0"/>
        </c:dLbls>
        <c:marker val="1"/>
        <c:smooth val="0"/>
        <c:axId val="1493038352"/>
        <c:axId val="1493038832"/>
      </c:lineChart>
      <c:catAx>
        <c:axId val="1856802696"/>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crossAx val="1743121947"/>
        <c:crosses val="autoZero"/>
        <c:auto val="1"/>
        <c:lblAlgn val="ctr"/>
        <c:lblOffset val="100"/>
        <c:noMultiLvlLbl val="1"/>
      </c:catAx>
      <c:valAx>
        <c:axId val="1743121947"/>
        <c:scaling>
          <c:orientation val="minMax"/>
          <c:max val="50000"/>
        </c:scaling>
        <c:delete val="0"/>
        <c:axPos val="l"/>
        <c:title>
          <c:tx>
            <c:rich>
              <a:bodyPr/>
              <a:lstStyle/>
              <a:p>
                <a:pPr>
                  <a:defRPr/>
                </a:pPr>
                <a:endParaRPr lang="en-US"/>
              </a:p>
            </c:rich>
          </c:tx>
          <c:overlay val="0"/>
        </c:title>
        <c:numFmt formatCode="&quot;$&quot;#,##0" sourceLinked="0"/>
        <c:majorTickMark val="out"/>
        <c:minorTickMark val="none"/>
        <c:tickLblPos val="nextTo"/>
        <c:spPr>
          <a:ln/>
        </c:spPr>
        <c:crossAx val="1856802696"/>
        <c:crosses val="autoZero"/>
        <c:crossBetween val="between"/>
        <c:majorUnit val="10000"/>
      </c:valAx>
      <c:valAx>
        <c:axId val="1493038832"/>
        <c:scaling>
          <c:orientation val="minMax"/>
        </c:scaling>
        <c:delete val="0"/>
        <c:axPos val="r"/>
        <c:numFmt formatCode="0.0%" sourceLinked="0"/>
        <c:majorTickMark val="out"/>
        <c:minorTickMark val="none"/>
        <c:tickLblPos val="nextTo"/>
        <c:crossAx val="1493038352"/>
        <c:crosses val="max"/>
        <c:crossBetween val="between"/>
        <c:majorUnit val="3.0000000000000006E-2"/>
      </c:valAx>
      <c:catAx>
        <c:axId val="1493038352"/>
        <c:scaling>
          <c:orientation val="minMax"/>
        </c:scaling>
        <c:delete val="1"/>
        <c:axPos val="b"/>
        <c:numFmt formatCode="General" sourceLinked="1"/>
        <c:majorTickMark val="out"/>
        <c:minorTickMark val="none"/>
        <c:tickLblPos val="nextTo"/>
        <c:crossAx val="1493038832"/>
        <c:crosses val="autoZero"/>
        <c:auto val="1"/>
        <c:lblAlgn val="ctr"/>
        <c:lblOffset val="100"/>
        <c:noMultiLvlLbl val="0"/>
      </c:catAx>
    </c:plotArea>
    <c:legend>
      <c:legendPos val="b"/>
      <c:layout>
        <c:manualLayout>
          <c:xMode val="edge"/>
          <c:yMode val="edge"/>
          <c:x val="0"/>
          <c:y val="0.78797659466878567"/>
          <c:w val="1"/>
          <c:h val="0.21202340533121433"/>
        </c:manualLayout>
      </c:layout>
      <c:overlay val="0"/>
    </c:legend>
    <c:plotVisOnly val="1"/>
    <c:dispBlanksAs val="zero"/>
    <c:showDLblsOverMax val="1"/>
  </c:chart>
  <c:txPr>
    <a:bodyPr/>
    <a:lstStyle/>
    <a:p>
      <a:pPr>
        <a:defRPr sz="800" b="0">
          <a:solidFill>
            <a:sysClr val="windowText" lastClr="000000"/>
          </a:solidFill>
          <a:latin typeface="Abadi Extra Light" panose="020F050202020403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b="0">
                <a:latin typeface="Abadi" panose="020B0604020104020204" pitchFamily="34" charset="0"/>
              </a:defRPr>
            </a:pPr>
            <a:r>
              <a:rPr lang="en-US" b="0">
                <a:latin typeface="Abadi" panose="020B0604020104020204" pitchFamily="34" charset="0"/>
              </a:rPr>
              <a:t>Total Company Revenue</a:t>
            </a:r>
          </a:p>
        </c:rich>
      </c:tx>
      <c:overlay val="0"/>
    </c:title>
    <c:autoTitleDeleted val="0"/>
    <c:plotArea>
      <c:layout>
        <c:manualLayout>
          <c:layoutTarget val="inner"/>
          <c:xMode val="edge"/>
          <c:yMode val="edge"/>
          <c:x val="0.19619116716101545"/>
          <c:y val="0.19439360402530328"/>
          <c:w val="0.76406176870167652"/>
          <c:h val="0.54342755542653942"/>
        </c:manualLayout>
      </c:layout>
      <c:barChart>
        <c:barDir val="col"/>
        <c:grouping val="clustered"/>
        <c:varyColors val="1"/>
        <c:ser>
          <c:idx val="0"/>
          <c:order val="0"/>
          <c:tx>
            <c:v>Total Company Revenue</c:v>
          </c:tx>
          <c:spPr>
            <a:solidFill>
              <a:srgbClr val="002060"/>
            </a:solidFill>
            <a:ln cmpd="sng">
              <a:solidFill>
                <a:srgbClr val="000000"/>
              </a:solidFill>
            </a:ln>
          </c:spPr>
          <c:invertIfNegative val="1"/>
          <c:dPt>
            <c:idx val="0"/>
            <c:invertIfNegative val="1"/>
            <c:bubble3D val="0"/>
            <c:spPr>
              <a:solidFill>
                <a:srgbClr val="00355F"/>
              </a:solidFill>
              <a:ln cmpd="sng">
                <a:solidFill>
                  <a:srgbClr val="000000"/>
                </a:solidFill>
              </a:ln>
            </c:spPr>
            <c:extLst>
              <c:ext xmlns:c16="http://schemas.microsoft.com/office/drawing/2014/chart" uri="{C3380CC4-5D6E-409C-BE32-E72D297353CC}">
                <c16:uniqueId val="{00000001-6DE4-4AC0-A59F-F307C9107752}"/>
              </c:ext>
            </c:extLst>
          </c:dPt>
          <c:dPt>
            <c:idx val="1"/>
            <c:invertIfNegative val="1"/>
            <c:bubble3D val="0"/>
            <c:spPr>
              <a:solidFill>
                <a:srgbClr val="00355F"/>
              </a:solidFill>
              <a:ln cmpd="sng">
                <a:solidFill>
                  <a:srgbClr val="000000"/>
                </a:solidFill>
              </a:ln>
            </c:spPr>
            <c:extLst>
              <c:ext xmlns:c16="http://schemas.microsoft.com/office/drawing/2014/chart" uri="{C3380CC4-5D6E-409C-BE32-E72D297353CC}">
                <c16:uniqueId val="{00000003-6DE4-4AC0-A59F-F307C9107752}"/>
              </c:ext>
            </c:extLst>
          </c:dPt>
          <c:dPt>
            <c:idx val="2"/>
            <c:invertIfNegative val="1"/>
            <c:bubble3D val="0"/>
            <c:spPr>
              <a:solidFill>
                <a:srgbClr val="00355F"/>
              </a:solidFill>
              <a:ln cmpd="sng">
                <a:solidFill>
                  <a:srgbClr val="000000"/>
                </a:solidFill>
              </a:ln>
            </c:spPr>
            <c:extLst>
              <c:ext xmlns:c16="http://schemas.microsoft.com/office/drawing/2014/chart" uri="{C3380CC4-5D6E-409C-BE32-E72D297353CC}">
                <c16:uniqueId val="{00000005-6DE4-4AC0-A59F-F307C9107752}"/>
              </c:ext>
            </c:extLst>
          </c:dPt>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7-6DE4-4AC0-A59F-F307C9107752}"/>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9-6DE4-4AC0-A59F-F307C9107752}"/>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B-6DE4-4AC0-A59F-F307C9107752}"/>
              </c:ext>
            </c:extLst>
          </c:dPt>
          <c:cat>
            <c:strRef>
              <c:f>Charts!$L$30:$Q$30</c:f>
              <c:strCache>
                <c:ptCount val="6"/>
                <c:pt idx="0">
                  <c:v>2023</c:v>
                </c:pt>
                <c:pt idx="1">
                  <c:v>2024</c:v>
                </c:pt>
                <c:pt idx="2">
                  <c:v>2025</c:v>
                </c:pt>
                <c:pt idx="3">
                  <c:v>2026e</c:v>
                </c:pt>
                <c:pt idx="4">
                  <c:v>2027e</c:v>
                </c:pt>
                <c:pt idx="5">
                  <c:v>2028e</c:v>
                </c:pt>
              </c:strCache>
            </c:strRef>
          </c:cat>
          <c:val>
            <c:numRef>
              <c:f>Charts!$L$31:$Q$31</c:f>
              <c:numCache>
                <c:formatCode>"$"#,##0_);\("$"#,##0\)</c:formatCode>
                <c:ptCount val="6"/>
                <c:pt idx="0">
                  <c:v>67364</c:v>
                </c:pt>
                <c:pt idx="1">
                  <c:v>74201</c:v>
                </c:pt>
                <c:pt idx="2">
                  <c:v>80463</c:v>
                </c:pt>
                <c:pt idx="3">
                  <c:v>88057.04232919999</c:v>
                </c:pt>
                <c:pt idx="4">
                  <c:v>97549.503798841877</c:v>
                </c:pt>
                <c:pt idx="5">
                  <c:v>104638.90724681984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6DE4-4AC0-A59F-F307C9107752}"/>
            </c:ext>
          </c:extLst>
        </c:ser>
        <c:dLbls>
          <c:showLegendKey val="0"/>
          <c:showVal val="0"/>
          <c:showCatName val="0"/>
          <c:showSerName val="0"/>
          <c:showPercent val="0"/>
          <c:showBubbleSize val="0"/>
        </c:dLbls>
        <c:gapWidth val="150"/>
        <c:axId val="609455924"/>
        <c:axId val="1366184158"/>
      </c:barChart>
      <c:lineChart>
        <c:grouping val="standard"/>
        <c:varyColors val="0"/>
        <c:ser>
          <c:idx val="1"/>
          <c:order val="1"/>
          <c:tx>
            <c:v>Growth Rate YoY %</c:v>
          </c:tx>
          <c:spPr>
            <a:ln w="28575" cmpd="sng">
              <a:solidFill>
                <a:srgbClr val="969696">
                  <a:alpha val="100000"/>
                </a:srgbClr>
              </a:solidFill>
            </a:ln>
          </c:spPr>
          <c:marker>
            <c:symbol val="none"/>
          </c:marker>
          <c:dPt>
            <c:idx val="3"/>
            <c:bubble3D val="0"/>
            <c:spPr>
              <a:ln w="28575" cmpd="sng">
                <a:solidFill>
                  <a:srgbClr val="969696">
                    <a:alpha val="100000"/>
                  </a:srgbClr>
                </a:solidFill>
                <a:prstDash val="dash"/>
              </a:ln>
            </c:spPr>
            <c:extLst>
              <c:ext xmlns:c16="http://schemas.microsoft.com/office/drawing/2014/chart" uri="{C3380CC4-5D6E-409C-BE32-E72D297353CC}">
                <c16:uniqueId val="{0000000E-CFAC-4047-B2D0-93AA72A4BC7C}"/>
              </c:ext>
            </c:extLst>
          </c:dPt>
          <c:dPt>
            <c:idx val="4"/>
            <c:bubble3D val="0"/>
            <c:spPr>
              <a:ln w="28575" cmpd="sng">
                <a:solidFill>
                  <a:srgbClr val="969696">
                    <a:alpha val="100000"/>
                  </a:srgbClr>
                </a:solidFill>
                <a:prstDash val="dash"/>
              </a:ln>
            </c:spPr>
            <c:extLst>
              <c:ext xmlns:c16="http://schemas.microsoft.com/office/drawing/2014/chart" uri="{C3380CC4-5D6E-409C-BE32-E72D297353CC}">
                <c16:uniqueId val="{0000000D-CFAC-4047-B2D0-93AA72A4BC7C}"/>
              </c:ext>
            </c:extLst>
          </c:dPt>
          <c:dPt>
            <c:idx val="5"/>
            <c:bubble3D val="0"/>
            <c:spPr>
              <a:ln w="28575" cmpd="sng">
                <a:solidFill>
                  <a:srgbClr val="969696">
                    <a:alpha val="100000"/>
                  </a:srgbClr>
                </a:solidFill>
                <a:prstDash val="dash"/>
              </a:ln>
            </c:spPr>
            <c:extLst>
              <c:ext xmlns:c16="http://schemas.microsoft.com/office/drawing/2014/chart" uri="{C3380CC4-5D6E-409C-BE32-E72D297353CC}">
                <c16:uniqueId val="{0000000C-CFAC-4047-B2D0-93AA72A4BC7C}"/>
              </c:ext>
            </c:extLst>
          </c:dPt>
          <c:cat>
            <c:strRef>
              <c:f>Charts!$L$30:$Q$30</c:f>
              <c:strCache>
                <c:ptCount val="6"/>
                <c:pt idx="0">
                  <c:v>2023</c:v>
                </c:pt>
                <c:pt idx="1">
                  <c:v>2024</c:v>
                </c:pt>
                <c:pt idx="2">
                  <c:v>2025</c:v>
                </c:pt>
                <c:pt idx="3">
                  <c:v>2026e</c:v>
                </c:pt>
                <c:pt idx="4">
                  <c:v>2027e</c:v>
                </c:pt>
                <c:pt idx="5">
                  <c:v>2028e</c:v>
                </c:pt>
              </c:strCache>
            </c:strRef>
          </c:cat>
          <c:val>
            <c:numRef>
              <c:f>Charts!$L$32:$Q$32</c:f>
              <c:numCache>
                <c:formatCode>#,##0.0%_);\(#,##0.0%\);"-"</c:formatCode>
                <c:ptCount val="6"/>
                <c:pt idx="0">
                  <c:v>0</c:v>
                </c:pt>
                <c:pt idx="1">
                  <c:v>0.10149337925301349</c:v>
                </c:pt>
                <c:pt idx="2">
                  <c:v>8.4392393633508922E-2</c:v>
                </c:pt>
                <c:pt idx="3">
                  <c:v>9.4379308864944056E-2</c:v>
                </c:pt>
                <c:pt idx="4">
                  <c:v>0.10779900412910148</c:v>
                </c:pt>
                <c:pt idx="5">
                  <c:v>7.2674930900695545E-2</c:v>
                </c:pt>
              </c:numCache>
            </c:numRef>
          </c:val>
          <c:smooth val="1"/>
          <c:extLst>
            <c:ext xmlns:c16="http://schemas.microsoft.com/office/drawing/2014/chart" uri="{C3380CC4-5D6E-409C-BE32-E72D297353CC}">
              <c16:uniqueId val="{0000000D-6DE4-4AC0-A59F-F307C9107752}"/>
            </c:ext>
          </c:extLst>
        </c:ser>
        <c:dLbls>
          <c:showLegendKey val="0"/>
          <c:showVal val="0"/>
          <c:showCatName val="0"/>
          <c:showSerName val="0"/>
          <c:showPercent val="0"/>
          <c:showBubbleSize val="0"/>
        </c:dLbls>
        <c:marker val="1"/>
        <c:smooth val="0"/>
        <c:axId val="1271177168"/>
        <c:axId val="1271178128"/>
      </c:lineChart>
      <c:catAx>
        <c:axId val="609455924"/>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crossAx val="1366184158"/>
        <c:crosses val="autoZero"/>
        <c:auto val="1"/>
        <c:lblAlgn val="ctr"/>
        <c:lblOffset val="100"/>
        <c:noMultiLvlLbl val="1"/>
      </c:catAx>
      <c:valAx>
        <c:axId val="1366184158"/>
        <c:scaling>
          <c:orientation val="minMax"/>
          <c:max val="125000"/>
        </c:scaling>
        <c:delete val="0"/>
        <c:axPos val="l"/>
        <c:title>
          <c:tx>
            <c:rich>
              <a:bodyPr/>
              <a:lstStyle/>
              <a:p>
                <a:pPr>
                  <a:defRPr/>
                </a:pPr>
                <a:endParaRPr lang="en-US"/>
              </a:p>
            </c:rich>
          </c:tx>
          <c:overlay val="0"/>
        </c:title>
        <c:numFmt formatCode="&quot;$&quot;#,##0" sourceLinked="0"/>
        <c:majorTickMark val="out"/>
        <c:minorTickMark val="none"/>
        <c:tickLblPos val="nextTo"/>
        <c:spPr>
          <a:ln/>
        </c:spPr>
        <c:crossAx val="609455924"/>
        <c:crosses val="autoZero"/>
        <c:crossBetween val="between"/>
        <c:majorUnit val="25000"/>
      </c:valAx>
      <c:valAx>
        <c:axId val="1271178128"/>
        <c:scaling>
          <c:orientation val="minMax"/>
          <c:max val="0.15000000000000002"/>
        </c:scaling>
        <c:delete val="0"/>
        <c:axPos val="r"/>
        <c:numFmt formatCode="0.0%" sourceLinked="0"/>
        <c:majorTickMark val="out"/>
        <c:minorTickMark val="none"/>
        <c:tickLblPos val="nextTo"/>
        <c:crossAx val="1271177168"/>
        <c:crosses val="max"/>
        <c:crossBetween val="between"/>
        <c:majorUnit val="3.0000000000000006E-2"/>
      </c:valAx>
      <c:catAx>
        <c:axId val="1271177168"/>
        <c:scaling>
          <c:orientation val="minMax"/>
        </c:scaling>
        <c:delete val="1"/>
        <c:axPos val="b"/>
        <c:numFmt formatCode="General" sourceLinked="1"/>
        <c:majorTickMark val="out"/>
        <c:minorTickMark val="none"/>
        <c:tickLblPos val="nextTo"/>
        <c:crossAx val="1271178128"/>
        <c:crosses val="autoZero"/>
        <c:auto val="1"/>
        <c:lblAlgn val="ctr"/>
        <c:lblOffset val="100"/>
        <c:noMultiLvlLbl val="0"/>
      </c:catAx>
    </c:plotArea>
    <c:legend>
      <c:legendPos val="b"/>
      <c:overlay val="0"/>
    </c:legend>
    <c:plotVisOnly val="1"/>
    <c:dispBlanksAs val="zero"/>
    <c:showDLblsOverMax val="1"/>
  </c:chart>
  <c:txPr>
    <a:bodyPr/>
    <a:lstStyle/>
    <a:p>
      <a:pPr>
        <a:defRPr sz="800">
          <a:latin typeface="Abadi Extra Light" panose="020F050202020403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latin typeface="Abadi" panose="020B0604020104020204" pitchFamily="34" charset="0"/>
              </a:defRPr>
            </a:pPr>
            <a:r>
              <a:rPr lang="en-US">
                <a:latin typeface="Abadi" panose="020B0604020104020204" pitchFamily="34" charset="0"/>
              </a:rPr>
              <a:t>AXP - Free Cash Flow</a:t>
            </a:r>
          </a:p>
        </c:rich>
      </c:tx>
      <c:overlay val="0"/>
    </c:title>
    <c:autoTitleDeleted val="0"/>
    <c:plotArea>
      <c:layout>
        <c:manualLayout>
          <c:layoutTarget val="inner"/>
          <c:xMode val="edge"/>
          <c:yMode val="edge"/>
          <c:x val="0.19482715414342056"/>
          <c:y val="0.19851034749688548"/>
          <c:w val="0.76832192458354764"/>
          <c:h val="0.50447210227753791"/>
        </c:manualLayout>
      </c:layout>
      <c:barChart>
        <c:barDir val="col"/>
        <c:grouping val="clustered"/>
        <c:varyColors val="1"/>
        <c:ser>
          <c:idx val="0"/>
          <c:order val="0"/>
          <c:tx>
            <c:v>Free Cash Flow (FCF)</c:v>
          </c:tx>
          <c:spPr>
            <a:solidFill>
              <a:srgbClr val="002060"/>
            </a:solidFill>
            <a:ln cmpd="sng">
              <a:solidFill>
                <a:srgbClr val="000000"/>
              </a:solidFill>
            </a:ln>
          </c:spPr>
          <c:invertIfNegative val="1"/>
          <c:dPt>
            <c:idx val="0"/>
            <c:invertIfNegative val="1"/>
            <c:bubble3D val="0"/>
            <c:spPr>
              <a:solidFill>
                <a:srgbClr val="00355F"/>
              </a:solidFill>
              <a:ln cmpd="sng">
                <a:solidFill>
                  <a:srgbClr val="000000"/>
                </a:solidFill>
              </a:ln>
            </c:spPr>
            <c:extLst>
              <c:ext xmlns:c16="http://schemas.microsoft.com/office/drawing/2014/chart" uri="{C3380CC4-5D6E-409C-BE32-E72D297353CC}">
                <c16:uniqueId val="{00000001-EA5F-4DFA-A861-B8A0F1BEE324}"/>
              </c:ext>
            </c:extLst>
          </c:dPt>
          <c:dPt>
            <c:idx val="1"/>
            <c:invertIfNegative val="1"/>
            <c:bubble3D val="0"/>
            <c:spPr>
              <a:solidFill>
                <a:srgbClr val="00355F"/>
              </a:solidFill>
              <a:ln cmpd="sng">
                <a:solidFill>
                  <a:srgbClr val="000000"/>
                </a:solidFill>
              </a:ln>
            </c:spPr>
            <c:extLst>
              <c:ext xmlns:c16="http://schemas.microsoft.com/office/drawing/2014/chart" uri="{C3380CC4-5D6E-409C-BE32-E72D297353CC}">
                <c16:uniqueId val="{00000003-EA5F-4DFA-A861-B8A0F1BEE324}"/>
              </c:ext>
            </c:extLst>
          </c:dPt>
          <c:dPt>
            <c:idx val="2"/>
            <c:invertIfNegative val="1"/>
            <c:bubble3D val="0"/>
            <c:spPr>
              <a:solidFill>
                <a:srgbClr val="00355F"/>
              </a:solidFill>
              <a:ln cmpd="sng">
                <a:solidFill>
                  <a:srgbClr val="000000"/>
                </a:solidFill>
              </a:ln>
            </c:spPr>
            <c:extLst>
              <c:ext xmlns:c16="http://schemas.microsoft.com/office/drawing/2014/chart" uri="{C3380CC4-5D6E-409C-BE32-E72D297353CC}">
                <c16:uniqueId val="{00000005-EA5F-4DFA-A861-B8A0F1BEE324}"/>
              </c:ext>
            </c:extLst>
          </c:dPt>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7-EA5F-4DFA-A861-B8A0F1BEE324}"/>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9-EA5F-4DFA-A861-B8A0F1BEE324}"/>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B-EA5F-4DFA-A861-B8A0F1BEE324}"/>
              </c:ext>
            </c:extLst>
          </c:dPt>
          <c:cat>
            <c:strRef>
              <c:f>Charts!$D$70:$I$70</c:f>
              <c:strCache>
                <c:ptCount val="6"/>
                <c:pt idx="0">
                  <c:v>2023</c:v>
                </c:pt>
                <c:pt idx="1">
                  <c:v>2024</c:v>
                </c:pt>
                <c:pt idx="2">
                  <c:v>2025</c:v>
                </c:pt>
                <c:pt idx="3">
                  <c:v>2026e</c:v>
                </c:pt>
                <c:pt idx="4">
                  <c:v>2027e</c:v>
                </c:pt>
                <c:pt idx="5">
                  <c:v>2028e</c:v>
                </c:pt>
              </c:strCache>
            </c:strRef>
          </c:cat>
          <c:val>
            <c:numRef>
              <c:f>Charts!$D$71:$I$71</c:f>
              <c:numCache>
                <c:formatCode>"$"#,##0_);\("$"#,##0\)</c:formatCode>
                <c:ptCount val="6"/>
                <c:pt idx="0">
                  <c:v>10845</c:v>
                </c:pt>
                <c:pt idx="1">
                  <c:v>11666</c:v>
                </c:pt>
                <c:pt idx="2">
                  <c:v>8390</c:v>
                </c:pt>
                <c:pt idx="3">
                  <c:v>5790.2185390146187</c:v>
                </c:pt>
                <c:pt idx="4">
                  <c:v>9893.1236559217505</c:v>
                </c:pt>
                <c:pt idx="5">
                  <c:v>15764.522025273562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EA5F-4DFA-A861-B8A0F1BEE324}"/>
            </c:ext>
          </c:extLst>
        </c:ser>
        <c:dLbls>
          <c:showLegendKey val="0"/>
          <c:showVal val="0"/>
          <c:showCatName val="0"/>
          <c:showSerName val="0"/>
          <c:showPercent val="0"/>
          <c:showBubbleSize val="0"/>
        </c:dLbls>
        <c:gapWidth val="150"/>
        <c:axId val="1210615620"/>
        <c:axId val="530943590"/>
      </c:barChart>
      <c:lineChart>
        <c:grouping val="standard"/>
        <c:varyColors val="0"/>
        <c:ser>
          <c:idx val="1"/>
          <c:order val="1"/>
          <c:tx>
            <c:v>Growth Rate YoY %</c:v>
          </c:tx>
          <c:spPr>
            <a:ln w="28575" cmpd="sng">
              <a:solidFill>
                <a:srgbClr val="969696">
                  <a:alpha val="100000"/>
                </a:srgbClr>
              </a:solidFill>
            </a:ln>
          </c:spPr>
          <c:marker>
            <c:symbol val="none"/>
          </c:marker>
          <c:dPt>
            <c:idx val="3"/>
            <c:bubble3D val="0"/>
            <c:spPr>
              <a:ln w="28575" cmpd="sng">
                <a:solidFill>
                  <a:srgbClr val="969696">
                    <a:alpha val="100000"/>
                  </a:srgbClr>
                </a:solidFill>
                <a:prstDash val="dash"/>
              </a:ln>
            </c:spPr>
            <c:extLst>
              <c:ext xmlns:c16="http://schemas.microsoft.com/office/drawing/2014/chart" uri="{C3380CC4-5D6E-409C-BE32-E72D297353CC}">
                <c16:uniqueId val="{0000000E-74E5-45CD-A9D4-E56134B434D7}"/>
              </c:ext>
            </c:extLst>
          </c:dPt>
          <c:dPt>
            <c:idx val="4"/>
            <c:bubble3D val="0"/>
            <c:spPr>
              <a:ln w="28575" cmpd="sng">
                <a:solidFill>
                  <a:srgbClr val="969696">
                    <a:alpha val="100000"/>
                  </a:srgbClr>
                </a:solidFill>
                <a:prstDash val="dash"/>
              </a:ln>
            </c:spPr>
            <c:extLst>
              <c:ext xmlns:c16="http://schemas.microsoft.com/office/drawing/2014/chart" uri="{C3380CC4-5D6E-409C-BE32-E72D297353CC}">
                <c16:uniqueId val="{0000000D-74E5-45CD-A9D4-E56134B434D7}"/>
              </c:ext>
            </c:extLst>
          </c:dPt>
          <c:dPt>
            <c:idx val="5"/>
            <c:bubble3D val="0"/>
            <c:spPr>
              <a:ln w="28575" cmpd="sng">
                <a:solidFill>
                  <a:srgbClr val="969696">
                    <a:alpha val="100000"/>
                  </a:srgbClr>
                </a:solidFill>
                <a:prstDash val="dash"/>
              </a:ln>
            </c:spPr>
            <c:extLst>
              <c:ext xmlns:c16="http://schemas.microsoft.com/office/drawing/2014/chart" uri="{C3380CC4-5D6E-409C-BE32-E72D297353CC}">
                <c16:uniqueId val="{0000000C-74E5-45CD-A9D4-E56134B434D7}"/>
              </c:ext>
            </c:extLst>
          </c:dPt>
          <c:cat>
            <c:strRef>
              <c:f>Charts!$D$70:$I$70</c:f>
              <c:strCache>
                <c:ptCount val="6"/>
                <c:pt idx="0">
                  <c:v>2023</c:v>
                </c:pt>
                <c:pt idx="1">
                  <c:v>2024</c:v>
                </c:pt>
                <c:pt idx="2">
                  <c:v>2025</c:v>
                </c:pt>
                <c:pt idx="3">
                  <c:v>2026e</c:v>
                </c:pt>
                <c:pt idx="4">
                  <c:v>2027e</c:v>
                </c:pt>
                <c:pt idx="5">
                  <c:v>2028e</c:v>
                </c:pt>
              </c:strCache>
            </c:strRef>
          </c:cat>
          <c:val>
            <c:numRef>
              <c:f>Charts!$D$72:$I$72</c:f>
              <c:numCache>
                <c:formatCode>#,##0.0%_);\(#,##0.0%\);"-"</c:formatCode>
                <c:ptCount val="6"/>
                <c:pt idx="0">
                  <c:v>0</c:v>
                </c:pt>
                <c:pt idx="1">
                  <c:v>7.5703088981097233E-2</c:v>
                </c:pt>
                <c:pt idx="2">
                  <c:v>-0.28081604663123605</c:v>
                </c:pt>
                <c:pt idx="3">
                  <c:v>-0.30986668188145183</c:v>
                </c:pt>
                <c:pt idx="4">
                  <c:v>0.70859244590884907</c:v>
                </c:pt>
                <c:pt idx="5">
                  <c:v>0.59348276374139464</c:v>
                </c:pt>
              </c:numCache>
            </c:numRef>
          </c:val>
          <c:smooth val="1"/>
          <c:extLst>
            <c:ext xmlns:c16="http://schemas.microsoft.com/office/drawing/2014/chart" uri="{C3380CC4-5D6E-409C-BE32-E72D297353CC}">
              <c16:uniqueId val="{0000000D-EA5F-4DFA-A861-B8A0F1BEE324}"/>
            </c:ext>
          </c:extLst>
        </c:ser>
        <c:dLbls>
          <c:showLegendKey val="0"/>
          <c:showVal val="0"/>
          <c:showCatName val="0"/>
          <c:showSerName val="0"/>
          <c:showPercent val="0"/>
          <c:showBubbleSize val="0"/>
        </c:dLbls>
        <c:marker val="1"/>
        <c:smooth val="0"/>
        <c:axId val="1494809536"/>
        <c:axId val="1494810016"/>
      </c:lineChart>
      <c:catAx>
        <c:axId val="1210615620"/>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crossAx val="530943590"/>
        <c:crosses val="autoZero"/>
        <c:auto val="1"/>
        <c:lblAlgn val="ctr"/>
        <c:lblOffset val="100"/>
        <c:noMultiLvlLbl val="1"/>
      </c:catAx>
      <c:valAx>
        <c:axId val="530943590"/>
        <c:scaling>
          <c:orientation val="minMax"/>
          <c:min val="0"/>
        </c:scaling>
        <c:delete val="0"/>
        <c:axPos val="l"/>
        <c:title>
          <c:tx>
            <c:rich>
              <a:bodyPr/>
              <a:lstStyle/>
              <a:p>
                <a:pPr>
                  <a:defRPr/>
                </a:pPr>
                <a:endParaRPr lang="en-US"/>
              </a:p>
            </c:rich>
          </c:tx>
          <c:overlay val="0"/>
        </c:title>
        <c:numFmt formatCode="&quot;$&quot;#,##0_);\(&quot;$&quot;#,##0\)" sourceLinked="1"/>
        <c:majorTickMark val="out"/>
        <c:minorTickMark val="none"/>
        <c:tickLblPos val="nextTo"/>
        <c:spPr>
          <a:ln/>
        </c:spPr>
        <c:crossAx val="1210615620"/>
        <c:crosses val="autoZero"/>
        <c:crossBetween val="between"/>
        <c:majorUnit val="2500"/>
      </c:valAx>
      <c:valAx>
        <c:axId val="1494810016"/>
        <c:scaling>
          <c:orientation val="minMax"/>
        </c:scaling>
        <c:delete val="0"/>
        <c:axPos val="r"/>
        <c:numFmt formatCode="0.0%;\(0.0%\)" sourceLinked="0"/>
        <c:majorTickMark val="out"/>
        <c:minorTickMark val="none"/>
        <c:tickLblPos val="nextTo"/>
        <c:crossAx val="1494809536"/>
        <c:crosses val="max"/>
        <c:crossBetween val="between"/>
        <c:majorUnit val="0.15000000000000002"/>
      </c:valAx>
      <c:catAx>
        <c:axId val="1494809536"/>
        <c:scaling>
          <c:orientation val="minMax"/>
        </c:scaling>
        <c:delete val="1"/>
        <c:axPos val="b"/>
        <c:numFmt formatCode="General" sourceLinked="1"/>
        <c:majorTickMark val="out"/>
        <c:minorTickMark val="none"/>
        <c:tickLblPos val="nextTo"/>
        <c:crossAx val="1494810016"/>
        <c:crosses val="autoZero"/>
        <c:auto val="1"/>
        <c:lblAlgn val="ctr"/>
        <c:lblOffset val="100"/>
        <c:noMultiLvlLbl val="0"/>
      </c:catAx>
    </c:plotArea>
    <c:legend>
      <c:legendPos val="b"/>
      <c:overlay val="0"/>
    </c:legend>
    <c:plotVisOnly val="1"/>
    <c:dispBlanksAs val="zero"/>
    <c:showDLblsOverMax val="1"/>
  </c:chart>
  <c:txPr>
    <a:bodyPr/>
    <a:lstStyle/>
    <a:p>
      <a:pPr>
        <a:defRPr sz="800" b="0">
          <a:latin typeface="Abadi Extra Light" panose="020F050202020403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b="0">
                <a:latin typeface="Abadi" panose="020B0604020104020204" pitchFamily="34" charset="0"/>
              </a:defRPr>
            </a:pPr>
            <a:r>
              <a:rPr lang="en-US" b="0">
                <a:latin typeface="Abadi" panose="020B0604020104020204" pitchFamily="34" charset="0"/>
              </a:rPr>
              <a:t>AXP - Adj. EPS</a:t>
            </a:r>
          </a:p>
        </c:rich>
      </c:tx>
      <c:overlay val="0"/>
    </c:title>
    <c:autoTitleDeleted val="0"/>
    <c:plotArea>
      <c:layout>
        <c:manualLayout>
          <c:layoutTarget val="inner"/>
          <c:xMode val="edge"/>
          <c:yMode val="edge"/>
          <c:x val="0.18495358811855839"/>
          <c:y val="0.19439360402530328"/>
          <c:w val="0.65995746466651017"/>
          <c:h val="0.55571634190887442"/>
        </c:manualLayout>
      </c:layout>
      <c:barChart>
        <c:barDir val="col"/>
        <c:grouping val="clustered"/>
        <c:varyColors val="1"/>
        <c:ser>
          <c:idx val="0"/>
          <c:order val="0"/>
          <c:tx>
            <c:v>Adj. EPS (Diluted)</c:v>
          </c:tx>
          <c:spPr>
            <a:solidFill>
              <a:srgbClr val="00355F"/>
            </a:solidFill>
            <a:ln cmpd="sng">
              <a:solidFill>
                <a:srgbClr val="000000"/>
              </a:solidFill>
            </a:ln>
          </c:spPr>
          <c:invertIfNegative val="1"/>
          <c:dPt>
            <c:idx val="3"/>
            <c:invertIfNegative val="1"/>
            <c:bubble3D val="0"/>
            <c:spPr>
              <a:solidFill>
                <a:srgbClr val="C0DEF6"/>
              </a:solidFill>
              <a:ln cmpd="sng">
                <a:solidFill>
                  <a:srgbClr val="000000"/>
                </a:solidFill>
              </a:ln>
            </c:spPr>
            <c:extLst>
              <c:ext xmlns:c16="http://schemas.microsoft.com/office/drawing/2014/chart" uri="{C3380CC4-5D6E-409C-BE32-E72D297353CC}">
                <c16:uniqueId val="{00000001-80C7-46A0-9971-8AA0DC059C22}"/>
              </c:ext>
            </c:extLst>
          </c:dPt>
          <c:dPt>
            <c:idx val="4"/>
            <c:invertIfNegative val="1"/>
            <c:bubble3D val="0"/>
            <c:spPr>
              <a:solidFill>
                <a:srgbClr val="C0DEF6"/>
              </a:solidFill>
              <a:ln cmpd="sng">
                <a:solidFill>
                  <a:srgbClr val="000000"/>
                </a:solidFill>
              </a:ln>
            </c:spPr>
            <c:extLst>
              <c:ext xmlns:c16="http://schemas.microsoft.com/office/drawing/2014/chart" uri="{C3380CC4-5D6E-409C-BE32-E72D297353CC}">
                <c16:uniqueId val="{00000003-80C7-46A0-9971-8AA0DC059C22}"/>
              </c:ext>
            </c:extLst>
          </c:dPt>
          <c:dPt>
            <c:idx val="5"/>
            <c:invertIfNegative val="1"/>
            <c:bubble3D val="0"/>
            <c:spPr>
              <a:solidFill>
                <a:srgbClr val="C0DEF6"/>
              </a:solidFill>
              <a:ln cmpd="sng">
                <a:solidFill>
                  <a:srgbClr val="000000"/>
                </a:solidFill>
              </a:ln>
            </c:spPr>
            <c:extLst>
              <c:ext xmlns:c16="http://schemas.microsoft.com/office/drawing/2014/chart" uri="{C3380CC4-5D6E-409C-BE32-E72D297353CC}">
                <c16:uniqueId val="{00000005-80C7-46A0-9971-8AA0DC059C22}"/>
              </c:ext>
            </c:extLst>
          </c:dPt>
          <c:cat>
            <c:strRef>
              <c:f>Charts!$L$70:$Q$70</c:f>
              <c:strCache>
                <c:ptCount val="6"/>
                <c:pt idx="0">
                  <c:v>2023</c:v>
                </c:pt>
                <c:pt idx="1">
                  <c:v>2024</c:v>
                </c:pt>
                <c:pt idx="2">
                  <c:v>2025</c:v>
                </c:pt>
                <c:pt idx="3">
                  <c:v>2026e</c:v>
                </c:pt>
                <c:pt idx="4">
                  <c:v>2027e</c:v>
                </c:pt>
                <c:pt idx="5">
                  <c:v>2028e</c:v>
                </c:pt>
              </c:strCache>
            </c:strRef>
          </c:cat>
          <c:val>
            <c:numRef>
              <c:f>Charts!$L$71:$Q$71</c:f>
              <c:numCache>
                <c:formatCode>"$"#,##0.00_);\("$"#,##0.00\)</c:formatCode>
                <c:ptCount val="6"/>
                <c:pt idx="0">
                  <c:v>11.565217391304348</c:v>
                </c:pt>
                <c:pt idx="1">
                  <c:v>13.753155680224404</c:v>
                </c:pt>
                <c:pt idx="2">
                  <c:v>15.73419540229885</c:v>
                </c:pt>
                <c:pt idx="3">
                  <c:v>18.405216391383899</c:v>
                </c:pt>
                <c:pt idx="4">
                  <c:v>22.840765344319639</c:v>
                </c:pt>
                <c:pt idx="5">
                  <c:v>26.164701871155788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80C7-46A0-9971-8AA0DC059C22}"/>
            </c:ext>
          </c:extLst>
        </c:ser>
        <c:dLbls>
          <c:showLegendKey val="0"/>
          <c:showVal val="0"/>
          <c:showCatName val="0"/>
          <c:showSerName val="0"/>
          <c:showPercent val="0"/>
          <c:showBubbleSize val="0"/>
        </c:dLbls>
        <c:gapWidth val="150"/>
        <c:axId val="1201937099"/>
        <c:axId val="802839090"/>
      </c:barChart>
      <c:lineChart>
        <c:grouping val="standard"/>
        <c:varyColors val="0"/>
        <c:ser>
          <c:idx val="1"/>
          <c:order val="1"/>
          <c:tx>
            <c:v>Growth Rate YoY %</c:v>
          </c:tx>
          <c:spPr>
            <a:ln w="28575" cmpd="sng">
              <a:solidFill>
                <a:srgbClr val="969696">
                  <a:alpha val="100000"/>
                </a:srgbClr>
              </a:solidFill>
            </a:ln>
          </c:spPr>
          <c:marker>
            <c:symbol val="none"/>
          </c:marker>
          <c:dPt>
            <c:idx val="3"/>
            <c:bubble3D val="0"/>
            <c:spPr>
              <a:ln w="28575" cmpd="sng">
                <a:solidFill>
                  <a:srgbClr val="969696">
                    <a:alpha val="100000"/>
                  </a:srgbClr>
                </a:solidFill>
                <a:prstDash val="dash"/>
              </a:ln>
            </c:spPr>
            <c:extLst>
              <c:ext xmlns:c16="http://schemas.microsoft.com/office/drawing/2014/chart" uri="{C3380CC4-5D6E-409C-BE32-E72D297353CC}">
                <c16:uniqueId val="{00000008-C6EB-40F1-A16B-F3959602CAB4}"/>
              </c:ext>
            </c:extLst>
          </c:dPt>
          <c:dPt>
            <c:idx val="4"/>
            <c:bubble3D val="0"/>
            <c:spPr>
              <a:ln w="28575" cmpd="sng">
                <a:solidFill>
                  <a:srgbClr val="969696">
                    <a:alpha val="100000"/>
                  </a:srgbClr>
                </a:solidFill>
                <a:prstDash val="dash"/>
              </a:ln>
            </c:spPr>
            <c:extLst>
              <c:ext xmlns:c16="http://schemas.microsoft.com/office/drawing/2014/chart" uri="{C3380CC4-5D6E-409C-BE32-E72D297353CC}">
                <c16:uniqueId val="{00000007-C6EB-40F1-A16B-F3959602CAB4}"/>
              </c:ext>
            </c:extLst>
          </c:dPt>
          <c:dPt>
            <c:idx val="5"/>
            <c:bubble3D val="0"/>
            <c:spPr>
              <a:ln w="28575" cmpd="sng">
                <a:solidFill>
                  <a:srgbClr val="969696">
                    <a:alpha val="100000"/>
                  </a:srgbClr>
                </a:solidFill>
                <a:prstDash val="dash"/>
              </a:ln>
            </c:spPr>
            <c:extLst>
              <c:ext xmlns:c16="http://schemas.microsoft.com/office/drawing/2014/chart" uri="{C3380CC4-5D6E-409C-BE32-E72D297353CC}">
                <c16:uniqueId val="{00000006-C6EB-40F1-A16B-F3959602CAB4}"/>
              </c:ext>
            </c:extLst>
          </c:dPt>
          <c:cat>
            <c:strRef>
              <c:f>Charts!$L$70:$Q$70</c:f>
              <c:strCache>
                <c:ptCount val="6"/>
                <c:pt idx="0">
                  <c:v>2023</c:v>
                </c:pt>
                <c:pt idx="1">
                  <c:v>2024</c:v>
                </c:pt>
                <c:pt idx="2">
                  <c:v>2025</c:v>
                </c:pt>
                <c:pt idx="3">
                  <c:v>2026e</c:v>
                </c:pt>
                <c:pt idx="4">
                  <c:v>2027e</c:v>
                </c:pt>
                <c:pt idx="5">
                  <c:v>2028e</c:v>
                </c:pt>
              </c:strCache>
            </c:strRef>
          </c:cat>
          <c:val>
            <c:numRef>
              <c:f>Charts!$L$72:$Q$72</c:f>
              <c:numCache>
                <c:formatCode>#,##0.0%_);\(#,##0.0%\);"-"</c:formatCode>
                <c:ptCount val="6"/>
                <c:pt idx="0">
                  <c:v>0</c:v>
                </c:pt>
                <c:pt idx="1">
                  <c:v>0.18918263400436586</c:v>
                </c:pt>
                <c:pt idx="2">
                  <c:v>0.14404255780533148</c:v>
                </c:pt>
                <c:pt idx="3">
                  <c:v>0.16975898168232995</c:v>
                </c:pt>
                <c:pt idx="4">
                  <c:v>0.24099412137377363</c:v>
                </c:pt>
                <c:pt idx="5">
                  <c:v>0.14552649513834237</c:v>
                </c:pt>
              </c:numCache>
            </c:numRef>
          </c:val>
          <c:smooth val="1"/>
          <c:extLst>
            <c:ext xmlns:c16="http://schemas.microsoft.com/office/drawing/2014/chart" uri="{C3380CC4-5D6E-409C-BE32-E72D297353CC}">
              <c16:uniqueId val="{00000007-80C7-46A0-9971-8AA0DC059C22}"/>
            </c:ext>
          </c:extLst>
        </c:ser>
        <c:dLbls>
          <c:showLegendKey val="0"/>
          <c:showVal val="0"/>
          <c:showCatName val="0"/>
          <c:showSerName val="0"/>
          <c:showPercent val="0"/>
          <c:showBubbleSize val="0"/>
        </c:dLbls>
        <c:marker val="1"/>
        <c:smooth val="0"/>
        <c:axId val="1281936368"/>
        <c:axId val="1280957376"/>
      </c:lineChart>
      <c:catAx>
        <c:axId val="1201937099"/>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crossAx val="802839090"/>
        <c:crosses val="autoZero"/>
        <c:auto val="1"/>
        <c:lblAlgn val="ctr"/>
        <c:lblOffset val="100"/>
        <c:noMultiLvlLbl val="1"/>
      </c:catAx>
      <c:valAx>
        <c:axId val="802839090"/>
        <c:scaling>
          <c:orientation val="minMax"/>
        </c:scaling>
        <c:delete val="0"/>
        <c:axPos val="l"/>
        <c:title>
          <c:tx>
            <c:rich>
              <a:bodyPr/>
              <a:lstStyle/>
              <a:p>
                <a:pPr>
                  <a:defRPr/>
                </a:pPr>
                <a:endParaRPr lang="en-US"/>
              </a:p>
            </c:rich>
          </c:tx>
          <c:overlay val="0"/>
        </c:title>
        <c:numFmt formatCode="&quot;$&quot;#,##0.00" sourceLinked="0"/>
        <c:majorTickMark val="out"/>
        <c:minorTickMark val="none"/>
        <c:tickLblPos val="nextTo"/>
        <c:spPr>
          <a:ln/>
        </c:spPr>
        <c:crossAx val="1201937099"/>
        <c:crosses val="autoZero"/>
        <c:crossBetween val="between"/>
      </c:valAx>
      <c:valAx>
        <c:axId val="1280957376"/>
        <c:scaling>
          <c:orientation val="minMax"/>
          <c:max val="0.25"/>
        </c:scaling>
        <c:delete val="0"/>
        <c:axPos val="r"/>
        <c:numFmt formatCode="0.0%" sourceLinked="0"/>
        <c:majorTickMark val="out"/>
        <c:minorTickMark val="none"/>
        <c:tickLblPos val="nextTo"/>
        <c:crossAx val="1281936368"/>
        <c:crosses val="max"/>
        <c:crossBetween val="between"/>
        <c:majorUnit val="5.000000000000001E-2"/>
      </c:valAx>
      <c:catAx>
        <c:axId val="1281936368"/>
        <c:scaling>
          <c:orientation val="minMax"/>
        </c:scaling>
        <c:delete val="1"/>
        <c:axPos val="b"/>
        <c:numFmt formatCode="General" sourceLinked="1"/>
        <c:majorTickMark val="out"/>
        <c:minorTickMark val="none"/>
        <c:tickLblPos val="nextTo"/>
        <c:crossAx val="1280957376"/>
        <c:crosses val="autoZero"/>
        <c:auto val="1"/>
        <c:lblAlgn val="ctr"/>
        <c:lblOffset val="100"/>
        <c:noMultiLvlLbl val="0"/>
      </c:catAx>
    </c:plotArea>
    <c:legend>
      <c:legendPos val="b"/>
      <c:overlay val="0"/>
    </c:legend>
    <c:plotVisOnly val="1"/>
    <c:dispBlanksAs val="zero"/>
    <c:showDLblsOverMax val="1"/>
  </c:chart>
  <c:txPr>
    <a:bodyPr/>
    <a:lstStyle/>
    <a:p>
      <a:pPr>
        <a:defRPr sz="800">
          <a:latin typeface="Abadi Extra Light" panose="020F050202020403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a:latin typeface="Abadi" panose="020B0604020104020204" pitchFamily="34" charset="0"/>
              </a:defRPr>
            </a:pPr>
            <a:r>
              <a:rPr lang="en-US" sz="1000">
                <a:latin typeface="Abadi" panose="020B0604020104020204" pitchFamily="34" charset="0"/>
              </a:rPr>
              <a:t>AXP - Debt Distribution</a:t>
            </a:r>
          </a:p>
        </c:rich>
      </c:tx>
      <c:layout>
        <c:manualLayout>
          <c:xMode val="edge"/>
          <c:yMode val="edge"/>
          <c:x val="0.30952131414607659"/>
          <c:y val="4.5977011494252873E-2"/>
        </c:manualLayout>
      </c:layout>
      <c:overlay val="0"/>
    </c:title>
    <c:autoTitleDeleted val="0"/>
    <c:plotArea>
      <c:layout>
        <c:manualLayout>
          <c:layoutTarget val="inner"/>
          <c:xMode val="edge"/>
          <c:yMode val="edge"/>
          <c:x val="0.15352062148010395"/>
          <c:y val="0.19759974957258783"/>
          <c:w val="0.80962845724686439"/>
          <c:h val="0.44701870981723613"/>
        </c:manualLayout>
      </c:layout>
      <c:barChart>
        <c:barDir val="col"/>
        <c:grouping val="stacked"/>
        <c:varyColors val="1"/>
        <c:ser>
          <c:idx val="0"/>
          <c:order val="0"/>
          <c:tx>
            <c:v>Revolver Outstanding</c:v>
          </c:tx>
          <c:spPr>
            <a:solidFill>
              <a:srgbClr val="969696"/>
            </a:solidFill>
            <a:ln cmpd="sng">
              <a:solidFill>
                <a:srgbClr val="000000"/>
              </a:solidFill>
            </a:ln>
          </c:spPr>
          <c:invertIfNegative val="1"/>
          <c:cat>
            <c:numRef>
              <c:f>Charts!$D$135:$Q$135</c:f>
              <c:numCache>
                <c:formatCode>0</c:formatCode>
                <c:ptCount val="14"/>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numCache>
            </c:numRef>
          </c:cat>
          <c:val>
            <c:numRef>
              <c:f>Charts!$D$136:$Q$136</c:f>
              <c:numCache>
                <c:formatCode>"$"#,##0_);\("$"#,##0\)</c:formatCode>
                <c:ptCount val="14"/>
                <c:pt idx="0">
                  <c:v>0</c:v>
                </c:pt>
                <c:pt idx="1">
                  <c:v>0</c:v>
                </c:pt>
                <c:pt idx="2">
                  <c:v>1980</c:v>
                </c:pt>
                <c:pt idx="3">
                  <c:v>0</c:v>
                </c:pt>
                <c:pt idx="4">
                  <c:v>1020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C96-47CB-B629-C46C27F57964}"/>
            </c:ext>
          </c:extLst>
        </c:ser>
        <c:ser>
          <c:idx val="1"/>
          <c:order val="1"/>
          <c:tx>
            <c:v>Bond Principal</c:v>
          </c:tx>
          <c:spPr>
            <a:solidFill>
              <a:srgbClr val="00355F"/>
            </a:solidFill>
            <a:ln cmpd="sng">
              <a:solidFill>
                <a:srgbClr val="000000"/>
              </a:solidFill>
            </a:ln>
          </c:spPr>
          <c:invertIfNegative val="1"/>
          <c:cat>
            <c:numRef>
              <c:f>Charts!$D$135:$Q$135</c:f>
              <c:numCache>
                <c:formatCode>0</c:formatCode>
                <c:ptCount val="14"/>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numCache>
            </c:numRef>
          </c:cat>
          <c:val>
            <c:numRef>
              <c:f>Charts!$D$137:$Q$137</c:f>
              <c:numCache>
                <c:formatCode>#,##0_);\(#,##0\)</c:formatCode>
                <c:ptCount val="14"/>
                <c:pt idx="0">
                  <c:v>1025</c:v>
                </c:pt>
                <c:pt idx="1">
                  <c:v>760</c:v>
                </c:pt>
                <c:pt idx="2">
                  <c:v>505</c:v>
                </c:pt>
                <c:pt idx="3">
                  <c:v>450</c:v>
                </c:pt>
                <c:pt idx="4">
                  <c:v>1500</c:v>
                </c:pt>
                <c:pt idx="5">
                  <c:v>1350</c:v>
                </c:pt>
                <c:pt idx="6">
                  <c:v>1618</c:v>
                </c:pt>
                <c:pt idx="7">
                  <c:v>225</c:v>
                </c:pt>
                <c:pt idx="8">
                  <c:v>1811</c:v>
                </c:pt>
                <c:pt idx="9">
                  <c:v>1250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C96-47CB-B629-C46C27F57964}"/>
            </c:ext>
          </c:extLst>
        </c:ser>
        <c:ser>
          <c:idx val="2"/>
          <c:order val="2"/>
          <c:tx>
            <c:v>TL Outstanding</c:v>
          </c:tx>
          <c:spPr>
            <a:solidFill>
              <a:srgbClr val="C0DEF6"/>
            </a:solidFill>
            <a:ln cmpd="sng">
              <a:solidFill>
                <a:srgbClr val="000000"/>
              </a:solidFill>
            </a:ln>
          </c:spPr>
          <c:invertIfNegative val="1"/>
          <c:cat>
            <c:numRef>
              <c:f>Charts!$D$135:$Q$135</c:f>
              <c:numCache>
                <c:formatCode>0</c:formatCode>
                <c:ptCount val="14"/>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numCache>
            </c:numRef>
          </c:cat>
          <c:val>
            <c:numRef>
              <c:f>Charts!$D$138:$Q$138</c:f>
              <c:numCache>
                <c:formatCode>#,##0_);\(#,##0\)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C96-47CB-B629-C46C27F57964}"/>
            </c:ext>
          </c:extLst>
        </c:ser>
        <c:dLbls>
          <c:showLegendKey val="0"/>
          <c:showVal val="0"/>
          <c:showCatName val="0"/>
          <c:showSerName val="0"/>
          <c:showPercent val="0"/>
          <c:showBubbleSize val="0"/>
        </c:dLbls>
        <c:gapWidth val="150"/>
        <c:overlap val="100"/>
        <c:axId val="2008950740"/>
        <c:axId val="258514903"/>
      </c:barChart>
      <c:catAx>
        <c:axId val="2008950740"/>
        <c:scaling>
          <c:orientation val="minMax"/>
        </c:scaling>
        <c:delete val="0"/>
        <c:axPos val="b"/>
        <c:title>
          <c:tx>
            <c:rich>
              <a:bodyPr/>
              <a:lstStyle/>
              <a:p>
                <a:pPr>
                  <a:defRPr/>
                </a:pPr>
                <a:endParaRPr lang="en-US"/>
              </a:p>
            </c:rich>
          </c:tx>
          <c:overlay val="0"/>
        </c:title>
        <c:numFmt formatCode="0" sourceLinked="1"/>
        <c:majorTickMark val="out"/>
        <c:minorTickMark val="none"/>
        <c:tickLblPos val="nextTo"/>
        <c:txPr>
          <a:bodyPr rot="-2700000"/>
          <a:lstStyle/>
          <a:p>
            <a:pPr>
              <a:defRPr/>
            </a:pPr>
            <a:endParaRPr lang="en-US"/>
          </a:p>
        </c:txPr>
        <c:crossAx val="258514903"/>
        <c:crosses val="autoZero"/>
        <c:auto val="1"/>
        <c:lblAlgn val="ctr"/>
        <c:lblOffset val="100"/>
        <c:noMultiLvlLbl val="1"/>
      </c:catAx>
      <c:valAx>
        <c:axId val="258514903"/>
        <c:scaling>
          <c:orientation val="minMax"/>
          <c:max val="6000"/>
        </c:scaling>
        <c:delete val="0"/>
        <c:axPos val="l"/>
        <c:title>
          <c:tx>
            <c:rich>
              <a:bodyPr/>
              <a:lstStyle/>
              <a:p>
                <a:pPr>
                  <a:defRPr/>
                </a:pPr>
                <a:endParaRPr lang="en-US"/>
              </a:p>
            </c:rich>
          </c:tx>
          <c:overlay val="0"/>
        </c:title>
        <c:numFmt formatCode="&quot;$&quot;#,##0" sourceLinked="0"/>
        <c:majorTickMark val="out"/>
        <c:minorTickMark val="none"/>
        <c:tickLblPos val="nextTo"/>
        <c:spPr>
          <a:ln/>
        </c:spPr>
        <c:crossAx val="2008950740"/>
        <c:crosses val="autoZero"/>
        <c:crossBetween val="between"/>
        <c:majorUnit val="2000"/>
      </c:valAx>
    </c:plotArea>
    <c:legend>
      <c:legendPos val="b"/>
      <c:overlay val="0"/>
    </c:legend>
    <c:plotVisOnly val="1"/>
    <c:dispBlanksAs val="zero"/>
    <c:showDLblsOverMax val="1"/>
  </c:chart>
  <c:txPr>
    <a:bodyPr/>
    <a:lstStyle/>
    <a:p>
      <a:pPr>
        <a:defRPr sz="800" b="0">
          <a:latin typeface="Abadi Extra Light" panose="020F050202020403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latin typeface="Abadi" panose="020B0604020104020204" pitchFamily="34" charset="0"/>
              </a:defRPr>
            </a:pPr>
            <a:r>
              <a:rPr lang="en-US">
                <a:latin typeface="Abadi" panose="020B0604020104020204" pitchFamily="34" charset="0"/>
              </a:rPr>
              <a:t>Total Company Revenue</a:t>
            </a:r>
          </a:p>
        </c:rich>
      </c:tx>
      <c:overlay val="0"/>
    </c:title>
    <c:autoTitleDeleted val="0"/>
    <c:plotArea>
      <c:layout/>
      <c:barChart>
        <c:barDir val="col"/>
        <c:grouping val="clustered"/>
        <c:varyColors val="1"/>
        <c:ser>
          <c:idx val="0"/>
          <c:order val="0"/>
          <c:tx>
            <c:v>Total Company Revenue</c:v>
          </c:tx>
          <c:spPr>
            <a:solidFill>
              <a:srgbClr val="00355F"/>
            </a:solidFill>
            <a:ln cmpd="sng">
              <a:solidFill>
                <a:srgbClr val="000000"/>
              </a:solidFill>
            </a:ln>
          </c:spPr>
          <c:invertIfNegative val="1"/>
          <c:dPt>
            <c:idx val="7"/>
            <c:invertIfNegative val="1"/>
            <c:bubble3D val="0"/>
            <c:spPr>
              <a:solidFill>
                <a:srgbClr val="C0DEF6"/>
              </a:solidFill>
              <a:ln cmpd="sng">
                <a:solidFill>
                  <a:srgbClr val="000000"/>
                </a:solidFill>
              </a:ln>
            </c:spPr>
            <c:extLst>
              <c:ext xmlns:c16="http://schemas.microsoft.com/office/drawing/2014/chart" uri="{C3380CC4-5D6E-409C-BE32-E72D297353CC}">
                <c16:uniqueId val="{00000001-F406-4F35-A819-7D133B27C71C}"/>
              </c:ext>
            </c:extLst>
          </c:dPt>
          <c:dPt>
            <c:idx val="8"/>
            <c:invertIfNegative val="1"/>
            <c:bubble3D val="0"/>
            <c:spPr>
              <a:solidFill>
                <a:srgbClr val="C0DEF6"/>
              </a:solidFill>
              <a:ln cmpd="sng">
                <a:solidFill>
                  <a:srgbClr val="000000"/>
                </a:solidFill>
              </a:ln>
            </c:spPr>
            <c:extLst>
              <c:ext xmlns:c16="http://schemas.microsoft.com/office/drawing/2014/chart" uri="{C3380CC4-5D6E-409C-BE32-E72D297353CC}">
                <c16:uniqueId val="{00000003-F406-4F35-A819-7D133B27C71C}"/>
              </c:ext>
            </c:extLst>
          </c:dPt>
          <c:dPt>
            <c:idx val="9"/>
            <c:invertIfNegative val="1"/>
            <c:bubble3D val="0"/>
            <c:spPr>
              <a:solidFill>
                <a:srgbClr val="C0DEF6"/>
              </a:solidFill>
              <a:ln cmpd="sng">
                <a:solidFill>
                  <a:srgbClr val="000000"/>
                </a:solidFill>
              </a:ln>
            </c:spPr>
            <c:extLst>
              <c:ext xmlns:c16="http://schemas.microsoft.com/office/drawing/2014/chart" uri="{C3380CC4-5D6E-409C-BE32-E72D297353CC}">
                <c16:uniqueId val="{00000005-F406-4F35-A819-7D133B27C71C}"/>
              </c:ext>
            </c:extLst>
          </c:dPt>
          <c:cat>
            <c:strRef>
              <c:f>Charts!$D$90:$Q$90</c:f>
              <c:strCache>
                <c:ptCount val="14"/>
                <c:pt idx="0">
                  <c:v>2019</c:v>
                </c:pt>
                <c:pt idx="1">
                  <c:v>2020</c:v>
                </c:pt>
                <c:pt idx="2">
                  <c:v>2021</c:v>
                </c:pt>
                <c:pt idx="3">
                  <c:v>2022</c:v>
                </c:pt>
                <c:pt idx="4">
                  <c:v>2023</c:v>
                </c:pt>
                <c:pt idx="5">
                  <c:v>2024</c:v>
                </c:pt>
                <c:pt idx="6">
                  <c:v>2025</c:v>
                </c:pt>
                <c:pt idx="7">
                  <c:v>2026e</c:v>
                </c:pt>
                <c:pt idx="8">
                  <c:v>2027e</c:v>
                </c:pt>
                <c:pt idx="9">
                  <c:v>2028e</c:v>
                </c:pt>
                <c:pt idx="10">
                  <c:v>2023 YTD</c:v>
                </c:pt>
                <c:pt idx="11">
                  <c:v>2025 YTD</c:v>
                </c:pt>
                <c:pt idx="12">
                  <c:v>2026 YTD</c:v>
                </c:pt>
                <c:pt idx="13">
                  <c:v>2027 YTD</c:v>
                </c:pt>
              </c:strCache>
            </c:strRef>
          </c:cat>
          <c:val>
            <c:numRef>
              <c:f>Charts!$D$91:$Q$91</c:f>
              <c:numCache>
                <c:formatCode>"$"#,##0_);\("$"#,##0\)</c:formatCode>
                <c:ptCount val="14"/>
                <c:pt idx="0">
                  <c:v>56223</c:v>
                </c:pt>
                <c:pt idx="1">
                  <c:v>59074</c:v>
                </c:pt>
                <c:pt idx="2">
                  <c:v>65017</c:v>
                </c:pt>
                <c:pt idx="3">
                  <c:v>68619</c:v>
                </c:pt>
                <c:pt idx="4">
                  <c:v>67364</c:v>
                </c:pt>
                <c:pt idx="5">
                  <c:v>74201</c:v>
                </c:pt>
                <c:pt idx="6">
                  <c:v>80463</c:v>
                </c:pt>
                <c:pt idx="7">
                  <c:v>88057.04232919999</c:v>
                </c:pt>
                <c:pt idx="8">
                  <c:v>97549.503798841877</c:v>
                </c:pt>
                <c:pt idx="9">
                  <c:v>104638.90724681984</c:v>
                </c:pt>
                <c:pt idx="10">
                  <c:v>17807</c:v>
                </c:pt>
                <c:pt idx="11">
                  <c:v>18933</c:v>
                </c:pt>
                <c:pt idx="12">
                  <c:v>20880</c:v>
                </c:pt>
                <c:pt idx="13">
                  <c:v>21729.202999999998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F406-4F35-A819-7D133B27C71C}"/>
            </c:ext>
          </c:extLst>
        </c:ser>
        <c:dLbls>
          <c:showLegendKey val="0"/>
          <c:showVal val="0"/>
          <c:showCatName val="0"/>
          <c:showSerName val="0"/>
          <c:showPercent val="0"/>
          <c:showBubbleSize val="0"/>
        </c:dLbls>
        <c:gapWidth val="150"/>
        <c:axId val="212816672"/>
        <c:axId val="333205806"/>
      </c:barChart>
      <c:lineChart>
        <c:grouping val="standard"/>
        <c:varyColors val="0"/>
        <c:ser>
          <c:idx val="1"/>
          <c:order val="1"/>
          <c:tx>
            <c:v>Growth Rate YoY %</c:v>
          </c:tx>
          <c:spPr>
            <a:ln w="28575" cmpd="sng">
              <a:solidFill>
                <a:srgbClr val="969696">
                  <a:alpha val="100000"/>
                </a:srgbClr>
              </a:solidFill>
            </a:ln>
          </c:spPr>
          <c:marker>
            <c:symbol val="none"/>
          </c:marker>
          <c:cat>
            <c:strRef>
              <c:f>Charts!$D$90:$Q$90</c:f>
              <c:strCache>
                <c:ptCount val="14"/>
                <c:pt idx="0">
                  <c:v>2019</c:v>
                </c:pt>
                <c:pt idx="1">
                  <c:v>2020</c:v>
                </c:pt>
                <c:pt idx="2">
                  <c:v>2021</c:v>
                </c:pt>
                <c:pt idx="3">
                  <c:v>2022</c:v>
                </c:pt>
                <c:pt idx="4">
                  <c:v>2023</c:v>
                </c:pt>
                <c:pt idx="5">
                  <c:v>2024</c:v>
                </c:pt>
                <c:pt idx="6">
                  <c:v>2025</c:v>
                </c:pt>
                <c:pt idx="7">
                  <c:v>2026e</c:v>
                </c:pt>
                <c:pt idx="8">
                  <c:v>2027e</c:v>
                </c:pt>
                <c:pt idx="9">
                  <c:v>2028e</c:v>
                </c:pt>
                <c:pt idx="10">
                  <c:v>2023 YTD</c:v>
                </c:pt>
                <c:pt idx="11">
                  <c:v>2025 YTD</c:v>
                </c:pt>
                <c:pt idx="12">
                  <c:v>2026 YTD</c:v>
                </c:pt>
                <c:pt idx="13">
                  <c:v>2027 YTD</c:v>
                </c:pt>
              </c:strCache>
            </c:strRef>
          </c:cat>
          <c:val>
            <c:numRef>
              <c:f>Charts!$D$92:$Q$92</c:f>
              <c:numCache>
                <c:formatCode>#,##0.0%_);\(#,##0.0%\);"-"</c:formatCode>
                <c:ptCount val="14"/>
                <c:pt idx="0">
                  <c:v>0</c:v>
                </c:pt>
                <c:pt idx="1">
                  <c:v>5.0708784661081863E-2</c:v>
                </c:pt>
                <c:pt idx="2">
                  <c:v>0.10060263398449409</c:v>
                </c:pt>
                <c:pt idx="3">
                  <c:v>5.5400895150499174E-2</c:v>
                </c:pt>
                <c:pt idx="4">
                  <c:v>-1.8289395065506642E-2</c:v>
                </c:pt>
                <c:pt idx="5">
                  <c:v>0.10149337925301349</c:v>
                </c:pt>
                <c:pt idx="6">
                  <c:v>8.4392393633508922E-2</c:v>
                </c:pt>
                <c:pt idx="7">
                  <c:v>9.4379308864944056E-2</c:v>
                </c:pt>
                <c:pt idx="8">
                  <c:v>0.10779900412910148</c:v>
                </c:pt>
                <c:pt idx="9">
                  <c:v>7.2674930900695545E-2</c:v>
                </c:pt>
                <c:pt idx="10">
                  <c:v>0.17499999999999999</c:v>
                </c:pt>
                <c:pt idx="11">
                  <c:v>6.3233559836019637E-2</c:v>
                </c:pt>
                <c:pt idx="12">
                  <c:v>0.1028363175408018</c:v>
                </c:pt>
                <c:pt idx="13">
                  <c:v>4.0670641762452053E-2</c:v>
                </c:pt>
              </c:numCache>
            </c:numRef>
          </c:val>
          <c:smooth val="1"/>
          <c:extLst>
            <c:ext xmlns:c16="http://schemas.microsoft.com/office/drawing/2014/chart" uri="{C3380CC4-5D6E-409C-BE32-E72D297353CC}">
              <c16:uniqueId val="{00000007-F406-4F35-A819-7D133B27C71C}"/>
            </c:ext>
          </c:extLst>
        </c:ser>
        <c:dLbls>
          <c:showLegendKey val="0"/>
          <c:showVal val="0"/>
          <c:showCatName val="0"/>
          <c:showSerName val="0"/>
          <c:showPercent val="0"/>
          <c:showBubbleSize val="0"/>
        </c:dLbls>
        <c:marker val="1"/>
        <c:smooth val="0"/>
        <c:axId val="1495684272"/>
        <c:axId val="664945520"/>
      </c:lineChart>
      <c:catAx>
        <c:axId val="212816672"/>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crossAx val="333205806"/>
        <c:crosses val="autoZero"/>
        <c:auto val="1"/>
        <c:lblAlgn val="ctr"/>
        <c:lblOffset val="100"/>
        <c:noMultiLvlLbl val="1"/>
      </c:catAx>
      <c:valAx>
        <c:axId val="333205806"/>
        <c:scaling>
          <c:orientation val="minMax"/>
          <c:max val="125000"/>
        </c:scaling>
        <c:delete val="0"/>
        <c:axPos val="l"/>
        <c:title>
          <c:tx>
            <c:rich>
              <a:bodyPr/>
              <a:lstStyle/>
              <a:p>
                <a:pPr>
                  <a:defRPr/>
                </a:pPr>
                <a:endParaRPr lang="en-US"/>
              </a:p>
            </c:rich>
          </c:tx>
          <c:overlay val="0"/>
        </c:title>
        <c:numFmt formatCode="&quot;$&quot;#,##0" sourceLinked="0"/>
        <c:majorTickMark val="out"/>
        <c:minorTickMark val="none"/>
        <c:tickLblPos val="nextTo"/>
        <c:spPr>
          <a:ln/>
        </c:spPr>
        <c:crossAx val="212816672"/>
        <c:crosses val="autoZero"/>
        <c:crossBetween val="between"/>
        <c:majorUnit val="25000"/>
      </c:valAx>
      <c:valAx>
        <c:axId val="664945520"/>
        <c:scaling>
          <c:orientation val="minMax"/>
        </c:scaling>
        <c:delete val="0"/>
        <c:axPos val="r"/>
        <c:numFmt formatCode="0.0%;\(0.0%\)" sourceLinked="0"/>
        <c:majorTickMark val="out"/>
        <c:minorTickMark val="none"/>
        <c:tickLblPos val="nextTo"/>
        <c:crossAx val="1495684272"/>
        <c:crosses val="max"/>
        <c:crossBetween val="between"/>
        <c:majorUnit val="0.25"/>
      </c:valAx>
      <c:catAx>
        <c:axId val="1495684272"/>
        <c:scaling>
          <c:orientation val="minMax"/>
        </c:scaling>
        <c:delete val="1"/>
        <c:axPos val="b"/>
        <c:numFmt formatCode="General" sourceLinked="1"/>
        <c:majorTickMark val="out"/>
        <c:minorTickMark val="none"/>
        <c:tickLblPos val="nextTo"/>
        <c:crossAx val="664945520"/>
        <c:crosses val="autoZero"/>
        <c:auto val="1"/>
        <c:lblAlgn val="ctr"/>
        <c:lblOffset val="100"/>
        <c:noMultiLvlLbl val="0"/>
      </c:catAx>
    </c:plotArea>
    <c:legend>
      <c:legendPos val="b"/>
      <c:overlay val="0"/>
    </c:legend>
    <c:plotVisOnly val="1"/>
    <c:dispBlanksAs val="zero"/>
    <c:showDLblsOverMax val="1"/>
  </c:chart>
  <c:txPr>
    <a:bodyPr/>
    <a:lstStyle/>
    <a:p>
      <a:pPr>
        <a:defRPr sz="800" b="0">
          <a:solidFill>
            <a:sysClr val="windowText" lastClr="000000"/>
          </a:solidFill>
          <a:latin typeface="Abadi Extra Light" panose="020F050202020403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xMode val="edge"/>
          <c:yMode val="edge"/>
          <c:x val="0.28188187034641066"/>
          <c:y val="0.14039669815553707"/>
          <c:w val="0.44362787465450026"/>
          <c:h val="0.68060695433912899"/>
        </c:manualLayout>
      </c:layout>
      <c:doughnutChart>
        <c:varyColors val="1"/>
        <c:ser>
          <c:idx val="0"/>
          <c:order val="0"/>
          <c:tx>
            <c:strRef>
              <c:f>Charts!$C$117</c:f>
              <c:strCache>
                <c:ptCount val="1"/>
                <c:pt idx="0">
                  <c:v>Segment Revenue</c:v>
                </c:pt>
              </c:strCache>
            </c:strRef>
          </c:tx>
          <c:dPt>
            <c:idx val="0"/>
            <c:bubble3D val="0"/>
            <c:spPr>
              <a:solidFill>
                <a:srgbClr val="760000"/>
              </a:solidFill>
            </c:spPr>
            <c:extLst>
              <c:ext xmlns:c16="http://schemas.microsoft.com/office/drawing/2014/chart" uri="{C3380CC4-5D6E-409C-BE32-E72D297353CC}">
                <c16:uniqueId val="{00000001-ED8F-47DE-8991-D828593FF6E1}"/>
              </c:ext>
            </c:extLst>
          </c:dPt>
          <c:dPt>
            <c:idx val="1"/>
            <c:bubble3D val="0"/>
            <c:spPr>
              <a:solidFill>
                <a:srgbClr val="00355F"/>
              </a:solidFill>
            </c:spPr>
            <c:extLst>
              <c:ext xmlns:c16="http://schemas.microsoft.com/office/drawing/2014/chart" uri="{C3380CC4-5D6E-409C-BE32-E72D297353CC}">
                <c16:uniqueId val="{00000002-B9E4-4B33-9194-6607966D2597}"/>
              </c:ext>
            </c:extLst>
          </c:dPt>
          <c:dPt>
            <c:idx val="2"/>
            <c:bubble3D val="0"/>
            <c:spPr>
              <a:solidFill>
                <a:srgbClr val="C0DEF6"/>
              </a:solidFill>
            </c:spPr>
            <c:extLst>
              <c:ext xmlns:c16="http://schemas.microsoft.com/office/drawing/2014/chart" uri="{C3380CC4-5D6E-409C-BE32-E72D297353CC}">
                <c16:uniqueId val="{00000003-B9E4-4B33-9194-6607966D2597}"/>
              </c:ext>
            </c:extLst>
          </c:dPt>
          <c:dPt>
            <c:idx val="3"/>
            <c:bubble3D val="0"/>
            <c:spPr>
              <a:solidFill>
                <a:srgbClr val="EBEBEB"/>
              </a:solidFill>
            </c:spPr>
            <c:extLst>
              <c:ext xmlns:c16="http://schemas.microsoft.com/office/drawing/2014/chart" uri="{C3380CC4-5D6E-409C-BE32-E72D297353CC}">
                <c16:uniqueId val="{00000005-B9E4-4B33-9194-6607966D2597}"/>
              </c:ext>
            </c:extLst>
          </c:dPt>
          <c:dLbls>
            <c:dLbl>
              <c:idx val="0"/>
              <c:spPr>
                <a:noFill/>
                <a:ln>
                  <a:noFill/>
                </a:ln>
                <a:effectLst/>
              </c:spPr>
              <c:txPr>
                <a:bodyPr/>
                <a:lstStyle/>
                <a:p>
                  <a:pPr>
                    <a:defRPr>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1-ED8F-47DE-8991-D828593FF6E1}"/>
                </c:ext>
              </c:extLst>
            </c:dLbl>
            <c:dLbl>
              <c:idx val="1"/>
              <c:spPr>
                <a:noFill/>
                <a:ln>
                  <a:noFill/>
                </a:ln>
                <a:effectLst/>
              </c:spPr>
              <c:txPr>
                <a:bodyPr/>
                <a:lstStyle/>
                <a:p>
                  <a:pPr>
                    <a:defRPr>
                      <a:solidFill>
                        <a:schemeClr val="bg1"/>
                      </a:solidFill>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9E4-4B33-9194-6607966D2597}"/>
                </c:ext>
              </c:extLst>
            </c:dLbl>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Charts!$D$116:$G$116</c:f>
              <c:strCache>
                <c:ptCount val="4"/>
                <c:pt idx="0">
                  <c:v>Discount</c:v>
                </c:pt>
                <c:pt idx="1">
                  <c:v>Net Card Fees</c:v>
                </c:pt>
                <c:pt idx="2">
                  <c:v>Service Fees and Other</c:v>
                </c:pt>
                <c:pt idx="3">
                  <c:v>Interest Income</c:v>
                </c:pt>
              </c:strCache>
            </c:strRef>
          </c:cat>
          <c:val>
            <c:numRef>
              <c:f>Charts!$D$117:$G$117</c:f>
              <c:numCache>
                <c:formatCode>0%</c:formatCode>
                <c:ptCount val="4"/>
                <c:pt idx="0">
                  <c:v>0.46482234070318035</c:v>
                </c:pt>
                <c:pt idx="1">
                  <c:v>0.12419372879460125</c:v>
                </c:pt>
                <c:pt idx="2">
                  <c:v>9.2850129873357945E-2</c:v>
                </c:pt>
                <c:pt idx="3">
                  <c:v>0.31813380062886049</c:v>
                </c:pt>
              </c:numCache>
            </c:numRef>
          </c:val>
          <c:extLst>
            <c:ext xmlns:c16="http://schemas.microsoft.com/office/drawing/2014/chart" uri="{C3380CC4-5D6E-409C-BE32-E72D297353CC}">
              <c16:uniqueId val="{00000002-ED8F-47DE-8991-D828593FF6E1}"/>
            </c:ext>
          </c:extLst>
        </c:ser>
        <c:dLbls>
          <c:showLegendKey val="0"/>
          <c:showVal val="0"/>
          <c:showCatName val="0"/>
          <c:showSerName val="0"/>
          <c:showPercent val="0"/>
          <c:showBubbleSize val="0"/>
          <c:showLeaderLines val="1"/>
        </c:dLbls>
        <c:firstSliceAng val="0"/>
        <c:holeSize val="50"/>
      </c:doughnutChart>
    </c:plotArea>
    <c:legend>
      <c:legendPos val="b"/>
      <c:overlay val="0"/>
    </c:legend>
    <c:plotVisOnly val="1"/>
    <c:dispBlanksAs val="zero"/>
    <c:showDLblsOverMax val="1"/>
  </c:chart>
  <c:txPr>
    <a:bodyPr/>
    <a:lstStyle/>
    <a:p>
      <a:pPr>
        <a:defRPr sz="800">
          <a:solidFill>
            <a:sysClr val="windowText" lastClr="000000"/>
          </a:solidFill>
          <a:latin typeface="Abadi Extra Light" panose="020F050202020403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9.9454125611347755E-2"/>
          <c:y val="7.1924437538953112E-2"/>
          <c:w val="0.89618289517089067"/>
          <c:h val="0.7598553358087764"/>
        </c:manualLayout>
      </c:layout>
      <c:lineChart>
        <c:grouping val="standard"/>
        <c:varyColors val="1"/>
        <c:ser>
          <c:idx val="0"/>
          <c:order val="0"/>
          <c:tx>
            <c:strRef>
              <c:f>Charts!$D$179</c:f>
              <c:strCache>
                <c:ptCount val="1"/>
                <c:pt idx="0">
                  <c:v>Last Price</c:v>
                </c:pt>
              </c:strCache>
            </c:strRef>
          </c:tx>
          <c:spPr>
            <a:ln w="19050" cmpd="sng">
              <a:solidFill>
                <a:srgbClr val="00355F">
                  <a:alpha val="100000"/>
                </a:srgbClr>
              </a:solidFill>
            </a:ln>
          </c:spPr>
          <c:marker>
            <c:symbol val="none"/>
          </c:marker>
          <c:cat>
            <c:numRef>
              <c:f>Charts!$C$180:$C$431</c:f>
              <c:numCache>
                <c:formatCode>mm/dd/yyyy</c:formatCode>
                <c:ptCount val="252"/>
                <c:pt idx="0" formatCode="m/d/yyyy">
                  <c:v>46297</c:v>
                </c:pt>
                <c:pt idx="1">
                  <c:v>46114</c:v>
                </c:pt>
                <c:pt idx="2">
                  <c:v>46113</c:v>
                </c:pt>
                <c:pt idx="3">
                  <c:v>46112</c:v>
                </c:pt>
                <c:pt idx="4">
                  <c:v>46111</c:v>
                </c:pt>
                <c:pt idx="5">
                  <c:v>46108</c:v>
                </c:pt>
                <c:pt idx="6">
                  <c:v>46107</c:v>
                </c:pt>
                <c:pt idx="7">
                  <c:v>46106</c:v>
                </c:pt>
                <c:pt idx="8">
                  <c:v>46105</c:v>
                </c:pt>
                <c:pt idx="9">
                  <c:v>46104</c:v>
                </c:pt>
                <c:pt idx="10">
                  <c:v>46101</c:v>
                </c:pt>
                <c:pt idx="11">
                  <c:v>46100</c:v>
                </c:pt>
                <c:pt idx="12">
                  <c:v>46099</c:v>
                </c:pt>
                <c:pt idx="13">
                  <c:v>46098</c:v>
                </c:pt>
                <c:pt idx="14">
                  <c:v>46097</c:v>
                </c:pt>
                <c:pt idx="15">
                  <c:v>46094</c:v>
                </c:pt>
                <c:pt idx="16">
                  <c:v>46093</c:v>
                </c:pt>
                <c:pt idx="17">
                  <c:v>46092</c:v>
                </c:pt>
                <c:pt idx="18">
                  <c:v>46091</c:v>
                </c:pt>
                <c:pt idx="19">
                  <c:v>46090</c:v>
                </c:pt>
                <c:pt idx="20">
                  <c:v>46087</c:v>
                </c:pt>
                <c:pt idx="21">
                  <c:v>46086</c:v>
                </c:pt>
                <c:pt idx="22">
                  <c:v>46085</c:v>
                </c:pt>
                <c:pt idx="23">
                  <c:v>46084</c:v>
                </c:pt>
                <c:pt idx="24">
                  <c:v>46083</c:v>
                </c:pt>
                <c:pt idx="25">
                  <c:v>46080</c:v>
                </c:pt>
                <c:pt idx="26">
                  <c:v>46079</c:v>
                </c:pt>
                <c:pt idx="27">
                  <c:v>46078</c:v>
                </c:pt>
                <c:pt idx="28">
                  <c:v>46077</c:v>
                </c:pt>
                <c:pt idx="29">
                  <c:v>46076</c:v>
                </c:pt>
                <c:pt idx="30">
                  <c:v>46073</c:v>
                </c:pt>
                <c:pt idx="31">
                  <c:v>46072</c:v>
                </c:pt>
                <c:pt idx="32">
                  <c:v>46071</c:v>
                </c:pt>
                <c:pt idx="33">
                  <c:v>46070</c:v>
                </c:pt>
                <c:pt idx="34">
                  <c:v>46066</c:v>
                </c:pt>
                <c:pt idx="35">
                  <c:v>46065</c:v>
                </c:pt>
                <c:pt idx="36">
                  <c:v>46064</c:v>
                </c:pt>
                <c:pt idx="37">
                  <c:v>46063</c:v>
                </c:pt>
                <c:pt idx="38">
                  <c:v>46062</c:v>
                </c:pt>
                <c:pt idx="39">
                  <c:v>46059</c:v>
                </c:pt>
                <c:pt idx="40">
                  <c:v>46058</c:v>
                </c:pt>
                <c:pt idx="41">
                  <c:v>46057</c:v>
                </c:pt>
                <c:pt idx="42">
                  <c:v>46056</c:v>
                </c:pt>
                <c:pt idx="43">
                  <c:v>46055</c:v>
                </c:pt>
                <c:pt idx="44">
                  <c:v>46052</c:v>
                </c:pt>
                <c:pt idx="45">
                  <c:v>46051</c:v>
                </c:pt>
                <c:pt idx="46">
                  <c:v>46050</c:v>
                </c:pt>
                <c:pt idx="47">
                  <c:v>46049</c:v>
                </c:pt>
                <c:pt idx="48">
                  <c:v>46048</c:v>
                </c:pt>
                <c:pt idx="49">
                  <c:v>46045</c:v>
                </c:pt>
                <c:pt idx="50">
                  <c:v>46044</c:v>
                </c:pt>
                <c:pt idx="51">
                  <c:v>46043</c:v>
                </c:pt>
                <c:pt idx="52">
                  <c:v>46042</c:v>
                </c:pt>
                <c:pt idx="53">
                  <c:v>46038</c:v>
                </c:pt>
                <c:pt idx="54">
                  <c:v>46037</c:v>
                </c:pt>
                <c:pt idx="55">
                  <c:v>46036</c:v>
                </c:pt>
                <c:pt idx="56">
                  <c:v>46035</c:v>
                </c:pt>
                <c:pt idx="57">
                  <c:v>46034</c:v>
                </c:pt>
                <c:pt idx="58">
                  <c:v>46031</c:v>
                </c:pt>
                <c:pt idx="59">
                  <c:v>46030</c:v>
                </c:pt>
                <c:pt idx="60">
                  <c:v>46029</c:v>
                </c:pt>
                <c:pt idx="61">
                  <c:v>46028</c:v>
                </c:pt>
                <c:pt idx="62">
                  <c:v>46027</c:v>
                </c:pt>
                <c:pt idx="63">
                  <c:v>46024</c:v>
                </c:pt>
                <c:pt idx="64">
                  <c:v>46022</c:v>
                </c:pt>
                <c:pt idx="65">
                  <c:v>46021</c:v>
                </c:pt>
                <c:pt idx="66">
                  <c:v>46020</c:v>
                </c:pt>
                <c:pt idx="67">
                  <c:v>46017</c:v>
                </c:pt>
                <c:pt idx="68">
                  <c:v>46015</c:v>
                </c:pt>
                <c:pt idx="69">
                  <c:v>46014</c:v>
                </c:pt>
                <c:pt idx="70">
                  <c:v>46013</c:v>
                </c:pt>
                <c:pt idx="71">
                  <c:v>46010</c:v>
                </c:pt>
                <c:pt idx="72">
                  <c:v>46009</c:v>
                </c:pt>
                <c:pt idx="73">
                  <c:v>46008</c:v>
                </c:pt>
                <c:pt idx="74">
                  <c:v>46007</c:v>
                </c:pt>
                <c:pt idx="75">
                  <c:v>46006</c:v>
                </c:pt>
                <c:pt idx="76">
                  <c:v>46003</c:v>
                </c:pt>
                <c:pt idx="77">
                  <c:v>46002</c:v>
                </c:pt>
                <c:pt idx="78">
                  <c:v>46001</c:v>
                </c:pt>
                <c:pt idx="79">
                  <c:v>46000</c:v>
                </c:pt>
                <c:pt idx="80">
                  <c:v>45999</c:v>
                </c:pt>
                <c:pt idx="81">
                  <c:v>45996</c:v>
                </c:pt>
                <c:pt idx="82">
                  <c:v>45995</c:v>
                </c:pt>
                <c:pt idx="83">
                  <c:v>45994</c:v>
                </c:pt>
                <c:pt idx="84">
                  <c:v>45993</c:v>
                </c:pt>
                <c:pt idx="85">
                  <c:v>45992</c:v>
                </c:pt>
                <c:pt idx="86">
                  <c:v>45989</c:v>
                </c:pt>
                <c:pt idx="87">
                  <c:v>45987</c:v>
                </c:pt>
                <c:pt idx="88">
                  <c:v>45986</c:v>
                </c:pt>
                <c:pt idx="89">
                  <c:v>45985</c:v>
                </c:pt>
                <c:pt idx="90">
                  <c:v>45982</c:v>
                </c:pt>
                <c:pt idx="91">
                  <c:v>45981</c:v>
                </c:pt>
                <c:pt idx="92">
                  <c:v>45980</c:v>
                </c:pt>
                <c:pt idx="93">
                  <c:v>45979</c:v>
                </c:pt>
                <c:pt idx="94">
                  <c:v>45978</c:v>
                </c:pt>
                <c:pt idx="95">
                  <c:v>45975</c:v>
                </c:pt>
                <c:pt idx="96">
                  <c:v>45974</c:v>
                </c:pt>
                <c:pt idx="97">
                  <c:v>45973</c:v>
                </c:pt>
                <c:pt idx="98">
                  <c:v>45972</c:v>
                </c:pt>
                <c:pt idx="99">
                  <c:v>45971</c:v>
                </c:pt>
                <c:pt idx="100">
                  <c:v>45968</c:v>
                </c:pt>
                <c:pt idx="101">
                  <c:v>45967</c:v>
                </c:pt>
                <c:pt idx="102">
                  <c:v>45966</c:v>
                </c:pt>
                <c:pt idx="103">
                  <c:v>45965</c:v>
                </c:pt>
                <c:pt idx="104">
                  <c:v>45964</c:v>
                </c:pt>
                <c:pt idx="105">
                  <c:v>45961</c:v>
                </c:pt>
                <c:pt idx="106">
                  <c:v>45960</c:v>
                </c:pt>
                <c:pt idx="107">
                  <c:v>45959</c:v>
                </c:pt>
                <c:pt idx="108">
                  <c:v>45958</c:v>
                </c:pt>
                <c:pt idx="109">
                  <c:v>45957</c:v>
                </c:pt>
                <c:pt idx="110">
                  <c:v>45954</c:v>
                </c:pt>
                <c:pt idx="111">
                  <c:v>45953</c:v>
                </c:pt>
                <c:pt idx="112">
                  <c:v>45952</c:v>
                </c:pt>
                <c:pt idx="113">
                  <c:v>45951</c:v>
                </c:pt>
                <c:pt idx="114">
                  <c:v>45950</c:v>
                </c:pt>
                <c:pt idx="115">
                  <c:v>45947</c:v>
                </c:pt>
                <c:pt idx="116">
                  <c:v>45946</c:v>
                </c:pt>
                <c:pt idx="117">
                  <c:v>45945</c:v>
                </c:pt>
                <c:pt idx="118">
                  <c:v>45944</c:v>
                </c:pt>
                <c:pt idx="119">
                  <c:v>45943</c:v>
                </c:pt>
                <c:pt idx="120">
                  <c:v>45940</c:v>
                </c:pt>
                <c:pt idx="121">
                  <c:v>45939</c:v>
                </c:pt>
                <c:pt idx="122">
                  <c:v>45938</c:v>
                </c:pt>
                <c:pt idx="123">
                  <c:v>45937</c:v>
                </c:pt>
                <c:pt idx="124">
                  <c:v>45936</c:v>
                </c:pt>
                <c:pt idx="125">
                  <c:v>45933</c:v>
                </c:pt>
                <c:pt idx="126">
                  <c:v>45932</c:v>
                </c:pt>
                <c:pt idx="127">
                  <c:v>45931</c:v>
                </c:pt>
                <c:pt idx="128">
                  <c:v>45930</c:v>
                </c:pt>
                <c:pt idx="129">
                  <c:v>45929</c:v>
                </c:pt>
                <c:pt idx="130">
                  <c:v>45926</c:v>
                </c:pt>
                <c:pt idx="131">
                  <c:v>45925</c:v>
                </c:pt>
                <c:pt idx="132">
                  <c:v>45924</c:v>
                </c:pt>
                <c:pt idx="133">
                  <c:v>45923</c:v>
                </c:pt>
                <c:pt idx="134">
                  <c:v>45922</c:v>
                </c:pt>
                <c:pt idx="135">
                  <c:v>45919</c:v>
                </c:pt>
                <c:pt idx="136">
                  <c:v>45918</c:v>
                </c:pt>
                <c:pt idx="137">
                  <c:v>45917</c:v>
                </c:pt>
                <c:pt idx="138">
                  <c:v>45916</c:v>
                </c:pt>
                <c:pt idx="139">
                  <c:v>45915</c:v>
                </c:pt>
                <c:pt idx="140">
                  <c:v>45912</c:v>
                </c:pt>
                <c:pt idx="141">
                  <c:v>45911</c:v>
                </c:pt>
                <c:pt idx="142">
                  <c:v>45910</c:v>
                </c:pt>
                <c:pt idx="143">
                  <c:v>45909</c:v>
                </c:pt>
                <c:pt idx="144">
                  <c:v>45908</c:v>
                </c:pt>
                <c:pt idx="145">
                  <c:v>45905</c:v>
                </c:pt>
                <c:pt idx="146">
                  <c:v>45904</c:v>
                </c:pt>
                <c:pt idx="147">
                  <c:v>45903</c:v>
                </c:pt>
                <c:pt idx="148">
                  <c:v>45902</c:v>
                </c:pt>
                <c:pt idx="149">
                  <c:v>45898</c:v>
                </c:pt>
                <c:pt idx="150">
                  <c:v>45897</c:v>
                </c:pt>
                <c:pt idx="151">
                  <c:v>45896</c:v>
                </c:pt>
                <c:pt idx="152">
                  <c:v>45895</c:v>
                </c:pt>
                <c:pt idx="153">
                  <c:v>45894</c:v>
                </c:pt>
                <c:pt idx="154">
                  <c:v>45891</c:v>
                </c:pt>
                <c:pt idx="155">
                  <c:v>45890</c:v>
                </c:pt>
                <c:pt idx="156">
                  <c:v>45889</c:v>
                </c:pt>
                <c:pt idx="157">
                  <c:v>45888</c:v>
                </c:pt>
                <c:pt idx="158">
                  <c:v>45887</c:v>
                </c:pt>
                <c:pt idx="159">
                  <c:v>45884</c:v>
                </c:pt>
                <c:pt idx="160">
                  <c:v>45883</c:v>
                </c:pt>
                <c:pt idx="161">
                  <c:v>45882</c:v>
                </c:pt>
                <c:pt idx="162">
                  <c:v>45881</c:v>
                </c:pt>
                <c:pt idx="163">
                  <c:v>45880</c:v>
                </c:pt>
                <c:pt idx="164">
                  <c:v>45877</c:v>
                </c:pt>
                <c:pt idx="165">
                  <c:v>45876</c:v>
                </c:pt>
                <c:pt idx="166">
                  <c:v>45875</c:v>
                </c:pt>
                <c:pt idx="167">
                  <c:v>45874</c:v>
                </c:pt>
                <c:pt idx="168">
                  <c:v>45873</c:v>
                </c:pt>
                <c:pt idx="169">
                  <c:v>45870</c:v>
                </c:pt>
                <c:pt idx="170">
                  <c:v>45869</c:v>
                </c:pt>
                <c:pt idx="171">
                  <c:v>45868</c:v>
                </c:pt>
                <c:pt idx="172">
                  <c:v>45867</c:v>
                </c:pt>
                <c:pt idx="173">
                  <c:v>45866</c:v>
                </c:pt>
                <c:pt idx="174">
                  <c:v>45863</c:v>
                </c:pt>
                <c:pt idx="175">
                  <c:v>45862</c:v>
                </c:pt>
                <c:pt idx="176">
                  <c:v>45861</c:v>
                </c:pt>
                <c:pt idx="177">
                  <c:v>45860</c:v>
                </c:pt>
                <c:pt idx="178">
                  <c:v>45859</c:v>
                </c:pt>
                <c:pt idx="179">
                  <c:v>45856</c:v>
                </c:pt>
                <c:pt idx="180">
                  <c:v>45855</c:v>
                </c:pt>
                <c:pt idx="181">
                  <c:v>45854</c:v>
                </c:pt>
                <c:pt idx="182">
                  <c:v>45853</c:v>
                </c:pt>
                <c:pt idx="183">
                  <c:v>45852</c:v>
                </c:pt>
                <c:pt idx="184">
                  <c:v>45849</c:v>
                </c:pt>
                <c:pt idx="185">
                  <c:v>45848</c:v>
                </c:pt>
                <c:pt idx="186">
                  <c:v>45847</c:v>
                </c:pt>
                <c:pt idx="187">
                  <c:v>45846</c:v>
                </c:pt>
                <c:pt idx="188">
                  <c:v>45845</c:v>
                </c:pt>
                <c:pt idx="189">
                  <c:v>45841</c:v>
                </c:pt>
                <c:pt idx="190">
                  <c:v>45840</c:v>
                </c:pt>
                <c:pt idx="191">
                  <c:v>45839</c:v>
                </c:pt>
                <c:pt idx="192">
                  <c:v>45838</c:v>
                </c:pt>
                <c:pt idx="193">
                  <c:v>45835</c:v>
                </c:pt>
                <c:pt idx="194">
                  <c:v>45834</c:v>
                </c:pt>
                <c:pt idx="195">
                  <c:v>45833</c:v>
                </c:pt>
                <c:pt idx="196">
                  <c:v>45832</c:v>
                </c:pt>
                <c:pt idx="197">
                  <c:v>45831</c:v>
                </c:pt>
                <c:pt idx="198">
                  <c:v>45828</c:v>
                </c:pt>
                <c:pt idx="199">
                  <c:v>45826</c:v>
                </c:pt>
                <c:pt idx="200">
                  <c:v>45825</c:v>
                </c:pt>
                <c:pt idx="201">
                  <c:v>45824</c:v>
                </c:pt>
                <c:pt idx="202">
                  <c:v>45821</c:v>
                </c:pt>
                <c:pt idx="203">
                  <c:v>45820</c:v>
                </c:pt>
                <c:pt idx="204">
                  <c:v>45819</c:v>
                </c:pt>
                <c:pt idx="205">
                  <c:v>45818</c:v>
                </c:pt>
                <c:pt idx="206">
                  <c:v>45817</c:v>
                </c:pt>
                <c:pt idx="207">
                  <c:v>45814</c:v>
                </c:pt>
                <c:pt idx="208">
                  <c:v>45813</c:v>
                </c:pt>
                <c:pt idx="209">
                  <c:v>45812</c:v>
                </c:pt>
                <c:pt idx="210">
                  <c:v>45811</c:v>
                </c:pt>
                <c:pt idx="211">
                  <c:v>45810</c:v>
                </c:pt>
                <c:pt idx="212">
                  <c:v>45807</c:v>
                </c:pt>
                <c:pt idx="213">
                  <c:v>45806</c:v>
                </c:pt>
                <c:pt idx="214">
                  <c:v>45805</c:v>
                </c:pt>
                <c:pt idx="215">
                  <c:v>45804</c:v>
                </c:pt>
                <c:pt idx="216">
                  <c:v>45800</c:v>
                </c:pt>
                <c:pt idx="217">
                  <c:v>45799</c:v>
                </c:pt>
                <c:pt idx="218">
                  <c:v>45798</c:v>
                </c:pt>
                <c:pt idx="219">
                  <c:v>45797</c:v>
                </c:pt>
                <c:pt idx="220">
                  <c:v>45796</c:v>
                </c:pt>
                <c:pt idx="221">
                  <c:v>45793</c:v>
                </c:pt>
                <c:pt idx="222">
                  <c:v>45792</c:v>
                </c:pt>
                <c:pt idx="223">
                  <c:v>45791</c:v>
                </c:pt>
                <c:pt idx="224">
                  <c:v>45790</c:v>
                </c:pt>
                <c:pt idx="225">
                  <c:v>45789</c:v>
                </c:pt>
                <c:pt idx="226">
                  <c:v>45786</c:v>
                </c:pt>
                <c:pt idx="227">
                  <c:v>45785</c:v>
                </c:pt>
                <c:pt idx="228">
                  <c:v>45784</c:v>
                </c:pt>
                <c:pt idx="229">
                  <c:v>45783</c:v>
                </c:pt>
                <c:pt idx="230">
                  <c:v>45782</c:v>
                </c:pt>
                <c:pt idx="231">
                  <c:v>45779</c:v>
                </c:pt>
                <c:pt idx="232">
                  <c:v>45778</c:v>
                </c:pt>
                <c:pt idx="233">
                  <c:v>45777</c:v>
                </c:pt>
                <c:pt idx="234">
                  <c:v>45776</c:v>
                </c:pt>
                <c:pt idx="235">
                  <c:v>45775</c:v>
                </c:pt>
                <c:pt idx="236">
                  <c:v>45772</c:v>
                </c:pt>
                <c:pt idx="237">
                  <c:v>45771</c:v>
                </c:pt>
                <c:pt idx="238">
                  <c:v>45770</c:v>
                </c:pt>
                <c:pt idx="239">
                  <c:v>45769</c:v>
                </c:pt>
                <c:pt idx="240">
                  <c:v>45768</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numCache>
            </c:numRef>
          </c:cat>
          <c:val>
            <c:numRef>
              <c:f>Charts!$D$181:$D$431</c:f>
              <c:numCache>
                <c:formatCode>General</c:formatCode>
                <c:ptCount val="251"/>
                <c:pt idx="0" formatCode="&quot;$&quot;#,##0.00_);\(&quot;$&quot;#,##0.00\)">
                  <c:v>300.18</c:v>
                </c:pt>
                <c:pt idx="1">
                  <c:v>301.45</c:v>
                </c:pt>
                <c:pt idx="2">
                  <c:v>302.48</c:v>
                </c:pt>
                <c:pt idx="3">
                  <c:v>297.49</c:v>
                </c:pt>
                <c:pt idx="4">
                  <c:v>292.27</c:v>
                </c:pt>
                <c:pt idx="5">
                  <c:v>299.39</c:v>
                </c:pt>
                <c:pt idx="6">
                  <c:v>300.24</c:v>
                </c:pt>
                <c:pt idx="7">
                  <c:v>302</c:v>
                </c:pt>
                <c:pt idx="8">
                  <c:v>301.91000000000003</c:v>
                </c:pt>
                <c:pt idx="9">
                  <c:v>295.5</c:v>
                </c:pt>
                <c:pt idx="10">
                  <c:v>294.93</c:v>
                </c:pt>
                <c:pt idx="11">
                  <c:v>294.39</c:v>
                </c:pt>
                <c:pt idx="12">
                  <c:v>300.27</c:v>
                </c:pt>
                <c:pt idx="13">
                  <c:v>298.2</c:v>
                </c:pt>
                <c:pt idx="14">
                  <c:v>299.95999999999998</c:v>
                </c:pt>
                <c:pt idx="15">
                  <c:v>301.89</c:v>
                </c:pt>
                <c:pt idx="16">
                  <c:v>305.99</c:v>
                </c:pt>
                <c:pt idx="17">
                  <c:v>303.14999999999998</c:v>
                </c:pt>
                <c:pt idx="18">
                  <c:v>305.38</c:v>
                </c:pt>
                <c:pt idx="19">
                  <c:v>301</c:v>
                </c:pt>
                <c:pt idx="20">
                  <c:v>307.20999999999998</c:v>
                </c:pt>
                <c:pt idx="21">
                  <c:v>311.20999999999998</c:v>
                </c:pt>
                <c:pt idx="22">
                  <c:v>307.82</c:v>
                </c:pt>
                <c:pt idx="23">
                  <c:v>307.43</c:v>
                </c:pt>
                <c:pt idx="24">
                  <c:v>308.89999999999998</c:v>
                </c:pt>
                <c:pt idx="25">
                  <c:v>335.32</c:v>
                </c:pt>
                <c:pt idx="26">
                  <c:v>327.08999999999997</c:v>
                </c:pt>
                <c:pt idx="27">
                  <c:v>320.48</c:v>
                </c:pt>
                <c:pt idx="28">
                  <c:v>321.24</c:v>
                </c:pt>
                <c:pt idx="29">
                  <c:v>346.18</c:v>
                </c:pt>
                <c:pt idx="30">
                  <c:v>342.65</c:v>
                </c:pt>
                <c:pt idx="31">
                  <c:v>346.24</c:v>
                </c:pt>
                <c:pt idx="32">
                  <c:v>344.53</c:v>
                </c:pt>
                <c:pt idx="33">
                  <c:v>337.5</c:v>
                </c:pt>
                <c:pt idx="34">
                  <c:v>342.88</c:v>
                </c:pt>
                <c:pt idx="35">
                  <c:v>354.01</c:v>
                </c:pt>
                <c:pt idx="36">
                  <c:v>363.2</c:v>
                </c:pt>
                <c:pt idx="37">
                  <c:v>359.66</c:v>
                </c:pt>
                <c:pt idx="38">
                  <c:v>359.15</c:v>
                </c:pt>
                <c:pt idx="39">
                  <c:v>354.62</c:v>
                </c:pt>
                <c:pt idx="40">
                  <c:v>353.67</c:v>
                </c:pt>
                <c:pt idx="41">
                  <c:v>349.63</c:v>
                </c:pt>
                <c:pt idx="42">
                  <c:v>352.83</c:v>
                </c:pt>
                <c:pt idx="43">
                  <c:v>352.17</c:v>
                </c:pt>
                <c:pt idx="44">
                  <c:v>358.5</c:v>
                </c:pt>
                <c:pt idx="45">
                  <c:v>356.99</c:v>
                </c:pt>
                <c:pt idx="46">
                  <c:v>359.45</c:v>
                </c:pt>
                <c:pt idx="47">
                  <c:v>363.25</c:v>
                </c:pt>
                <c:pt idx="48">
                  <c:v>361.69</c:v>
                </c:pt>
                <c:pt idx="49">
                  <c:v>368.02</c:v>
                </c:pt>
                <c:pt idx="50">
                  <c:v>359.61</c:v>
                </c:pt>
                <c:pt idx="51">
                  <c:v>352.19</c:v>
                </c:pt>
                <c:pt idx="52">
                  <c:v>364.79</c:v>
                </c:pt>
                <c:pt idx="53">
                  <c:v>357.37</c:v>
                </c:pt>
                <c:pt idx="54">
                  <c:v>358.26</c:v>
                </c:pt>
                <c:pt idx="55">
                  <c:v>358</c:v>
                </c:pt>
                <c:pt idx="56">
                  <c:v>359.59</c:v>
                </c:pt>
                <c:pt idx="57">
                  <c:v>375.61</c:v>
                </c:pt>
                <c:pt idx="58">
                  <c:v>382.98</c:v>
                </c:pt>
                <c:pt idx="59">
                  <c:v>378.22</c:v>
                </c:pt>
                <c:pt idx="60">
                  <c:v>383.56</c:v>
                </c:pt>
                <c:pt idx="61">
                  <c:v>379.8</c:v>
                </c:pt>
                <c:pt idx="62">
                  <c:v>372.73</c:v>
                </c:pt>
                <c:pt idx="63">
                  <c:v>369.95</c:v>
                </c:pt>
                <c:pt idx="64">
                  <c:v>373.39</c:v>
                </c:pt>
                <c:pt idx="65">
                  <c:v>375.32</c:v>
                </c:pt>
                <c:pt idx="66">
                  <c:v>381.05</c:v>
                </c:pt>
                <c:pt idx="67">
                  <c:v>383.11</c:v>
                </c:pt>
                <c:pt idx="68">
                  <c:v>382.19</c:v>
                </c:pt>
                <c:pt idx="69">
                  <c:v>380.85</c:v>
                </c:pt>
                <c:pt idx="70">
                  <c:v>376.51</c:v>
                </c:pt>
                <c:pt idx="71">
                  <c:v>375.52</c:v>
                </c:pt>
                <c:pt idx="72">
                  <c:v>375.61</c:v>
                </c:pt>
                <c:pt idx="73">
                  <c:v>380.75</c:v>
                </c:pt>
                <c:pt idx="74">
                  <c:v>382.57</c:v>
                </c:pt>
                <c:pt idx="75">
                  <c:v>382.56</c:v>
                </c:pt>
                <c:pt idx="76">
                  <c:v>384.89</c:v>
                </c:pt>
                <c:pt idx="77">
                  <c:v>375.57</c:v>
                </c:pt>
                <c:pt idx="78">
                  <c:v>363.91</c:v>
                </c:pt>
                <c:pt idx="79">
                  <c:v>362.28</c:v>
                </c:pt>
                <c:pt idx="80">
                  <c:v>370.35</c:v>
                </c:pt>
                <c:pt idx="81">
                  <c:v>371.15</c:v>
                </c:pt>
                <c:pt idx="82">
                  <c:v>368.13</c:v>
                </c:pt>
                <c:pt idx="83">
                  <c:v>360.7</c:v>
                </c:pt>
                <c:pt idx="84">
                  <c:v>360.31</c:v>
                </c:pt>
                <c:pt idx="85">
                  <c:v>365.27</c:v>
                </c:pt>
                <c:pt idx="86">
                  <c:v>363.97</c:v>
                </c:pt>
                <c:pt idx="87">
                  <c:v>362.64</c:v>
                </c:pt>
                <c:pt idx="88">
                  <c:v>355.93</c:v>
                </c:pt>
                <c:pt idx="89">
                  <c:v>352.89</c:v>
                </c:pt>
                <c:pt idx="90">
                  <c:v>343.8</c:v>
                </c:pt>
                <c:pt idx="91">
                  <c:v>344.64</c:v>
                </c:pt>
                <c:pt idx="92">
                  <c:v>340.66</c:v>
                </c:pt>
                <c:pt idx="93">
                  <c:v>341.25</c:v>
                </c:pt>
                <c:pt idx="94">
                  <c:v>357.18</c:v>
                </c:pt>
                <c:pt idx="95">
                  <c:v>364.73</c:v>
                </c:pt>
                <c:pt idx="96">
                  <c:v>372.77</c:v>
                </c:pt>
                <c:pt idx="97">
                  <c:v>370.16</c:v>
                </c:pt>
                <c:pt idx="98">
                  <c:v>367.88</c:v>
                </c:pt>
                <c:pt idx="99">
                  <c:v>368.54</c:v>
                </c:pt>
                <c:pt idx="100">
                  <c:v>365.73</c:v>
                </c:pt>
                <c:pt idx="101">
                  <c:v>365.8</c:v>
                </c:pt>
                <c:pt idx="102">
                  <c:v>360.49</c:v>
                </c:pt>
                <c:pt idx="103">
                  <c:v>361.62</c:v>
                </c:pt>
                <c:pt idx="104">
                  <c:v>360.73</c:v>
                </c:pt>
                <c:pt idx="105">
                  <c:v>358.88</c:v>
                </c:pt>
                <c:pt idx="106">
                  <c:v>358.22</c:v>
                </c:pt>
                <c:pt idx="107">
                  <c:v>361.03</c:v>
                </c:pt>
                <c:pt idx="108">
                  <c:v>361.67</c:v>
                </c:pt>
                <c:pt idx="109">
                  <c:v>357.56</c:v>
                </c:pt>
                <c:pt idx="110">
                  <c:v>354.93</c:v>
                </c:pt>
                <c:pt idx="111">
                  <c:v>352</c:v>
                </c:pt>
                <c:pt idx="112">
                  <c:v>355.22</c:v>
                </c:pt>
                <c:pt idx="113">
                  <c:v>349.48</c:v>
                </c:pt>
                <c:pt idx="114">
                  <c:v>346.62</c:v>
                </c:pt>
                <c:pt idx="115">
                  <c:v>323.12</c:v>
                </c:pt>
                <c:pt idx="116">
                  <c:v>330.66</c:v>
                </c:pt>
                <c:pt idx="117">
                  <c:v>332.85</c:v>
                </c:pt>
                <c:pt idx="118">
                  <c:v>323.12</c:v>
                </c:pt>
                <c:pt idx="119">
                  <c:v>316.26</c:v>
                </c:pt>
                <c:pt idx="120">
                  <c:v>324.44</c:v>
                </c:pt>
                <c:pt idx="121">
                  <c:v>323.82</c:v>
                </c:pt>
                <c:pt idx="122">
                  <c:v>327.97</c:v>
                </c:pt>
                <c:pt idx="123">
                  <c:v>331.99</c:v>
                </c:pt>
                <c:pt idx="124">
                  <c:v>330.24</c:v>
                </c:pt>
                <c:pt idx="125">
                  <c:v>330.48</c:v>
                </c:pt>
                <c:pt idx="126">
                  <c:v>328.56</c:v>
                </c:pt>
                <c:pt idx="127">
                  <c:v>332.16</c:v>
                </c:pt>
                <c:pt idx="128">
                  <c:v>342.31</c:v>
                </c:pt>
                <c:pt idx="129">
                  <c:v>341.68</c:v>
                </c:pt>
                <c:pt idx="130">
                  <c:v>340.18</c:v>
                </c:pt>
                <c:pt idx="131">
                  <c:v>340.48</c:v>
                </c:pt>
                <c:pt idx="132">
                  <c:v>341.47</c:v>
                </c:pt>
                <c:pt idx="133">
                  <c:v>340.98</c:v>
                </c:pt>
                <c:pt idx="134">
                  <c:v>341.12</c:v>
                </c:pt>
                <c:pt idx="135">
                  <c:v>341.67</c:v>
                </c:pt>
                <c:pt idx="136">
                  <c:v>336</c:v>
                </c:pt>
                <c:pt idx="137">
                  <c:v>327.04000000000002</c:v>
                </c:pt>
                <c:pt idx="138">
                  <c:v>327.26</c:v>
                </c:pt>
                <c:pt idx="139">
                  <c:v>325.31</c:v>
                </c:pt>
                <c:pt idx="140">
                  <c:v>329.32</c:v>
                </c:pt>
                <c:pt idx="141">
                  <c:v>323.35000000000002</c:v>
                </c:pt>
                <c:pt idx="142">
                  <c:v>324.33999999999997</c:v>
                </c:pt>
                <c:pt idx="143">
                  <c:v>325.41000000000003</c:v>
                </c:pt>
                <c:pt idx="144">
                  <c:v>326.22000000000003</c:v>
                </c:pt>
                <c:pt idx="145">
                  <c:v>330.65</c:v>
                </c:pt>
                <c:pt idx="146">
                  <c:v>323.70999999999998</c:v>
                </c:pt>
                <c:pt idx="147">
                  <c:v>331.18</c:v>
                </c:pt>
                <c:pt idx="148">
                  <c:v>331.28</c:v>
                </c:pt>
                <c:pt idx="149">
                  <c:v>326.99</c:v>
                </c:pt>
                <c:pt idx="150">
                  <c:v>322.45999999999998</c:v>
                </c:pt>
                <c:pt idx="151">
                  <c:v>320.60000000000002</c:v>
                </c:pt>
                <c:pt idx="152">
                  <c:v>315.8</c:v>
                </c:pt>
                <c:pt idx="153">
                  <c:v>319.16000000000003</c:v>
                </c:pt>
                <c:pt idx="154">
                  <c:v>308.17</c:v>
                </c:pt>
                <c:pt idx="155">
                  <c:v>308.39999999999998</c:v>
                </c:pt>
                <c:pt idx="156">
                  <c:v>306.10000000000002</c:v>
                </c:pt>
                <c:pt idx="157">
                  <c:v>307.05</c:v>
                </c:pt>
                <c:pt idx="158">
                  <c:v>305.47000000000003</c:v>
                </c:pt>
                <c:pt idx="159">
                  <c:v>307.73</c:v>
                </c:pt>
                <c:pt idx="160">
                  <c:v>306.87</c:v>
                </c:pt>
                <c:pt idx="161">
                  <c:v>303.20999999999998</c:v>
                </c:pt>
                <c:pt idx="162">
                  <c:v>296.23</c:v>
                </c:pt>
                <c:pt idx="163">
                  <c:v>297.43</c:v>
                </c:pt>
                <c:pt idx="164">
                  <c:v>294.73</c:v>
                </c:pt>
                <c:pt idx="165">
                  <c:v>295.54000000000002</c:v>
                </c:pt>
                <c:pt idx="166">
                  <c:v>296.64</c:v>
                </c:pt>
                <c:pt idx="167">
                  <c:v>298.58999999999997</c:v>
                </c:pt>
                <c:pt idx="168">
                  <c:v>294.27</c:v>
                </c:pt>
                <c:pt idx="169">
                  <c:v>299.31</c:v>
                </c:pt>
                <c:pt idx="170">
                  <c:v>303.41000000000003</c:v>
                </c:pt>
                <c:pt idx="171">
                  <c:v>308.54000000000002</c:v>
                </c:pt>
                <c:pt idx="172">
                  <c:v>310.74</c:v>
                </c:pt>
                <c:pt idx="173">
                  <c:v>311.61</c:v>
                </c:pt>
                <c:pt idx="174">
                  <c:v>308.25</c:v>
                </c:pt>
                <c:pt idx="175">
                  <c:v>308.66000000000003</c:v>
                </c:pt>
                <c:pt idx="176">
                  <c:v>304.14</c:v>
                </c:pt>
                <c:pt idx="177">
                  <c:v>302.97000000000003</c:v>
                </c:pt>
                <c:pt idx="178">
                  <c:v>307.95</c:v>
                </c:pt>
                <c:pt idx="179">
                  <c:v>315.35000000000002</c:v>
                </c:pt>
                <c:pt idx="180">
                  <c:v>311.89999999999998</c:v>
                </c:pt>
                <c:pt idx="181">
                  <c:v>310.64999999999998</c:v>
                </c:pt>
                <c:pt idx="182">
                  <c:v>320.92</c:v>
                </c:pt>
                <c:pt idx="183">
                  <c:v>319.47000000000003</c:v>
                </c:pt>
                <c:pt idx="184">
                  <c:v>325.24</c:v>
                </c:pt>
                <c:pt idx="185">
                  <c:v>317.35000000000002</c:v>
                </c:pt>
                <c:pt idx="186">
                  <c:v>316.98</c:v>
                </c:pt>
                <c:pt idx="187">
                  <c:v>322.73</c:v>
                </c:pt>
                <c:pt idx="188">
                  <c:v>328.13</c:v>
                </c:pt>
                <c:pt idx="189">
                  <c:v>325.61</c:v>
                </c:pt>
                <c:pt idx="190">
                  <c:v>322.52999999999997</c:v>
                </c:pt>
                <c:pt idx="191">
                  <c:v>318.98</c:v>
                </c:pt>
                <c:pt idx="192">
                  <c:v>317.19</c:v>
                </c:pt>
                <c:pt idx="193">
                  <c:v>311.42</c:v>
                </c:pt>
                <c:pt idx="194">
                  <c:v>308.58999999999997</c:v>
                </c:pt>
                <c:pt idx="195">
                  <c:v>308.38</c:v>
                </c:pt>
                <c:pt idx="196">
                  <c:v>299.63</c:v>
                </c:pt>
                <c:pt idx="197">
                  <c:v>298.58999999999997</c:v>
                </c:pt>
                <c:pt idx="198">
                  <c:v>296.42</c:v>
                </c:pt>
                <c:pt idx="199">
                  <c:v>292.81</c:v>
                </c:pt>
                <c:pt idx="200">
                  <c:v>294.22000000000003</c:v>
                </c:pt>
                <c:pt idx="201">
                  <c:v>287.79000000000002</c:v>
                </c:pt>
                <c:pt idx="202">
                  <c:v>297.99</c:v>
                </c:pt>
                <c:pt idx="203">
                  <c:v>299.10000000000002</c:v>
                </c:pt>
                <c:pt idx="204">
                  <c:v>299.52</c:v>
                </c:pt>
                <c:pt idx="205">
                  <c:v>301.56</c:v>
                </c:pt>
                <c:pt idx="206">
                  <c:v>302.47000000000003</c:v>
                </c:pt>
                <c:pt idx="207">
                  <c:v>295.95999999999998</c:v>
                </c:pt>
                <c:pt idx="208">
                  <c:v>295.93</c:v>
                </c:pt>
                <c:pt idx="209">
                  <c:v>297.39</c:v>
                </c:pt>
                <c:pt idx="210">
                  <c:v>295.33</c:v>
                </c:pt>
                <c:pt idx="211">
                  <c:v>294.05</c:v>
                </c:pt>
                <c:pt idx="212">
                  <c:v>295.38</c:v>
                </c:pt>
                <c:pt idx="213">
                  <c:v>293.36</c:v>
                </c:pt>
                <c:pt idx="214">
                  <c:v>293.76</c:v>
                </c:pt>
                <c:pt idx="215">
                  <c:v>285.22000000000003</c:v>
                </c:pt>
                <c:pt idx="216">
                  <c:v>287.18</c:v>
                </c:pt>
                <c:pt idx="217">
                  <c:v>286</c:v>
                </c:pt>
                <c:pt idx="218">
                  <c:v>296.17</c:v>
                </c:pt>
                <c:pt idx="219">
                  <c:v>299.3</c:v>
                </c:pt>
                <c:pt idx="220">
                  <c:v>299.72000000000003</c:v>
                </c:pt>
                <c:pt idx="221">
                  <c:v>299.55</c:v>
                </c:pt>
                <c:pt idx="222">
                  <c:v>300.10000000000002</c:v>
                </c:pt>
                <c:pt idx="223">
                  <c:v>302.3</c:v>
                </c:pt>
                <c:pt idx="224">
                  <c:v>298.92</c:v>
                </c:pt>
                <c:pt idx="225">
                  <c:v>284.51</c:v>
                </c:pt>
                <c:pt idx="226">
                  <c:v>283.66000000000003</c:v>
                </c:pt>
                <c:pt idx="227">
                  <c:v>276.24</c:v>
                </c:pt>
                <c:pt idx="228">
                  <c:v>275.37</c:v>
                </c:pt>
                <c:pt idx="229">
                  <c:v>278.02999999999997</c:v>
                </c:pt>
                <c:pt idx="230">
                  <c:v>276.85000000000002</c:v>
                </c:pt>
                <c:pt idx="231">
                  <c:v>268.54000000000002</c:v>
                </c:pt>
                <c:pt idx="232">
                  <c:v>266.41000000000003</c:v>
                </c:pt>
                <c:pt idx="233">
                  <c:v>267.02</c:v>
                </c:pt>
                <c:pt idx="234">
                  <c:v>264.95</c:v>
                </c:pt>
                <c:pt idx="235">
                  <c:v>264.81</c:v>
                </c:pt>
                <c:pt idx="236">
                  <c:v>267.32</c:v>
                </c:pt>
                <c:pt idx="237">
                  <c:v>260.14</c:v>
                </c:pt>
                <c:pt idx="238">
                  <c:v>252.42</c:v>
                </c:pt>
                <c:pt idx="239">
                  <c:v>242.51</c:v>
                </c:pt>
                <c:pt idx="240">
                  <c:v>251.31</c:v>
                </c:pt>
                <c:pt idx="241">
                  <c:v>252.92</c:v>
                </c:pt>
                <c:pt idx="242">
                  <c:v>257.86</c:v>
                </c:pt>
                <c:pt idx="243">
                  <c:v>255.38</c:v>
                </c:pt>
                <c:pt idx="244">
                  <c:v>251.13</c:v>
                </c:pt>
                <c:pt idx="245">
                  <c:v>246.89</c:v>
                </c:pt>
                <c:pt idx="246">
                  <c:v>262.36</c:v>
                </c:pt>
                <c:pt idx="247">
                  <c:v>231.39</c:v>
                </c:pt>
                <c:pt idx="248">
                  <c:v>234.28</c:v>
                </c:pt>
                <c:pt idx="249">
                  <c:v>233.68</c:v>
                </c:pt>
                <c:pt idx="250">
                  <c:v>247.82</c:v>
                </c:pt>
              </c:numCache>
            </c:numRef>
          </c:val>
          <c:smooth val="0"/>
          <c:extLst>
            <c:ext xmlns:c16="http://schemas.microsoft.com/office/drawing/2014/chart" uri="{C3380CC4-5D6E-409C-BE32-E72D297353CC}">
              <c16:uniqueId val="{00000000-CA22-4354-A050-8F603C4BE6C1}"/>
            </c:ext>
          </c:extLst>
        </c:ser>
        <c:ser>
          <c:idx val="1"/>
          <c:order val="1"/>
          <c:tx>
            <c:strRef>
              <c:f>Charts!$F$179</c:f>
              <c:strCache>
                <c:ptCount val="1"/>
                <c:pt idx="0">
                  <c:v>Bear Case</c:v>
                </c:pt>
              </c:strCache>
            </c:strRef>
          </c:tx>
          <c:spPr>
            <a:ln cmpd="sng">
              <a:solidFill>
                <a:srgbClr val="FF0000"/>
              </a:solidFill>
            </a:ln>
          </c:spPr>
          <c:marker>
            <c:symbol val="none"/>
          </c:marker>
          <c:dPt>
            <c:idx val="251"/>
            <c:bubble3D val="0"/>
            <c:spPr>
              <a:ln cmpd="sng">
                <a:solidFill>
                  <a:srgbClr val="FF0000"/>
                </a:solidFill>
                <a:prstDash val="sysDot"/>
              </a:ln>
            </c:spPr>
            <c:extLst>
              <c:ext xmlns:c16="http://schemas.microsoft.com/office/drawing/2014/chart" uri="{C3380CC4-5D6E-409C-BE32-E72D297353CC}">
                <c16:uniqueId val="{00000000-C448-4E84-831F-6D83AFAE7768}"/>
              </c:ext>
            </c:extLst>
          </c:dPt>
          <c:cat>
            <c:numRef>
              <c:f>Charts!$C$180:$C$431</c:f>
              <c:numCache>
                <c:formatCode>mm/dd/yyyy</c:formatCode>
                <c:ptCount val="252"/>
                <c:pt idx="0" formatCode="m/d/yyyy">
                  <c:v>46297</c:v>
                </c:pt>
                <c:pt idx="1">
                  <c:v>46114</c:v>
                </c:pt>
                <c:pt idx="2">
                  <c:v>46113</c:v>
                </c:pt>
                <c:pt idx="3">
                  <c:v>46112</c:v>
                </c:pt>
                <c:pt idx="4">
                  <c:v>46111</c:v>
                </c:pt>
                <c:pt idx="5">
                  <c:v>46108</c:v>
                </c:pt>
                <c:pt idx="6">
                  <c:v>46107</c:v>
                </c:pt>
                <c:pt idx="7">
                  <c:v>46106</c:v>
                </c:pt>
                <c:pt idx="8">
                  <c:v>46105</c:v>
                </c:pt>
                <c:pt idx="9">
                  <c:v>46104</c:v>
                </c:pt>
                <c:pt idx="10">
                  <c:v>46101</c:v>
                </c:pt>
                <c:pt idx="11">
                  <c:v>46100</c:v>
                </c:pt>
                <c:pt idx="12">
                  <c:v>46099</c:v>
                </c:pt>
                <c:pt idx="13">
                  <c:v>46098</c:v>
                </c:pt>
                <c:pt idx="14">
                  <c:v>46097</c:v>
                </c:pt>
                <c:pt idx="15">
                  <c:v>46094</c:v>
                </c:pt>
                <c:pt idx="16">
                  <c:v>46093</c:v>
                </c:pt>
                <c:pt idx="17">
                  <c:v>46092</c:v>
                </c:pt>
                <c:pt idx="18">
                  <c:v>46091</c:v>
                </c:pt>
                <c:pt idx="19">
                  <c:v>46090</c:v>
                </c:pt>
                <c:pt idx="20">
                  <c:v>46087</c:v>
                </c:pt>
                <c:pt idx="21">
                  <c:v>46086</c:v>
                </c:pt>
                <c:pt idx="22">
                  <c:v>46085</c:v>
                </c:pt>
                <c:pt idx="23">
                  <c:v>46084</c:v>
                </c:pt>
                <c:pt idx="24">
                  <c:v>46083</c:v>
                </c:pt>
                <c:pt idx="25">
                  <c:v>46080</c:v>
                </c:pt>
                <c:pt idx="26">
                  <c:v>46079</c:v>
                </c:pt>
                <c:pt idx="27">
                  <c:v>46078</c:v>
                </c:pt>
                <c:pt idx="28">
                  <c:v>46077</c:v>
                </c:pt>
                <c:pt idx="29">
                  <c:v>46076</c:v>
                </c:pt>
                <c:pt idx="30">
                  <c:v>46073</c:v>
                </c:pt>
                <c:pt idx="31">
                  <c:v>46072</c:v>
                </c:pt>
                <c:pt idx="32">
                  <c:v>46071</c:v>
                </c:pt>
                <c:pt idx="33">
                  <c:v>46070</c:v>
                </c:pt>
                <c:pt idx="34">
                  <c:v>46066</c:v>
                </c:pt>
                <c:pt idx="35">
                  <c:v>46065</c:v>
                </c:pt>
                <c:pt idx="36">
                  <c:v>46064</c:v>
                </c:pt>
                <c:pt idx="37">
                  <c:v>46063</c:v>
                </c:pt>
                <c:pt idx="38">
                  <c:v>46062</c:v>
                </c:pt>
                <c:pt idx="39">
                  <c:v>46059</c:v>
                </c:pt>
                <c:pt idx="40">
                  <c:v>46058</c:v>
                </c:pt>
                <c:pt idx="41">
                  <c:v>46057</c:v>
                </c:pt>
                <c:pt idx="42">
                  <c:v>46056</c:v>
                </c:pt>
                <c:pt idx="43">
                  <c:v>46055</c:v>
                </c:pt>
                <c:pt idx="44">
                  <c:v>46052</c:v>
                </c:pt>
                <c:pt idx="45">
                  <c:v>46051</c:v>
                </c:pt>
                <c:pt idx="46">
                  <c:v>46050</c:v>
                </c:pt>
                <c:pt idx="47">
                  <c:v>46049</c:v>
                </c:pt>
                <c:pt idx="48">
                  <c:v>46048</c:v>
                </c:pt>
                <c:pt idx="49">
                  <c:v>46045</c:v>
                </c:pt>
                <c:pt idx="50">
                  <c:v>46044</c:v>
                </c:pt>
                <c:pt idx="51">
                  <c:v>46043</c:v>
                </c:pt>
                <c:pt idx="52">
                  <c:v>46042</c:v>
                </c:pt>
                <c:pt idx="53">
                  <c:v>46038</c:v>
                </c:pt>
                <c:pt idx="54">
                  <c:v>46037</c:v>
                </c:pt>
                <c:pt idx="55">
                  <c:v>46036</c:v>
                </c:pt>
                <c:pt idx="56">
                  <c:v>46035</c:v>
                </c:pt>
                <c:pt idx="57">
                  <c:v>46034</c:v>
                </c:pt>
                <c:pt idx="58">
                  <c:v>46031</c:v>
                </c:pt>
                <c:pt idx="59">
                  <c:v>46030</c:v>
                </c:pt>
                <c:pt idx="60">
                  <c:v>46029</c:v>
                </c:pt>
                <c:pt idx="61">
                  <c:v>46028</c:v>
                </c:pt>
                <c:pt idx="62">
                  <c:v>46027</c:v>
                </c:pt>
                <c:pt idx="63">
                  <c:v>46024</c:v>
                </c:pt>
                <c:pt idx="64">
                  <c:v>46022</c:v>
                </c:pt>
                <c:pt idx="65">
                  <c:v>46021</c:v>
                </c:pt>
                <c:pt idx="66">
                  <c:v>46020</c:v>
                </c:pt>
                <c:pt idx="67">
                  <c:v>46017</c:v>
                </c:pt>
                <c:pt idx="68">
                  <c:v>46015</c:v>
                </c:pt>
                <c:pt idx="69">
                  <c:v>46014</c:v>
                </c:pt>
                <c:pt idx="70">
                  <c:v>46013</c:v>
                </c:pt>
                <c:pt idx="71">
                  <c:v>46010</c:v>
                </c:pt>
                <c:pt idx="72">
                  <c:v>46009</c:v>
                </c:pt>
                <c:pt idx="73">
                  <c:v>46008</c:v>
                </c:pt>
                <c:pt idx="74">
                  <c:v>46007</c:v>
                </c:pt>
                <c:pt idx="75">
                  <c:v>46006</c:v>
                </c:pt>
                <c:pt idx="76">
                  <c:v>46003</c:v>
                </c:pt>
                <c:pt idx="77">
                  <c:v>46002</c:v>
                </c:pt>
                <c:pt idx="78">
                  <c:v>46001</c:v>
                </c:pt>
                <c:pt idx="79">
                  <c:v>46000</c:v>
                </c:pt>
                <c:pt idx="80">
                  <c:v>45999</c:v>
                </c:pt>
                <c:pt idx="81">
                  <c:v>45996</c:v>
                </c:pt>
                <c:pt idx="82">
                  <c:v>45995</c:v>
                </c:pt>
                <c:pt idx="83">
                  <c:v>45994</c:v>
                </c:pt>
                <c:pt idx="84">
                  <c:v>45993</c:v>
                </c:pt>
                <c:pt idx="85">
                  <c:v>45992</c:v>
                </c:pt>
                <c:pt idx="86">
                  <c:v>45989</c:v>
                </c:pt>
                <c:pt idx="87">
                  <c:v>45987</c:v>
                </c:pt>
                <c:pt idx="88">
                  <c:v>45986</c:v>
                </c:pt>
                <c:pt idx="89">
                  <c:v>45985</c:v>
                </c:pt>
                <c:pt idx="90">
                  <c:v>45982</c:v>
                </c:pt>
                <c:pt idx="91">
                  <c:v>45981</c:v>
                </c:pt>
                <c:pt idx="92">
                  <c:v>45980</c:v>
                </c:pt>
                <c:pt idx="93">
                  <c:v>45979</c:v>
                </c:pt>
                <c:pt idx="94">
                  <c:v>45978</c:v>
                </c:pt>
                <c:pt idx="95">
                  <c:v>45975</c:v>
                </c:pt>
                <c:pt idx="96">
                  <c:v>45974</c:v>
                </c:pt>
                <c:pt idx="97">
                  <c:v>45973</c:v>
                </c:pt>
                <c:pt idx="98">
                  <c:v>45972</c:v>
                </c:pt>
                <c:pt idx="99">
                  <c:v>45971</c:v>
                </c:pt>
                <c:pt idx="100">
                  <c:v>45968</c:v>
                </c:pt>
                <c:pt idx="101">
                  <c:v>45967</c:v>
                </c:pt>
                <c:pt idx="102">
                  <c:v>45966</c:v>
                </c:pt>
                <c:pt idx="103">
                  <c:v>45965</c:v>
                </c:pt>
                <c:pt idx="104">
                  <c:v>45964</c:v>
                </c:pt>
                <c:pt idx="105">
                  <c:v>45961</c:v>
                </c:pt>
                <c:pt idx="106">
                  <c:v>45960</c:v>
                </c:pt>
                <c:pt idx="107">
                  <c:v>45959</c:v>
                </c:pt>
                <c:pt idx="108">
                  <c:v>45958</c:v>
                </c:pt>
                <c:pt idx="109">
                  <c:v>45957</c:v>
                </c:pt>
                <c:pt idx="110">
                  <c:v>45954</c:v>
                </c:pt>
                <c:pt idx="111">
                  <c:v>45953</c:v>
                </c:pt>
                <c:pt idx="112">
                  <c:v>45952</c:v>
                </c:pt>
                <c:pt idx="113">
                  <c:v>45951</c:v>
                </c:pt>
                <c:pt idx="114">
                  <c:v>45950</c:v>
                </c:pt>
                <c:pt idx="115">
                  <c:v>45947</c:v>
                </c:pt>
                <c:pt idx="116">
                  <c:v>45946</c:v>
                </c:pt>
                <c:pt idx="117">
                  <c:v>45945</c:v>
                </c:pt>
                <c:pt idx="118">
                  <c:v>45944</c:v>
                </c:pt>
                <c:pt idx="119">
                  <c:v>45943</c:v>
                </c:pt>
                <c:pt idx="120">
                  <c:v>45940</c:v>
                </c:pt>
                <c:pt idx="121">
                  <c:v>45939</c:v>
                </c:pt>
                <c:pt idx="122">
                  <c:v>45938</c:v>
                </c:pt>
                <c:pt idx="123">
                  <c:v>45937</c:v>
                </c:pt>
                <c:pt idx="124">
                  <c:v>45936</c:v>
                </c:pt>
                <c:pt idx="125">
                  <c:v>45933</c:v>
                </c:pt>
                <c:pt idx="126">
                  <c:v>45932</c:v>
                </c:pt>
                <c:pt idx="127">
                  <c:v>45931</c:v>
                </c:pt>
                <c:pt idx="128">
                  <c:v>45930</c:v>
                </c:pt>
                <c:pt idx="129">
                  <c:v>45929</c:v>
                </c:pt>
                <c:pt idx="130">
                  <c:v>45926</c:v>
                </c:pt>
                <c:pt idx="131">
                  <c:v>45925</c:v>
                </c:pt>
                <c:pt idx="132">
                  <c:v>45924</c:v>
                </c:pt>
                <c:pt idx="133">
                  <c:v>45923</c:v>
                </c:pt>
                <c:pt idx="134">
                  <c:v>45922</c:v>
                </c:pt>
                <c:pt idx="135">
                  <c:v>45919</c:v>
                </c:pt>
                <c:pt idx="136">
                  <c:v>45918</c:v>
                </c:pt>
                <c:pt idx="137">
                  <c:v>45917</c:v>
                </c:pt>
                <c:pt idx="138">
                  <c:v>45916</c:v>
                </c:pt>
                <c:pt idx="139">
                  <c:v>45915</c:v>
                </c:pt>
                <c:pt idx="140">
                  <c:v>45912</c:v>
                </c:pt>
                <c:pt idx="141">
                  <c:v>45911</c:v>
                </c:pt>
                <c:pt idx="142">
                  <c:v>45910</c:v>
                </c:pt>
                <c:pt idx="143">
                  <c:v>45909</c:v>
                </c:pt>
                <c:pt idx="144">
                  <c:v>45908</c:v>
                </c:pt>
                <c:pt idx="145">
                  <c:v>45905</c:v>
                </c:pt>
                <c:pt idx="146">
                  <c:v>45904</c:v>
                </c:pt>
                <c:pt idx="147">
                  <c:v>45903</c:v>
                </c:pt>
                <c:pt idx="148">
                  <c:v>45902</c:v>
                </c:pt>
                <c:pt idx="149">
                  <c:v>45898</c:v>
                </c:pt>
                <c:pt idx="150">
                  <c:v>45897</c:v>
                </c:pt>
                <c:pt idx="151">
                  <c:v>45896</c:v>
                </c:pt>
                <c:pt idx="152">
                  <c:v>45895</c:v>
                </c:pt>
                <c:pt idx="153">
                  <c:v>45894</c:v>
                </c:pt>
                <c:pt idx="154">
                  <c:v>45891</c:v>
                </c:pt>
                <c:pt idx="155">
                  <c:v>45890</c:v>
                </c:pt>
                <c:pt idx="156">
                  <c:v>45889</c:v>
                </c:pt>
                <c:pt idx="157">
                  <c:v>45888</c:v>
                </c:pt>
                <c:pt idx="158">
                  <c:v>45887</c:v>
                </c:pt>
                <c:pt idx="159">
                  <c:v>45884</c:v>
                </c:pt>
                <c:pt idx="160">
                  <c:v>45883</c:v>
                </c:pt>
                <c:pt idx="161">
                  <c:v>45882</c:v>
                </c:pt>
                <c:pt idx="162">
                  <c:v>45881</c:v>
                </c:pt>
                <c:pt idx="163">
                  <c:v>45880</c:v>
                </c:pt>
                <c:pt idx="164">
                  <c:v>45877</c:v>
                </c:pt>
                <c:pt idx="165">
                  <c:v>45876</c:v>
                </c:pt>
                <c:pt idx="166">
                  <c:v>45875</c:v>
                </c:pt>
                <c:pt idx="167">
                  <c:v>45874</c:v>
                </c:pt>
                <c:pt idx="168">
                  <c:v>45873</c:v>
                </c:pt>
                <c:pt idx="169">
                  <c:v>45870</c:v>
                </c:pt>
                <c:pt idx="170">
                  <c:v>45869</c:v>
                </c:pt>
                <c:pt idx="171">
                  <c:v>45868</c:v>
                </c:pt>
                <c:pt idx="172">
                  <c:v>45867</c:v>
                </c:pt>
                <c:pt idx="173">
                  <c:v>45866</c:v>
                </c:pt>
                <c:pt idx="174">
                  <c:v>45863</c:v>
                </c:pt>
                <c:pt idx="175">
                  <c:v>45862</c:v>
                </c:pt>
                <c:pt idx="176">
                  <c:v>45861</c:v>
                </c:pt>
                <c:pt idx="177">
                  <c:v>45860</c:v>
                </c:pt>
                <c:pt idx="178">
                  <c:v>45859</c:v>
                </c:pt>
                <c:pt idx="179">
                  <c:v>45856</c:v>
                </c:pt>
                <c:pt idx="180">
                  <c:v>45855</c:v>
                </c:pt>
                <c:pt idx="181">
                  <c:v>45854</c:v>
                </c:pt>
                <c:pt idx="182">
                  <c:v>45853</c:v>
                </c:pt>
                <c:pt idx="183">
                  <c:v>45852</c:v>
                </c:pt>
                <c:pt idx="184">
                  <c:v>45849</c:v>
                </c:pt>
                <c:pt idx="185">
                  <c:v>45848</c:v>
                </c:pt>
                <c:pt idx="186">
                  <c:v>45847</c:v>
                </c:pt>
                <c:pt idx="187">
                  <c:v>45846</c:v>
                </c:pt>
                <c:pt idx="188">
                  <c:v>45845</c:v>
                </c:pt>
                <c:pt idx="189">
                  <c:v>45841</c:v>
                </c:pt>
                <c:pt idx="190">
                  <c:v>45840</c:v>
                </c:pt>
                <c:pt idx="191">
                  <c:v>45839</c:v>
                </c:pt>
                <c:pt idx="192">
                  <c:v>45838</c:v>
                </c:pt>
                <c:pt idx="193">
                  <c:v>45835</c:v>
                </c:pt>
                <c:pt idx="194">
                  <c:v>45834</c:v>
                </c:pt>
                <c:pt idx="195">
                  <c:v>45833</c:v>
                </c:pt>
                <c:pt idx="196">
                  <c:v>45832</c:v>
                </c:pt>
                <c:pt idx="197">
                  <c:v>45831</c:v>
                </c:pt>
                <c:pt idx="198">
                  <c:v>45828</c:v>
                </c:pt>
                <c:pt idx="199">
                  <c:v>45826</c:v>
                </c:pt>
                <c:pt idx="200">
                  <c:v>45825</c:v>
                </c:pt>
                <c:pt idx="201">
                  <c:v>45824</c:v>
                </c:pt>
                <c:pt idx="202">
                  <c:v>45821</c:v>
                </c:pt>
                <c:pt idx="203">
                  <c:v>45820</c:v>
                </c:pt>
                <c:pt idx="204">
                  <c:v>45819</c:v>
                </c:pt>
                <c:pt idx="205">
                  <c:v>45818</c:v>
                </c:pt>
                <c:pt idx="206">
                  <c:v>45817</c:v>
                </c:pt>
                <c:pt idx="207">
                  <c:v>45814</c:v>
                </c:pt>
                <c:pt idx="208">
                  <c:v>45813</c:v>
                </c:pt>
                <c:pt idx="209">
                  <c:v>45812</c:v>
                </c:pt>
                <c:pt idx="210">
                  <c:v>45811</c:v>
                </c:pt>
                <c:pt idx="211">
                  <c:v>45810</c:v>
                </c:pt>
                <c:pt idx="212">
                  <c:v>45807</c:v>
                </c:pt>
                <c:pt idx="213">
                  <c:v>45806</c:v>
                </c:pt>
                <c:pt idx="214">
                  <c:v>45805</c:v>
                </c:pt>
                <c:pt idx="215">
                  <c:v>45804</c:v>
                </c:pt>
                <c:pt idx="216">
                  <c:v>45800</c:v>
                </c:pt>
                <c:pt idx="217">
                  <c:v>45799</c:v>
                </c:pt>
                <c:pt idx="218">
                  <c:v>45798</c:v>
                </c:pt>
                <c:pt idx="219">
                  <c:v>45797</c:v>
                </c:pt>
                <c:pt idx="220">
                  <c:v>45796</c:v>
                </c:pt>
                <c:pt idx="221">
                  <c:v>45793</c:v>
                </c:pt>
                <c:pt idx="222">
                  <c:v>45792</c:v>
                </c:pt>
                <c:pt idx="223">
                  <c:v>45791</c:v>
                </c:pt>
                <c:pt idx="224">
                  <c:v>45790</c:v>
                </c:pt>
                <c:pt idx="225">
                  <c:v>45789</c:v>
                </c:pt>
                <c:pt idx="226">
                  <c:v>45786</c:v>
                </c:pt>
                <c:pt idx="227">
                  <c:v>45785</c:v>
                </c:pt>
                <c:pt idx="228">
                  <c:v>45784</c:v>
                </c:pt>
                <c:pt idx="229">
                  <c:v>45783</c:v>
                </c:pt>
                <c:pt idx="230">
                  <c:v>45782</c:v>
                </c:pt>
                <c:pt idx="231">
                  <c:v>45779</c:v>
                </c:pt>
                <c:pt idx="232">
                  <c:v>45778</c:v>
                </c:pt>
                <c:pt idx="233">
                  <c:v>45777</c:v>
                </c:pt>
                <c:pt idx="234">
                  <c:v>45776</c:v>
                </c:pt>
                <c:pt idx="235">
                  <c:v>45775</c:v>
                </c:pt>
                <c:pt idx="236">
                  <c:v>45772</c:v>
                </c:pt>
                <c:pt idx="237">
                  <c:v>45771</c:v>
                </c:pt>
                <c:pt idx="238">
                  <c:v>45770</c:v>
                </c:pt>
                <c:pt idx="239">
                  <c:v>45769</c:v>
                </c:pt>
                <c:pt idx="240">
                  <c:v>45768</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numCache>
            </c:numRef>
          </c:cat>
          <c:val>
            <c:numRef>
              <c:f>Charts!$F$180:$F$448</c:f>
              <c:numCache>
                <c:formatCode>"$"#,##0.00_);\("$"#,##0.00\)</c:formatCode>
                <c:ptCount val="269"/>
                <c:pt idx="0">
                  <c:v>254</c:v>
                </c:pt>
                <c:pt idx="1">
                  <c:v>300.18</c:v>
                </c:pt>
              </c:numCache>
            </c:numRef>
          </c:val>
          <c:smooth val="0"/>
          <c:extLst>
            <c:ext xmlns:c16="http://schemas.microsoft.com/office/drawing/2014/chart" uri="{C3380CC4-5D6E-409C-BE32-E72D297353CC}">
              <c16:uniqueId val="{00000001-CA22-4354-A050-8F603C4BE6C1}"/>
            </c:ext>
          </c:extLst>
        </c:ser>
        <c:ser>
          <c:idx val="2"/>
          <c:order val="2"/>
          <c:tx>
            <c:strRef>
              <c:f>Charts!$G$179</c:f>
              <c:strCache>
                <c:ptCount val="1"/>
                <c:pt idx="0">
                  <c:v>Base Case</c:v>
                </c:pt>
              </c:strCache>
            </c:strRef>
          </c:tx>
          <c:spPr>
            <a:ln cmpd="sng">
              <a:solidFill>
                <a:srgbClr val="00355F"/>
              </a:solidFill>
            </a:ln>
          </c:spPr>
          <c:marker>
            <c:symbol val="none"/>
          </c:marker>
          <c:dPt>
            <c:idx val="251"/>
            <c:bubble3D val="0"/>
            <c:spPr>
              <a:ln cmpd="sng">
                <a:solidFill>
                  <a:srgbClr val="00355F"/>
                </a:solidFill>
                <a:prstDash val="sysDot"/>
              </a:ln>
            </c:spPr>
            <c:extLst>
              <c:ext xmlns:c16="http://schemas.microsoft.com/office/drawing/2014/chart" uri="{C3380CC4-5D6E-409C-BE32-E72D297353CC}">
                <c16:uniqueId val="{00000001-0EA4-44AB-A7E0-14752D7AEE7D}"/>
              </c:ext>
            </c:extLst>
          </c:dPt>
          <c:cat>
            <c:numRef>
              <c:f>Charts!$C$180:$C$431</c:f>
              <c:numCache>
                <c:formatCode>mm/dd/yyyy</c:formatCode>
                <c:ptCount val="252"/>
                <c:pt idx="0" formatCode="m/d/yyyy">
                  <c:v>46297</c:v>
                </c:pt>
                <c:pt idx="1">
                  <c:v>46114</c:v>
                </c:pt>
                <c:pt idx="2">
                  <c:v>46113</c:v>
                </c:pt>
                <c:pt idx="3">
                  <c:v>46112</c:v>
                </c:pt>
                <c:pt idx="4">
                  <c:v>46111</c:v>
                </c:pt>
                <c:pt idx="5">
                  <c:v>46108</c:v>
                </c:pt>
                <c:pt idx="6">
                  <c:v>46107</c:v>
                </c:pt>
                <c:pt idx="7">
                  <c:v>46106</c:v>
                </c:pt>
                <c:pt idx="8">
                  <c:v>46105</c:v>
                </c:pt>
                <c:pt idx="9">
                  <c:v>46104</c:v>
                </c:pt>
                <c:pt idx="10">
                  <c:v>46101</c:v>
                </c:pt>
                <c:pt idx="11">
                  <c:v>46100</c:v>
                </c:pt>
                <c:pt idx="12">
                  <c:v>46099</c:v>
                </c:pt>
                <c:pt idx="13">
                  <c:v>46098</c:v>
                </c:pt>
                <c:pt idx="14">
                  <c:v>46097</c:v>
                </c:pt>
                <c:pt idx="15">
                  <c:v>46094</c:v>
                </c:pt>
                <c:pt idx="16">
                  <c:v>46093</c:v>
                </c:pt>
                <c:pt idx="17">
                  <c:v>46092</c:v>
                </c:pt>
                <c:pt idx="18">
                  <c:v>46091</c:v>
                </c:pt>
                <c:pt idx="19">
                  <c:v>46090</c:v>
                </c:pt>
                <c:pt idx="20">
                  <c:v>46087</c:v>
                </c:pt>
                <c:pt idx="21">
                  <c:v>46086</c:v>
                </c:pt>
                <c:pt idx="22">
                  <c:v>46085</c:v>
                </c:pt>
                <c:pt idx="23">
                  <c:v>46084</c:v>
                </c:pt>
                <c:pt idx="24">
                  <c:v>46083</c:v>
                </c:pt>
                <c:pt idx="25">
                  <c:v>46080</c:v>
                </c:pt>
                <c:pt idx="26">
                  <c:v>46079</c:v>
                </c:pt>
                <c:pt idx="27">
                  <c:v>46078</c:v>
                </c:pt>
                <c:pt idx="28">
                  <c:v>46077</c:v>
                </c:pt>
                <c:pt idx="29">
                  <c:v>46076</c:v>
                </c:pt>
                <c:pt idx="30">
                  <c:v>46073</c:v>
                </c:pt>
                <c:pt idx="31">
                  <c:v>46072</c:v>
                </c:pt>
                <c:pt idx="32">
                  <c:v>46071</c:v>
                </c:pt>
                <c:pt idx="33">
                  <c:v>46070</c:v>
                </c:pt>
                <c:pt idx="34">
                  <c:v>46066</c:v>
                </c:pt>
                <c:pt idx="35">
                  <c:v>46065</c:v>
                </c:pt>
                <c:pt idx="36">
                  <c:v>46064</c:v>
                </c:pt>
                <c:pt idx="37">
                  <c:v>46063</c:v>
                </c:pt>
                <c:pt idx="38">
                  <c:v>46062</c:v>
                </c:pt>
                <c:pt idx="39">
                  <c:v>46059</c:v>
                </c:pt>
                <c:pt idx="40">
                  <c:v>46058</c:v>
                </c:pt>
                <c:pt idx="41">
                  <c:v>46057</c:v>
                </c:pt>
                <c:pt idx="42">
                  <c:v>46056</c:v>
                </c:pt>
                <c:pt idx="43">
                  <c:v>46055</c:v>
                </c:pt>
                <c:pt idx="44">
                  <c:v>46052</c:v>
                </c:pt>
                <c:pt idx="45">
                  <c:v>46051</c:v>
                </c:pt>
                <c:pt idx="46">
                  <c:v>46050</c:v>
                </c:pt>
                <c:pt idx="47">
                  <c:v>46049</c:v>
                </c:pt>
                <c:pt idx="48">
                  <c:v>46048</c:v>
                </c:pt>
                <c:pt idx="49">
                  <c:v>46045</c:v>
                </c:pt>
                <c:pt idx="50">
                  <c:v>46044</c:v>
                </c:pt>
                <c:pt idx="51">
                  <c:v>46043</c:v>
                </c:pt>
                <c:pt idx="52">
                  <c:v>46042</c:v>
                </c:pt>
                <c:pt idx="53">
                  <c:v>46038</c:v>
                </c:pt>
                <c:pt idx="54">
                  <c:v>46037</c:v>
                </c:pt>
                <c:pt idx="55">
                  <c:v>46036</c:v>
                </c:pt>
                <c:pt idx="56">
                  <c:v>46035</c:v>
                </c:pt>
                <c:pt idx="57">
                  <c:v>46034</c:v>
                </c:pt>
                <c:pt idx="58">
                  <c:v>46031</c:v>
                </c:pt>
                <c:pt idx="59">
                  <c:v>46030</c:v>
                </c:pt>
                <c:pt idx="60">
                  <c:v>46029</c:v>
                </c:pt>
                <c:pt idx="61">
                  <c:v>46028</c:v>
                </c:pt>
                <c:pt idx="62">
                  <c:v>46027</c:v>
                </c:pt>
                <c:pt idx="63">
                  <c:v>46024</c:v>
                </c:pt>
                <c:pt idx="64">
                  <c:v>46022</c:v>
                </c:pt>
                <c:pt idx="65">
                  <c:v>46021</c:v>
                </c:pt>
                <c:pt idx="66">
                  <c:v>46020</c:v>
                </c:pt>
                <c:pt idx="67">
                  <c:v>46017</c:v>
                </c:pt>
                <c:pt idx="68">
                  <c:v>46015</c:v>
                </c:pt>
                <c:pt idx="69">
                  <c:v>46014</c:v>
                </c:pt>
                <c:pt idx="70">
                  <c:v>46013</c:v>
                </c:pt>
                <c:pt idx="71">
                  <c:v>46010</c:v>
                </c:pt>
                <c:pt idx="72">
                  <c:v>46009</c:v>
                </c:pt>
                <c:pt idx="73">
                  <c:v>46008</c:v>
                </c:pt>
                <c:pt idx="74">
                  <c:v>46007</c:v>
                </c:pt>
                <c:pt idx="75">
                  <c:v>46006</c:v>
                </c:pt>
                <c:pt idx="76">
                  <c:v>46003</c:v>
                </c:pt>
                <c:pt idx="77">
                  <c:v>46002</c:v>
                </c:pt>
                <c:pt idx="78">
                  <c:v>46001</c:v>
                </c:pt>
                <c:pt idx="79">
                  <c:v>46000</c:v>
                </c:pt>
                <c:pt idx="80">
                  <c:v>45999</c:v>
                </c:pt>
                <c:pt idx="81">
                  <c:v>45996</c:v>
                </c:pt>
                <c:pt idx="82">
                  <c:v>45995</c:v>
                </c:pt>
                <c:pt idx="83">
                  <c:v>45994</c:v>
                </c:pt>
                <c:pt idx="84">
                  <c:v>45993</c:v>
                </c:pt>
                <c:pt idx="85">
                  <c:v>45992</c:v>
                </c:pt>
                <c:pt idx="86">
                  <c:v>45989</c:v>
                </c:pt>
                <c:pt idx="87">
                  <c:v>45987</c:v>
                </c:pt>
                <c:pt idx="88">
                  <c:v>45986</c:v>
                </c:pt>
                <c:pt idx="89">
                  <c:v>45985</c:v>
                </c:pt>
                <c:pt idx="90">
                  <c:v>45982</c:v>
                </c:pt>
                <c:pt idx="91">
                  <c:v>45981</c:v>
                </c:pt>
                <c:pt idx="92">
                  <c:v>45980</c:v>
                </c:pt>
                <c:pt idx="93">
                  <c:v>45979</c:v>
                </c:pt>
                <c:pt idx="94">
                  <c:v>45978</c:v>
                </c:pt>
                <c:pt idx="95">
                  <c:v>45975</c:v>
                </c:pt>
                <c:pt idx="96">
                  <c:v>45974</c:v>
                </c:pt>
                <c:pt idx="97">
                  <c:v>45973</c:v>
                </c:pt>
                <c:pt idx="98">
                  <c:v>45972</c:v>
                </c:pt>
                <c:pt idx="99">
                  <c:v>45971</c:v>
                </c:pt>
                <c:pt idx="100">
                  <c:v>45968</c:v>
                </c:pt>
                <c:pt idx="101">
                  <c:v>45967</c:v>
                </c:pt>
                <c:pt idx="102">
                  <c:v>45966</c:v>
                </c:pt>
                <c:pt idx="103">
                  <c:v>45965</c:v>
                </c:pt>
                <c:pt idx="104">
                  <c:v>45964</c:v>
                </c:pt>
                <c:pt idx="105">
                  <c:v>45961</c:v>
                </c:pt>
                <c:pt idx="106">
                  <c:v>45960</c:v>
                </c:pt>
                <c:pt idx="107">
                  <c:v>45959</c:v>
                </c:pt>
                <c:pt idx="108">
                  <c:v>45958</c:v>
                </c:pt>
                <c:pt idx="109">
                  <c:v>45957</c:v>
                </c:pt>
                <c:pt idx="110">
                  <c:v>45954</c:v>
                </c:pt>
                <c:pt idx="111">
                  <c:v>45953</c:v>
                </c:pt>
                <c:pt idx="112">
                  <c:v>45952</c:v>
                </c:pt>
                <c:pt idx="113">
                  <c:v>45951</c:v>
                </c:pt>
                <c:pt idx="114">
                  <c:v>45950</c:v>
                </c:pt>
                <c:pt idx="115">
                  <c:v>45947</c:v>
                </c:pt>
                <c:pt idx="116">
                  <c:v>45946</c:v>
                </c:pt>
                <c:pt idx="117">
                  <c:v>45945</c:v>
                </c:pt>
                <c:pt idx="118">
                  <c:v>45944</c:v>
                </c:pt>
                <c:pt idx="119">
                  <c:v>45943</c:v>
                </c:pt>
                <c:pt idx="120">
                  <c:v>45940</c:v>
                </c:pt>
                <c:pt idx="121">
                  <c:v>45939</c:v>
                </c:pt>
                <c:pt idx="122">
                  <c:v>45938</c:v>
                </c:pt>
                <c:pt idx="123">
                  <c:v>45937</c:v>
                </c:pt>
                <c:pt idx="124">
                  <c:v>45936</c:v>
                </c:pt>
                <c:pt idx="125">
                  <c:v>45933</c:v>
                </c:pt>
                <c:pt idx="126">
                  <c:v>45932</c:v>
                </c:pt>
                <c:pt idx="127">
                  <c:v>45931</c:v>
                </c:pt>
                <c:pt idx="128">
                  <c:v>45930</c:v>
                </c:pt>
                <c:pt idx="129">
                  <c:v>45929</c:v>
                </c:pt>
                <c:pt idx="130">
                  <c:v>45926</c:v>
                </c:pt>
                <c:pt idx="131">
                  <c:v>45925</c:v>
                </c:pt>
                <c:pt idx="132">
                  <c:v>45924</c:v>
                </c:pt>
                <c:pt idx="133">
                  <c:v>45923</c:v>
                </c:pt>
                <c:pt idx="134">
                  <c:v>45922</c:v>
                </c:pt>
                <c:pt idx="135">
                  <c:v>45919</c:v>
                </c:pt>
                <c:pt idx="136">
                  <c:v>45918</c:v>
                </c:pt>
                <c:pt idx="137">
                  <c:v>45917</c:v>
                </c:pt>
                <c:pt idx="138">
                  <c:v>45916</c:v>
                </c:pt>
                <c:pt idx="139">
                  <c:v>45915</c:v>
                </c:pt>
                <c:pt idx="140">
                  <c:v>45912</c:v>
                </c:pt>
                <c:pt idx="141">
                  <c:v>45911</c:v>
                </c:pt>
                <c:pt idx="142">
                  <c:v>45910</c:v>
                </c:pt>
                <c:pt idx="143">
                  <c:v>45909</c:v>
                </c:pt>
                <c:pt idx="144">
                  <c:v>45908</c:v>
                </c:pt>
                <c:pt idx="145">
                  <c:v>45905</c:v>
                </c:pt>
                <c:pt idx="146">
                  <c:v>45904</c:v>
                </c:pt>
                <c:pt idx="147">
                  <c:v>45903</c:v>
                </c:pt>
                <c:pt idx="148">
                  <c:v>45902</c:v>
                </c:pt>
                <c:pt idx="149">
                  <c:v>45898</c:v>
                </c:pt>
                <c:pt idx="150">
                  <c:v>45897</c:v>
                </c:pt>
                <c:pt idx="151">
                  <c:v>45896</c:v>
                </c:pt>
                <c:pt idx="152">
                  <c:v>45895</c:v>
                </c:pt>
                <c:pt idx="153">
                  <c:v>45894</c:v>
                </c:pt>
                <c:pt idx="154">
                  <c:v>45891</c:v>
                </c:pt>
                <c:pt idx="155">
                  <c:v>45890</c:v>
                </c:pt>
                <c:pt idx="156">
                  <c:v>45889</c:v>
                </c:pt>
                <c:pt idx="157">
                  <c:v>45888</c:v>
                </c:pt>
                <c:pt idx="158">
                  <c:v>45887</c:v>
                </c:pt>
                <c:pt idx="159">
                  <c:v>45884</c:v>
                </c:pt>
                <c:pt idx="160">
                  <c:v>45883</c:v>
                </c:pt>
                <c:pt idx="161">
                  <c:v>45882</c:v>
                </c:pt>
                <c:pt idx="162">
                  <c:v>45881</c:v>
                </c:pt>
                <c:pt idx="163">
                  <c:v>45880</c:v>
                </c:pt>
                <c:pt idx="164">
                  <c:v>45877</c:v>
                </c:pt>
                <c:pt idx="165">
                  <c:v>45876</c:v>
                </c:pt>
                <c:pt idx="166">
                  <c:v>45875</c:v>
                </c:pt>
                <c:pt idx="167">
                  <c:v>45874</c:v>
                </c:pt>
                <c:pt idx="168">
                  <c:v>45873</c:v>
                </c:pt>
                <c:pt idx="169">
                  <c:v>45870</c:v>
                </c:pt>
                <c:pt idx="170">
                  <c:v>45869</c:v>
                </c:pt>
                <c:pt idx="171">
                  <c:v>45868</c:v>
                </c:pt>
                <c:pt idx="172">
                  <c:v>45867</c:v>
                </c:pt>
                <c:pt idx="173">
                  <c:v>45866</c:v>
                </c:pt>
                <c:pt idx="174">
                  <c:v>45863</c:v>
                </c:pt>
                <c:pt idx="175">
                  <c:v>45862</c:v>
                </c:pt>
                <c:pt idx="176">
                  <c:v>45861</c:v>
                </c:pt>
                <c:pt idx="177">
                  <c:v>45860</c:v>
                </c:pt>
                <c:pt idx="178">
                  <c:v>45859</c:v>
                </c:pt>
                <c:pt idx="179">
                  <c:v>45856</c:v>
                </c:pt>
                <c:pt idx="180">
                  <c:v>45855</c:v>
                </c:pt>
                <c:pt idx="181">
                  <c:v>45854</c:v>
                </c:pt>
                <c:pt idx="182">
                  <c:v>45853</c:v>
                </c:pt>
                <c:pt idx="183">
                  <c:v>45852</c:v>
                </c:pt>
                <c:pt idx="184">
                  <c:v>45849</c:v>
                </c:pt>
                <c:pt idx="185">
                  <c:v>45848</c:v>
                </c:pt>
                <c:pt idx="186">
                  <c:v>45847</c:v>
                </c:pt>
                <c:pt idx="187">
                  <c:v>45846</c:v>
                </c:pt>
                <c:pt idx="188">
                  <c:v>45845</c:v>
                </c:pt>
                <c:pt idx="189">
                  <c:v>45841</c:v>
                </c:pt>
                <c:pt idx="190">
                  <c:v>45840</c:v>
                </c:pt>
                <c:pt idx="191">
                  <c:v>45839</c:v>
                </c:pt>
                <c:pt idx="192">
                  <c:v>45838</c:v>
                </c:pt>
                <c:pt idx="193">
                  <c:v>45835</c:v>
                </c:pt>
                <c:pt idx="194">
                  <c:v>45834</c:v>
                </c:pt>
                <c:pt idx="195">
                  <c:v>45833</c:v>
                </c:pt>
                <c:pt idx="196">
                  <c:v>45832</c:v>
                </c:pt>
                <c:pt idx="197">
                  <c:v>45831</c:v>
                </c:pt>
                <c:pt idx="198">
                  <c:v>45828</c:v>
                </c:pt>
                <c:pt idx="199">
                  <c:v>45826</c:v>
                </c:pt>
                <c:pt idx="200">
                  <c:v>45825</c:v>
                </c:pt>
                <c:pt idx="201">
                  <c:v>45824</c:v>
                </c:pt>
                <c:pt idx="202">
                  <c:v>45821</c:v>
                </c:pt>
                <c:pt idx="203">
                  <c:v>45820</c:v>
                </c:pt>
                <c:pt idx="204">
                  <c:v>45819</c:v>
                </c:pt>
                <c:pt idx="205">
                  <c:v>45818</c:v>
                </c:pt>
                <c:pt idx="206">
                  <c:v>45817</c:v>
                </c:pt>
                <c:pt idx="207">
                  <c:v>45814</c:v>
                </c:pt>
                <c:pt idx="208">
                  <c:v>45813</c:v>
                </c:pt>
                <c:pt idx="209">
                  <c:v>45812</c:v>
                </c:pt>
                <c:pt idx="210">
                  <c:v>45811</c:v>
                </c:pt>
                <c:pt idx="211">
                  <c:v>45810</c:v>
                </c:pt>
                <c:pt idx="212">
                  <c:v>45807</c:v>
                </c:pt>
                <c:pt idx="213">
                  <c:v>45806</c:v>
                </c:pt>
                <c:pt idx="214">
                  <c:v>45805</c:v>
                </c:pt>
                <c:pt idx="215">
                  <c:v>45804</c:v>
                </c:pt>
                <c:pt idx="216">
                  <c:v>45800</c:v>
                </c:pt>
                <c:pt idx="217">
                  <c:v>45799</c:v>
                </c:pt>
                <c:pt idx="218">
                  <c:v>45798</c:v>
                </c:pt>
                <c:pt idx="219">
                  <c:v>45797</c:v>
                </c:pt>
                <c:pt idx="220">
                  <c:v>45796</c:v>
                </c:pt>
                <c:pt idx="221">
                  <c:v>45793</c:v>
                </c:pt>
                <c:pt idx="222">
                  <c:v>45792</c:v>
                </c:pt>
                <c:pt idx="223">
                  <c:v>45791</c:v>
                </c:pt>
                <c:pt idx="224">
                  <c:v>45790</c:v>
                </c:pt>
                <c:pt idx="225">
                  <c:v>45789</c:v>
                </c:pt>
                <c:pt idx="226">
                  <c:v>45786</c:v>
                </c:pt>
                <c:pt idx="227">
                  <c:v>45785</c:v>
                </c:pt>
                <c:pt idx="228">
                  <c:v>45784</c:v>
                </c:pt>
                <c:pt idx="229">
                  <c:v>45783</c:v>
                </c:pt>
                <c:pt idx="230">
                  <c:v>45782</c:v>
                </c:pt>
                <c:pt idx="231">
                  <c:v>45779</c:v>
                </c:pt>
                <c:pt idx="232">
                  <c:v>45778</c:v>
                </c:pt>
                <c:pt idx="233">
                  <c:v>45777</c:v>
                </c:pt>
                <c:pt idx="234">
                  <c:v>45776</c:v>
                </c:pt>
                <c:pt idx="235">
                  <c:v>45775</c:v>
                </c:pt>
                <c:pt idx="236">
                  <c:v>45772</c:v>
                </c:pt>
                <c:pt idx="237">
                  <c:v>45771</c:v>
                </c:pt>
                <c:pt idx="238">
                  <c:v>45770</c:v>
                </c:pt>
                <c:pt idx="239">
                  <c:v>45769</c:v>
                </c:pt>
                <c:pt idx="240">
                  <c:v>45768</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numCache>
            </c:numRef>
          </c:cat>
          <c:val>
            <c:numRef>
              <c:f>Charts!$G$180:$G$432</c:f>
              <c:numCache>
                <c:formatCode>"$"#,##0.00_);\("$"#,##0.00\)</c:formatCode>
                <c:ptCount val="253"/>
                <c:pt idx="0">
                  <c:v>361</c:v>
                </c:pt>
                <c:pt idx="1">
                  <c:v>300.18</c:v>
                </c:pt>
              </c:numCache>
            </c:numRef>
          </c:val>
          <c:smooth val="0"/>
          <c:extLst>
            <c:ext xmlns:c16="http://schemas.microsoft.com/office/drawing/2014/chart" uri="{C3380CC4-5D6E-409C-BE32-E72D297353CC}">
              <c16:uniqueId val="{00000002-CA22-4354-A050-8F603C4BE6C1}"/>
            </c:ext>
          </c:extLst>
        </c:ser>
        <c:ser>
          <c:idx val="3"/>
          <c:order val="3"/>
          <c:tx>
            <c:strRef>
              <c:f>Charts!$H$179</c:f>
              <c:strCache>
                <c:ptCount val="1"/>
                <c:pt idx="0">
                  <c:v>Bull Case</c:v>
                </c:pt>
              </c:strCache>
            </c:strRef>
          </c:tx>
          <c:spPr>
            <a:ln cmpd="sng">
              <a:solidFill>
                <a:srgbClr val="00B050"/>
              </a:solidFill>
            </a:ln>
          </c:spPr>
          <c:marker>
            <c:symbol val="none"/>
          </c:marker>
          <c:dPt>
            <c:idx val="250"/>
            <c:bubble3D val="0"/>
            <c:spPr>
              <a:ln cmpd="sng">
                <a:solidFill>
                  <a:srgbClr val="FFFF00"/>
                </a:solidFill>
              </a:ln>
            </c:spPr>
            <c:extLst>
              <c:ext xmlns:c16="http://schemas.microsoft.com/office/drawing/2014/chart" uri="{C3380CC4-5D6E-409C-BE32-E72D297353CC}">
                <c16:uniqueId val="{00000004-0EA4-44AB-A7E0-14752D7AEE7D}"/>
              </c:ext>
            </c:extLst>
          </c:dPt>
          <c:dPt>
            <c:idx val="251"/>
            <c:bubble3D val="0"/>
            <c:spPr>
              <a:ln cmpd="sng">
                <a:solidFill>
                  <a:srgbClr val="00B050"/>
                </a:solidFill>
                <a:prstDash val="sysDot"/>
              </a:ln>
            </c:spPr>
            <c:extLst>
              <c:ext xmlns:c16="http://schemas.microsoft.com/office/drawing/2014/chart" uri="{C3380CC4-5D6E-409C-BE32-E72D297353CC}">
                <c16:uniqueId val="{00000002-0EA4-44AB-A7E0-14752D7AEE7D}"/>
              </c:ext>
            </c:extLst>
          </c:dPt>
          <c:cat>
            <c:numRef>
              <c:f>Charts!$C$180:$C$431</c:f>
              <c:numCache>
                <c:formatCode>mm/dd/yyyy</c:formatCode>
                <c:ptCount val="252"/>
                <c:pt idx="0" formatCode="m/d/yyyy">
                  <c:v>46297</c:v>
                </c:pt>
                <c:pt idx="1">
                  <c:v>46114</c:v>
                </c:pt>
                <c:pt idx="2">
                  <c:v>46113</c:v>
                </c:pt>
                <c:pt idx="3">
                  <c:v>46112</c:v>
                </c:pt>
                <c:pt idx="4">
                  <c:v>46111</c:v>
                </c:pt>
                <c:pt idx="5">
                  <c:v>46108</c:v>
                </c:pt>
                <c:pt idx="6">
                  <c:v>46107</c:v>
                </c:pt>
                <c:pt idx="7">
                  <c:v>46106</c:v>
                </c:pt>
                <c:pt idx="8">
                  <c:v>46105</c:v>
                </c:pt>
                <c:pt idx="9">
                  <c:v>46104</c:v>
                </c:pt>
                <c:pt idx="10">
                  <c:v>46101</c:v>
                </c:pt>
                <c:pt idx="11">
                  <c:v>46100</c:v>
                </c:pt>
                <c:pt idx="12">
                  <c:v>46099</c:v>
                </c:pt>
                <c:pt idx="13">
                  <c:v>46098</c:v>
                </c:pt>
                <c:pt idx="14">
                  <c:v>46097</c:v>
                </c:pt>
                <c:pt idx="15">
                  <c:v>46094</c:v>
                </c:pt>
                <c:pt idx="16">
                  <c:v>46093</c:v>
                </c:pt>
                <c:pt idx="17">
                  <c:v>46092</c:v>
                </c:pt>
                <c:pt idx="18">
                  <c:v>46091</c:v>
                </c:pt>
                <c:pt idx="19">
                  <c:v>46090</c:v>
                </c:pt>
                <c:pt idx="20">
                  <c:v>46087</c:v>
                </c:pt>
                <c:pt idx="21">
                  <c:v>46086</c:v>
                </c:pt>
                <c:pt idx="22">
                  <c:v>46085</c:v>
                </c:pt>
                <c:pt idx="23">
                  <c:v>46084</c:v>
                </c:pt>
                <c:pt idx="24">
                  <c:v>46083</c:v>
                </c:pt>
                <c:pt idx="25">
                  <c:v>46080</c:v>
                </c:pt>
                <c:pt idx="26">
                  <c:v>46079</c:v>
                </c:pt>
                <c:pt idx="27">
                  <c:v>46078</c:v>
                </c:pt>
                <c:pt idx="28">
                  <c:v>46077</c:v>
                </c:pt>
                <c:pt idx="29">
                  <c:v>46076</c:v>
                </c:pt>
                <c:pt idx="30">
                  <c:v>46073</c:v>
                </c:pt>
                <c:pt idx="31">
                  <c:v>46072</c:v>
                </c:pt>
                <c:pt idx="32">
                  <c:v>46071</c:v>
                </c:pt>
                <c:pt idx="33">
                  <c:v>46070</c:v>
                </c:pt>
                <c:pt idx="34">
                  <c:v>46066</c:v>
                </c:pt>
                <c:pt idx="35">
                  <c:v>46065</c:v>
                </c:pt>
                <c:pt idx="36">
                  <c:v>46064</c:v>
                </c:pt>
                <c:pt idx="37">
                  <c:v>46063</c:v>
                </c:pt>
                <c:pt idx="38">
                  <c:v>46062</c:v>
                </c:pt>
                <c:pt idx="39">
                  <c:v>46059</c:v>
                </c:pt>
                <c:pt idx="40">
                  <c:v>46058</c:v>
                </c:pt>
                <c:pt idx="41">
                  <c:v>46057</c:v>
                </c:pt>
                <c:pt idx="42">
                  <c:v>46056</c:v>
                </c:pt>
                <c:pt idx="43">
                  <c:v>46055</c:v>
                </c:pt>
                <c:pt idx="44">
                  <c:v>46052</c:v>
                </c:pt>
                <c:pt idx="45">
                  <c:v>46051</c:v>
                </c:pt>
                <c:pt idx="46">
                  <c:v>46050</c:v>
                </c:pt>
                <c:pt idx="47">
                  <c:v>46049</c:v>
                </c:pt>
                <c:pt idx="48">
                  <c:v>46048</c:v>
                </c:pt>
                <c:pt idx="49">
                  <c:v>46045</c:v>
                </c:pt>
                <c:pt idx="50">
                  <c:v>46044</c:v>
                </c:pt>
                <c:pt idx="51">
                  <c:v>46043</c:v>
                </c:pt>
                <c:pt idx="52">
                  <c:v>46042</c:v>
                </c:pt>
                <c:pt idx="53">
                  <c:v>46038</c:v>
                </c:pt>
                <c:pt idx="54">
                  <c:v>46037</c:v>
                </c:pt>
                <c:pt idx="55">
                  <c:v>46036</c:v>
                </c:pt>
                <c:pt idx="56">
                  <c:v>46035</c:v>
                </c:pt>
                <c:pt idx="57">
                  <c:v>46034</c:v>
                </c:pt>
                <c:pt idx="58">
                  <c:v>46031</c:v>
                </c:pt>
                <c:pt idx="59">
                  <c:v>46030</c:v>
                </c:pt>
                <c:pt idx="60">
                  <c:v>46029</c:v>
                </c:pt>
                <c:pt idx="61">
                  <c:v>46028</c:v>
                </c:pt>
                <c:pt idx="62">
                  <c:v>46027</c:v>
                </c:pt>
                <c:pt idx="63">
                  <c:v>46024</c:v>
                </c:pt>
                <c:pt idx="64">
                  <c:v>46022</c:v>
                </c:pt>
                <c:pt idx="65">
                  <c:v>46021</c:v>
                </c:pt>
                <c:pt idx="66">
                  <c:v>46020</c:v>
                </c:pt>
                <c:pt idx="67">
                  <c:v>46017</c:v>
                </c:pt>
                <c:pt idx="68">
                  <c:v>46015</c:v>
                </c:pt>
                <c:pt idx="69">
                  <c:v>46014</c:v>
                </c:pt>
                <c:pt idx="70">
                  <c:v>46013</c:v>
                </c:pt>
                <c:pt idx="71">
                  <c:v>46010</c:v>
                </c:pt>
                <c:pt idx="72">
                  <c:v>46009</c:v>
                </c:pt>
                <c:pt idx="73">
                  <c:v>46008</c:v>
                </c:pt>
                <c:pt idx="74">
                  <c:v>46007</c:v>
                </c:pt>
                <c:pt idx="75">
                  <c:v>46006</c:v>
                </c:pt>
                <c:pt idx="76">
                  <c:v>46003</c:v>
                </c:pt>
                <c:pt idx="77">
                  <c:v>46002</c:v>
                </c:pt>
                <c:pt idx="78">
                  <c:v>46001</c:v>
                </c:pt>
                <c:pt idx="79">
                  <c:v>46000</c:v>
                </c:pt>
                <c:pt idx="80">
                  <c:v>45999</c:v>
                </c:pt>
                <c:pt idx="81">
                  <c:v>45996</c:v>
                </c:pt>
                <c:pt idx="82">
                  <c:v>45995</c:v>
                </c:pt>
                <c:pt idx="83">
                  <c:v>45994</c:v>
                </c:pt>
                <c:pt idx="84">
                  <c:v>45993</c:v>
                </c:pt>
                <c:pt idx="85">
                  <c:v>45992</c:v>
                </c:pt>
                <c:pt idx="86">
                  <c:v>45989</c:v>
                </c:pt>
                <c:pt idx="87">
                  <c:v>45987</c:v>
                </c:pt>
                <c:pt idx="88">
                  <c:v>45986</c:v>
                </c:pt>
                <c:pt idx="89">
                  <c:v>45985</c:v>
                </c:pt>
                <c:pt idx="90">
                  <c:v>45982</c:v>
                </c:pt>
                <c:pt idx="91">
                  <c:v>45981</c:v>
                </c:pt>
                <c:pt idx="92">
                  <c:v>45980</c:v>
                </c:pt>
                <c:pt idx="93">
                  <c:v>45979</c:v>
                </c:pt>
                <c:pt idx="94">
                  <c:v>45978</c:v>
                </c:pt>
                <c:pt idx="95">
                  <c:v>45975</c:v>
                </c:pt>
                <c:pt idx="96">
                  <c:v>45974</c:v>
                </c:pt>
                <c:pt idx="97">
                  <c:v>45973</c:v>
                </c:pt>
                <c:pt idx="98">
                  <c:v>45972</c:v>
                </c:pt>
                <c:pt idx="99">
                  <c:v>45971</c:v>
                </c:pt>
                <c:pt idx="100">
                  <c:v>45968</c:v>
                </c:pt>
                <c:pt idx="101">
                  <c:v>45967</c:v>
                </c:pt>
                <c:pt idx="102">
                  <c:v>45966</c:v>
                </c:pt>
                <c:pt idx="103">
                  <c:v>45965</c:v>
                </c:pt>
                <c:pt idx="104">
                  <c:v>45964</c:v>
                </c:pt>
                <c:pt idx="105">
                  <c:v>45961</c:v>
                </c:pt>
                <c:pt idx="106">
                  <c:v>45960</c:v>
                </c:pt>
                <c:pt idx="107">
                  <c:v>45959</c:v>
                </c:pt>
                <c:pt idx="108">
                  <c:v>45958</c:v>
                </c:pt>
                <c:pt idx="109">
                  <c:v>45957</c:v>
                </c:pt>
                <c:pt idx="110">
                  <c:v>45954</c:v>
                </c:pt>
                <c:pt idx="111">
                  <c:v>45953</c:v>
                </c:pt>
                <c:pt idx="112">
                  <c:v>45952</c:v>
                </c:pt>
                <c:pt idx="113">
                  <c:v>45951</c:v>
                </c:pt>
                <c:pt idx="114">
                  <c:v>45950</c:v>
                </c:pt>
                <c:pt idx="115">
                  <c:v>45947</c:v>
                </c:pt>
                <c:pt idx="116">
                  <c:v>45946</c:v>
                </c:pt>
                <c:pt idx="117">
                  <c:v>45945</c:v>
                </c:pt>
                <c:pt idx="118">
                  <c:v>45944</c:v>
                </c:pt>
                <c:pt idx="119">
                  <c:v>45943</c:v>
                </c:pt>
                <c:pt idx="120">
                  <c:v>45940</c:v>
                </c:pt>
                <c:pt idx="121">
                  <c:v>45939</c:v>
                </c:pt>
                <c:pt idx="122">
                  <c:v>45938</c:v>
                </c:pt>
                <c:pt idx="123">
                  <c:v>45937</c:v>
                </c:pt>
                <c:pt idx="124">
                  <c:v>45936</c:v>
                </c:pt>
                <c:pt idx="125">
                  <c:v>45933</c:v>
                </c:pt>
                <c:pt idx="126">
                  <c:v>45932</c:v>
                </c:pt>
                <c:pt idx="127">
                  <c:v>45931</c:v>
                </c:pt>
                <c:pt idx="128">
                  <c:v>45930</c:v>
                </c:pt>
                <c:pt idx="129">
                  <c:v>45929</c:v>
                </c:pt>
                <c:pt idx="130">
                  <c:v>45926</c:v>
                </c:pt>
                <c:pt idx="131">
                  <c:v>45925</c:v>
                </c:pt>
                <c:pt idx="132">
                  <c:v>45924</c:v>
                </c:pt>
                <c:pt idx="133">
                  <c:v>45923</c:v>
                </c:pt>
                <c:pt idx="134">
                  <c:v>45922</c:v>
                </c:pt>
                <c:pt idx="135">
                  <c:v>45919</c:v>
                </c:pt>
                <c:pt idx="136">
                  <c:v>45918</c:v>
                </c:pt>
                <c:pt idx="137">
                  <c:v>45917</c:v>
                </c:pt>
                <c:pt idx="138">
                  <c:v>45916</c:v>
                </c:pt>
                <c:pt idx="139">
                  <c:v>45915</c:v>
                </c:pt>
                <c:pt idx="140">
                  <c:v>45912</c:v>
                </c:pt>
                <c:pt idx="141">
                  <c:v>45911</c:v>
                </c:pt>
                <c:pt idx="142">
                  <c:v>45910</c:v>
                </c:pt>
                <c:pt idx="143">
                  <c:v>45909</c:v>
                </c:pt>
                <c:pt idx="144">
                  <c:v>45908</c:v>
                </c:pt>
                <c:pt idx="145">
                  <c:v>45905</c:v>
                </c:pt>
                <c:pt idx="146">
                  <c:v>45904</c:v>
                </c:pt>
                <c:pt idx="147">
                  <c:v>45903</c:v>
                </c:pt>
                <c:pt idx="148">
                  <c:v>45902</c:v>
                </c:pt>
                <c:pt idx="149">
                  <c:v>45898</c:v>
                </c:pt>
                <c:pt idx="150">
                  <c:v>45897</c:v>
                </c:pt>
                <c:pt idx="151">
                  <c:v>45896</c:v>
                </c:pt>
                <c:pt idx="152">
                  <c:v>45895</c:v>
                </c:pt>
                <c:pt idx="153">
                  <c:v>45894</c:v>
                </c:pt>
                <c:pt idx="154">
                  <c:v>45891</c:v>
                </c:pt>
                <c:pt idx="155">
                  <c:v>45890</c:v>
                </c:pt>
                <c:pt idx="156">
                  <c:v>45889</c:v>
                </c:pt>
                <c:pt idx="157">
                  <c:v>45888</c:v>
                </c:pt>
                <c:pt idx="158">
                  <c:v>45887</c:v>
                </c:pt>
                <c:pt idx="159">
                  <c:v>45884</c:v>
                </c:pt>
                <c:pt idx="160">
                  <c:v>45883</c:v>
                </c:pt>
                <c:pt idx="161">
                  <c:v>45882</c:v>
                </c:pt>
                <c:pt idx="162">
                  <c:v>45881</c:v>
                </c:pt>
                <c:pt idx="163">
                  <c:v>45880</c:v>
                </c:pt>
                <c:pt idx="164">
                  <c:v>45877</c:v>
                </c:pt>
                <c:pt idx="165">
                  <c:v>45876</c:v>
                </c:pt>
                <c:pt idx="166">
                  <c:v>45875</c:v>
                </c:pt>
                <c:pt idx="167">
                  <c:v>45874</c:v>
                </c:pt>
                <c:pt idx="168">
                  <c:v>45873</c:v>
                </c:pt>
                <c:pt idx="169">
                  <c:v>45870</c:v>
                </c:pt>
                <c:pt idx="170">
                  <c:v>45869</c:v>
                </c:pt>
                <c:pt idx="171">
                  <c:v>45868</c:v>
                </c:pt>
                <c:pt idx="172">
                  <c:v>45867</c:v>
                </c:pt>
                <c:pt idx="173">
                  <c:v>45866</c:v>
                </c:pt>
                <c:pt idx="174">
                  <c:v>45863</c:v>
                </c:pt>
                <c:pt idx="175">
                  <c:v>45862</c:v>
                </c:pt>
                <c:pt idx="176">
                  <c:v>45861</c:v>
                </c:pt>
                <c:pt idx="177">
                  <c:v>45860</c:v>
                </c:pt>
                <c:pt idx="178">
                  <c:v>45859</c:v>
                </c:pt>
                <c:pt idx="179">
                  <c:v>45856</c:v>
                </c:pt>
                <c:pt idx="180">
                  <c:v>45855</c:v>
                </c:pt>
                <c:pt idx="181">
                  <c:v>45854</c:v>
                </c:pt>
                <c:pt idx="182">
                  <c:v>45853</c:v>
                </c:pt>
                <c:pt idx="183">
                  <c:v>45852</c:v>
                </c:pt>
                <c:pt idx="184">
                  <c:v>45849</c:v>
                </c:pt>
                <c:pt idx="185">
                  <c:v>45848</c:v>
                </c:pt>
                <c:pt idx="186">
                  <c:v>45847</c:v>
                </c:pt>
                <c:pt idx="187">
                  <c:v>45846</c:v>
                </c:pt>
                <c:pt idx="188">
                  <c:v>45845</c:v>
                </c:pt>
                <c:pt idx="189">
                  <c:v>45841</c:v>
                </c:pt>
                <c:pt idx="190">
                  <c:v>45840</c:v>
                </c:pt>
                <c:pt idx="191">
                  <c:v>45839</c:v>
                </c:pt>
                <c:pt idx="192">
                  <c:v>45838</c:v>
                </c:pt>
                <c:pt idx="193">
                  <c:v>45835</c:v>
                </c:pt>
                <c:pt idx="194">
                  <c:v>45834</c:v>
                </c:pt>
                <c:pt idx="195">
                  <c:v>45833</c:v>
                </c:pt>
                <c:pt idx="196">
                  <c:v>45832</c:v>
                </c:pt>
                <c:pt idx="197">
                  <c:v>45831</c:v>
                </c:pt>
                <c:pt idx="198">
                  <c:v>45828</c:v>
                </c:pt>
                <c:pt idx="199">
                  <c:v>45826</c:v>
                </c:pt>
                <c:pt idx="200">
                  <c:v>45825</c:v>
                </c:pt>
                <c:pt idx="201">
                  <c:v>45824</c:v>
                </c:pt>
                <c:pt idx="202">
                  <c:v>45821</c:v>
                </c:pt>
                <c:pt idx="203">
                  <c:v>45820</c:v>
                </c:pt>
                <c:pt idx="204">
                  <c:v>45819</c:v>
                </c:pt>
                <c:pt idx="205">
                  <c:v>45818</c:v>
                </c:pt>
                <c:pt idx="206">
                  <c:v>45817</c:v>
                </c:pt>
                <c:pt idx="207">
                  <c:v>45814</c:v>
                </c:pt>
                <c:pt idx="208">
                  <c:v>45813</c:v>
                </c:pt>
                <c:pt idx="209">
                  <c:v>45812</c:v>
                </c:pt>
                <c:pt idx="210">
                  <c:v>45811</c:v>
                </c:pt>
                <c:pt idx="211">
                  <c:v>45810</c:v>
                </c:pt>
                <c:pt idx="212">
                  <c:v>45807</c:v>
                </c:pt>
                <c:pt idx="213">
                  <c:v>45806</c:v>
                </c:pt>
                <c:pt idx="214">
                  <c:v>45805</c:v>
                </c:pt>
                <c:pt idx="215">
                  <c:v>45804</c:v>
                </c:pt>
                <c:pt idx="216">
                  <c:v>45800</c:v>
                </c:pt>
                <c:pt idx="217">
                  <c:v>45799</c:v>
                </c:pt>
                <c:pt idx="218">
                  <c:v>45798</c:v>
                </c:pt>
                <c:pt idx="219">
                  <c:v>45797</c:v>
                </c:pt>
                <c:pt idx="220">
                  <c:v>45796</c:v>
                </c:pt>
                <c:pt idx="221">
                  <c:v>45793</c:v>
                </c:pt>
                <c:pt idx="222">
                  <c:v>45792</c:v>
                </c:pt>
                <c:pt idx="223">
                  <c:v>45791</c:v>
                </c:pt>
                <c:pt idx="224">
                  <c:v>45790</c:v>
                </c:pt>
                <c:pt idx="225">
                  <c:v>45789</c:v>
                </c:pt>
                <c:pt idx="226">
                  <c:v>45786</c:v>
                </c:pt>
                <c:pt idx="227">
                  <c:v>45785</c:v>
                </c:pt>
                <c:pt idx="228">
                  <c:v>45784</c:v>
                </c:pt>
                <c:pt idx="229">
                  <c:v>45783</c:v>
                </c:pt>
                <c:pt idx="230">
                  <c:v>45782</c:v>
                </c:pt>
                <c:pt idx="231">
                  <c:v>45779</c:v>
                </c:pt>
                <c:pt idx="232">
                  <c:v>45778</c:v>
                </c:pt>
                <c:pt idx="233">
                  <c:v>45777</c:v>
                </c:pt>
                <c:pt idx="234">
                  <c:v>45776</c:v>
                </c:pt>
                <c:pt idx="235">
                  <c:v>45775</c:v>
                </c:pt>
                <c:pt idx="236">
                  <c:v>45772</c:v>
                </c:pt>
                <c:pt idx="237">
                  <c:v>45771</c:v>
                </c:pt>
                <c:pt idx="238">
                  <c:v>45770</c:v>
                </c:pt>
                <c:pt idx="239">
                  <c:v>45769</c:v>
                </c:pt>
                <c:pt idx="240">
                  <c:v>45768</c:v>
                </c:pt>
                <c:pt idx="241">
                  <c:v>45764</c:v>
                </c:pt>
                <c:pt idx="242">
                  <c:v>45763</c:v>
                </c:pt>
                <c:pt idx="243">
                  <c:v>45762</c:v>
                </c:pt>
                <c:pt idx="244">
                  <c:v>45761</c:v>
                </c:pt>
                <c:pt idx="245">
                  <c:v>45758</c:v>
                </c:pt>
                <c:pt idx="246">
                  <c:v>45757</c:v>
                </c:pt>
                <c:pt idx="247">
                  <c:v>45756</c:v>
                </c:pt>
                <c:pt idx="248">
                  <c:v>45755</c:v>
                </c:pt>
                <c:pt idx="249">
                  <c:v>45754</c:v>
                </c:pt>
                <c:pt idx="250">
                  <c:v>45751</c:v>
                </c:pt>
                <c:pt idx="251">
                  <c:v>45750</c:v>
                </c:pt>
              </c:numCache>
            </c:numRef>
          </c:cat>
          <c:val>
            <c:numRef>
              <c:f>Charts!$H$180:$H$431</c:f>
              <c:numCache>
                <c:formatCode>"$"#,##0.00_);\("$"#,##0.00\)</c:formatCode>
                <c:ptCount val="252"/>
                <c:pt idx="0">
                  <c:v>424</c:v>
                </c:pt>
                <c:pt idx="1">
                  <c:v>300.18</c:v>
                </c:pt>
              </c:numCache>
            </c:numRef>
          </c:val>
          <c:smooth val="0"/>
          <c:extLst>
            <c:ext xmlns:c16="http://schemas.microsoft.com/office/drawing/2014/chart" uri="{C3380CC4-5D6E-409C-BE32-E72D297353CC}">
              <c16:uniqueId val="{00000003-CA22-4354-A050-8F603C4BE6C1}"/>
            </c:ext>
          </c:extLst>
        </c:ser>
        <c:dLbls>
          <c:showLegendKey val="0"/>
          <c:showVal val="0"/>
          <c:showCatName val="0"/>
          <c:showSerName val="0"/>
          <c:showPercent val="0"/>
          <c:showBubbleSize val="0"/>
        </c:dLbls>
        <c:smooth val="0"/>
        <c:axId val="1676852762"/>
        <c:axId val="1809042322"/>
      </c:lineChart>
      <c:dateAx>
        <c:axId val="1676852762"/>
        <c:scaling>
          <c:orientation val="minMax"/>
          <c:max val="46299"/>
          <c:min val="45751"/>
        </c:scaling>
        <c:delete val="0"/>
        <c:axPos val="b"/>
        <c:title>
          <c:tx>
            <c:rich>
              <a:bodyPr/>
              <a:lstStyle/>
              <a:p>
                <a:pPr>
                  <a:defRPr/>
                </a:pPr>
                <a:endParaRPr lang="en-US"/>
              </a:p>
            </c:rich>
          </c:tx>
          <c:overlay val="0"/>
        </c:title>
        <c:numFmt formatCode="[$-409]mmm\-yy;@" sourceLinked="0"/>
        <c:majorTickMark val="out"/>
        <c:minorTickMark val="none"/>
        <c:tickLblPos val="nextTo"/>
        <c:crossAx val="1809042322"/>
        <c:crosses val="autoZero"/>
        <c:auto val="1"/>
        <c:lblOffset val="100"/>
        <c:baseTimeUnit val="days"/>
        <c:majorUnit val="4"/>
        <c:majorTimeUnit val="months"/>
      </c:dateAx>
      <c:valAx>
        <c:axId val="1809042322"/>
        <c:scaling>
          <c:orientation val="minMax"/>
          <c:max val="450"/>
          <c:min val="200"/>
        </c:scaling>
        <c:delete val="0"/>
        <c:axPos val="l"/>
        <c:title>
          <c:tx>
            <c:rich>
              <a:bodyPr/>
              <a:lstStyle/>
              <a:p>
                <a:pPr>
                  <a:defRPr/>
                </a:pPr>
                <a:endParaRPr lang="en-US"/>
              </a:p>
            </c:rich>
          </c:tx>
          <c:overlay val="0"/>
        </c:title>
        <c:numFmt formatCode="&quot;$&quot;#,##0.00" sourceLinked="0"/>
        <c:majorTickMark val="out"/>
        <c:minorTickMark val="none"/>
        <c:tickLblPos val="nextTo"/>
        <c:spPr>
          <a:ln/>
        </c:spPr>
        <c:crossAx val="1676852762"/>
        <c:crosses val="autoZero"/>
        <c:crossBetween val="between"/>
        <c:majorUnit val="50"/>
      </c:valAx>
    </c:plotArea>
    <c:legend>
      <c:legendPos val="b"/>
      <c:legendEntry>
        <c:idx val="0"/>
        <c:delete val="1"/>
      </c:legendEntry>
      <c:layout>
        <c:manualLayout>
          <c:xMode val="edge"/>
          <c:yMode val="edge"/>
          <c:x val="0.25940096285778486"/>
          <c:y val="0.90574074561750018"/>
          <c:w val="0.48119788305150379"/>
          <c:h val="6.7503401539690477E-2"/>
        </c:manualLayout>
      </c:layout>
      <c:overlay val="0"/>
      <c:txPr>
        <a:bodyPr/>
        <a:lstStyle/>
        <a:p>
          <a:pPr rtl="0">
            <a:defRPr/>
          </a:pPr>
          <a:endParaRPr lang="en-US"/>
        </a:p>
      </c:txPr>
    </c:legend>
    <c:plotVisOnly val="1"/>
    <c:dispBlanksAs val="zero"/>
    <c:showDLblsOverMax val="1"/>
  </c:chart>
  <c:spPr>
    <a:ln>
      <a:noFill/>
    </a:ln>
  </c:spPr>
  <c:txPr>
    <a:bodyPr/>
    <a:lstStyle/>
    <a:p>
      <a:pPr>
        <a:defRPr sz="800">
          <a:latin typeface="Abadi Extra Light" panose="020B0204020104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BD6C-4146-BDAD-49AE59747CF1}"/>
              </c:ext>
            </c:extLst>
          </c:dPt>
          <c:dLbls>
            <c:spPr>
              <a:noFill/>
              <a:ln>
                <a:noFill/>
              </a:ln>
              <a:effectLst/>
            </c:spPr>
            <c:txPr>
              <a:bodyPr/>
              <a:lstStyle/>
              <a:p>
                <a:pPr>
                  <a:defRPr sz="800">
                    <a:solidFill>
                      <a:schemeClr val="tx1"/>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Benchmark!$O$12:$O$16</c:f>
              <c:strCache>
                <c:ptCount val="5"/>
                <c:pt idx="0">
                  <c:v>AXP</c:v>
                </c:pt>
                <c:pt idx="1">
                  <c:v>V</c:v>
                </c:pt>
                <c:pt idx="2">
                  <c:v>MA</c:v>
                </c:pt>
                <c:pt idx="3">
                  <c:v>COF</c:v>
                </c:pt>
                <c:pt idx="4">
                  <c:v>JPM</c:v>
                </c:pt>
              </c:strCache>
            </c:strRef>
          </c:cat>
          <c:val>
            <c:numRef>
              <c:f>Benchmark!$P$12:$P$16</c:f>
              <c:numCache>
                <c:formatCode>#,##0.0%_);\(#,##0.0%\);"-"</c:formatCode>
                <c:ptCount val="5"/>
                <c:pt idx="0">
                  <c:v>0.17651237558419064</c:v>
                </c:pt>
                <c:pt idx="1">
                  <c:v>0.11538760770708574</c:v>
                </c:pt>
                <c:pt idx="2">
                  <c:v>0.1283003498780963</c:v>
                </c:pt>
                <c:pt idx="3">
                  <c:v>0.93595396600245528</c:v>
                </c:pt>
                <c:pt idx="4">
                  <c:v>0.15442559397643948</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D6C-4146-BDAD-49AE59747CF1}"/>
            </c:ext>
          </c:extLst>
        </c:ser>
        <c:dLbls>
          <c:showLegendKey val="0"/>
          <c:showVal val="0"/>
          <c:showCatName val="0"/>
          <c:showSerName val="0"/>
          <c:showPercent val="0"/>
          <c:showBubbleSize val="0"/>
        </c:dLbls>
        <c:gapWidth val="150"/>
        <c:axId val="1297121243"/>
        <c:axId val="2102223777"/>
      </c:barChart>
      <c:lineChart>
        <c:grouping val="standard"/>
        <c:varyColors val="0"/>
        <c:ser>
          <c:idx val="1"/>
          <c:order val="1"/>
          <c:spPr>
            <a:ln w="28575" cmpd="sng">
              <a:solidFill>
                <a:srgbClr val="BDD7EE">
                  <a:alpha val="100000"/>
                </a:srgbClr>
              </a:solidFill>
              <a:prstDash val="dash"/>
            </a:ln>
          </c:spPr>
          <c:marker>
            <c:symbol val="none"/>
          </c:marker>
          <c:cat>
            <c:strRef>
              <c:f>Benchmark!$O$12:$O$16</c:f>
              <c:strCache>
                <c:ptCount val="5"/>
                <c:pt idx="0">
                  <c:v>AXP</c:v>
                </c:pt>
                <c:pt idx="1">
                  <c:v>V</c:v>
                </c:pt>
                <c:pt idx="2">
                  <c:v>MA</c:v>
                </c:pt>
                <c:pt idx="3">
                  <c:v>COF</c:v>
                </c:pt>
                <c:pt idx="4">
                  <c:v>JPM</c:v>
                </c:pt>
              </c:strCache>
            </c:strRef>
          </c:cat>
          <c:val>
            <c:numRef>
              <c:f>Benchmark!$Q$12:$Q$16</c:f>
              <c:numCache>
                <c:formatCode>#,##0.0%_);\(#,##0.0%\);"-"</c:formatCode>
                <c:ptCount val="5"/>
                <c:pt idx="0">
                  <c:v>0.15442559397643948</c:v>
                </c:pt>
                <c:pt idx="1">
                  <c:v>0.15442559397643948</c:v>
                </c:pt>
                <c:pt idx="2">
                  <c:v>0.15442559397643948</c:v>
                </c:pt>
                <c:pt idx="3">
                  <c:v>0.15442559397643948</c:v>
                </c:pt>
                <c:pt idx="4">
                  <c:v>0.15442559397643948</c:v>
                </c:pt>
              </c:numCache>
            </c:numRef>
          </c:val>
          <c:smooth val="0"/>
          <c:extLst>
            <c:ext xmlns:c16="http://schemas.microsoft.com/office/drawing/2014/chart" uri="{C3380CC4-5D6E-409C-BE32-E72D297353CC}">
              <c16:uniqueId val="{00000003-BD6C-4146-BDAD-49AE59747CF1}"/>
            </c:ext>
          </c:extLst>
        </c:ser>
        <c:dLbls>
          <c:showLegendKey val="0"/>
          <c:showVal val="0"/>
          <c:showCatName val="0"/>
          <c:showSerName val="0"/>
          <c:showPercent val="0"/>
          <c:showBubbleSize val="0"/>
        </c:dLbls>
        <c:marker val="1"/>
        <c:smooth val="0"/>
        <c:axId val="716311056"/>
        <c:axId val="716310096"/>
      </c:lineChart>
      <c:catAx>
        <c:axId val="1297121243"/>
        <c:scaling>
          <c:orientation val="minMax"/>
        </c:scaling>
        <c:delete val="0"/>
        <c:axPos val="b"/>
        <c:title>
          <c:tx>
            <c:rich>
              <a:bodyPr/>
              <a:lstStyle/>
              <a:p>
                <a:pPr>
                  <a:defRPr/>
                </a:pPr>
                <a:endParaRPr lang="en-US"/>
              </a:p>
            </c:rich>
          </c:tx>
          <c:overlay val="0"/>
        </c:title>
        <c:numFmt formatCode="General" sourceLinked="1"/>
        <c:majorTickMark val="out"/>
        <c:minorTickMark val="none"/>
        <c:tickLblPos val="nextTo"/>
        <c:txPr>
          <a:bodyPr/>
          <a:lstStyle/>
          <a:p>
            <a:pPr>
              <a:defRPr sz="800">
                <a:solidFill>
                  <a:schemeClr val="tx1"/>
                </a:solidFill>
              </a:defRPr>
            </a:pPr>
            <a:endParaRPr lang="en-US"/>
          </a:p>
        </c:txPr>
        <c:crossAx val="2102223777"/>
        <c:crosses val="autoZero"/>
        <c:auto val="1"/>
        <c:lblAlgn val="ctr"/>
        <c:lblOffset val="100"/>
        <c:noMultiLvlLbl val="1"/>
      </c:catAx>
      <c:valAx>
        <c:axId val="2102223777"/>
        <c:scaling>
          <c:orientation val="minMax"/>
          <c:max val="0.32000000000000006"/>
        </c:scaling>
        <c:delete val="0"/>
        <c:axPos val="l"/>
        <c:title>
          <c:tx>
            <c:rich>
              <a:bodyPr/>
              <a:lstStyle/>
              <a:p>
                <a:pPr>
                  <a:defRPr/>
                </a:pPr>
                <a:endParaRPr lang="en-US"/>
              </a:p>
            </c:rich>
          </c:tx>
          <c:overlay val="0"/>
        </c:title>
        <c:numFmt formatCode="#,##0.0%_);\(#,##0%\)" sourceLinked="0"/>
        <c:majorTickMark val="out"/>
        <c:minorTickMark val="none"/>
        <c:tickLblPos val="nextTo"/>
        <c:spPr>
          <a:ln/>
        </c:spPr>
        <c:txPr>
          <a:bodyPr/>
          <a:lstStyle/>
          <a:p>
            <a:pPr>
              <a:defRPr sz="800">
                <a:solidFill>
                  <a:schemeClr val="tx1"/>
                </a:solidFill>
              </a:defRPr>
            </a:pPr>
            <a:endParaRPr lang="en-US"/>
          </a:p>
        </c:txPr>
        <c:crossAx val="1297121243"/>
        <c:crosses val="autoZero"/>
        <c:crossBetween val="between"/>
        <c:majorUnit val="4.0000000000000008E-2"/>
      </c:valAx>
      <c:valAx>
        <c:axId val="716310096"/>
        <c:scaling>
          <c:orientation val="minMax"/>
          <c:max val="0.2"/>
          <c:min val="0"/>
        </c:scaling>
        <c:delete val="0"/>
        <c:axPos val="r"/>
        <c:numFmt formatCode="#,##0.0%_);\(#,##0.0%\)" sourceLinked="0"/>
        <c:majorTickMark val="out"/>
        <c:minorTickMark val="none"/>
        <c:tickLblPos val="nextTo"/>
        <c:txPr>
          <a:bodyPr/>
          <a:lstStyle/>
          <a:p>
            <a:pPr>
              <a:defRPr sz="800">
                <a:solidFill>
                  <a:schemeClr val="tx1"/>
                </a:solidFill>
              </a:defRPr>
            </a:pPr>
            <a:endParaRPr lang="en-US"/>
          </a:p>
        </c:txPr>
        <c:crossAx val="716311056"/>
        <c:crosses val="max"/>
        <c:crossBetween val="between"/>
        <c:majorUnit val="4.0000000000000008E-2"/>
      </c:valAx>
      <c:catAx>
        <c:axId val="716311056"/>
        <c:scaling>
          <c:orientation val="minMax"/>
        </c:scaling>
        <c:delete val="1"/>
        <c:axPos val="b"/>
        <c:numFmt formatCode="General" sourceLinked="1"/>
        <c:majorTickMark val="out"/>
        <c:minorTickMark val="none"/>
        <c:tickLblPos val="nextTo"/>
        <c:crossAx val="716310096"/>
        <c:crosses val="autoZero"/>
        <c:auto val="1"/>
        <c:lblAlgn val="ctr"/>
        <c:lblOffset val="100"/>
        <c:noMultiLvlLbl val="0"/>
      </c:catAx>
    </c:plotArea>
    <c:plotVisOnly val="1"/>
    <c:dispBlanksAs val="zero"/>
    <c:showDLblsOverMax val="1"/>
  </c:chart>
  <c:txPr>
    <a:bodyPr/>
    <a:lstStyle/>
    <a:p>
      <a:pPr>
        <a:defRPr>
          <a:latin typeface="Abadi Extra Light" panose="020B0204020104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AA01-40E6-90D3-1295707D1972}"/>
              </c:ext>
            </c:extLst>
          </c:dPt>
          <c:dLbls>
            <c:spPr>
              <a:noFill/>
              <a:ln>
                <a:noFill/>
              </a:ln>
              <a:effectLst/>
            </c:spPr>
            <c:txPr>
              <a:bodyPr/>
              <a:lstStyle/>
              <a:p>
                <a:pPr lvl="0">
                  <a:defRPr sz="800" b="0" i="0">
                    <a:solidFill>
                      <a:schemeClr val="tx1"/>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Benchmark!$O$28:$O$32</c:f>
              <c:strCache>
                <c:ptCount val="5"/>
                <c:pt idx="0">
                  <c:v>AXP</c:v>
                </c:pt>
                <c:pt idx="1">
                  <c:v>V</c:v>
                </c:pt>
                <c:pt idx="2">
                  <c:v>MA</c:v>
                </c:pt>
                <c:pt idx="3">
                  <c:v>COF</c:v>
                </c:pt>
                <c:pt idx="4">
                  <c:v>JPM</c:v>
                </c:pt>
              </c:strCache>
            </c:strRef>
          </c:cat>
          <c:val>
            <c:numRef>
              <c:f>Benchmark!$P$28:$P$32</c:f>
              <c:numCache>
                <c:formatCode>#,##0.0%_);\(#,##0.0%\);"-"</c:formatCode>
                <c:ptCount val="5"/>
                <c:pt idx="0">
                  <c:v>0.14373797139141731</c:v>
                </c:pt>
                <c:pt idx="1">
                  <c:v>0.25985329337915136</c:v>
                </c:pt>
                <c:pt idx="2">
                  <c:v>0.18623376018040683</c:v>
                </c:pt>
                <c:pt idx="3">
                  <c:v>4.0367016716739492</c:v>
                </c:pt>
                <c:pt idx="4">
                  <c:v>8.3899012859338845E-2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AA01-40E6-90D3-1295707D1972}"/>
            </c:ext>
          </c:extLst>
        </c:ser>
        <c:dLbls>
          <c:showLegendKey val="0"/>
          <c:showVal val="0"/>
          <c:showCatName val="0"/>
          <c:showSerName val="0"/>
          <c:showPercent val="0"/>
          <c:showBubbleSize val="0"/>
        </c:dLbls>
        <c:gapWidth val="150"/>
        <c:axId val="336003470"/>
        <c:axId val="318245444"/>
      </c:barChart>
      <c:lineChart>
        <c:grouping val="standard"/>
        <c:varyColors val="0"/>
        <c:ser>
          <c:idx val="1"/>
          <c:order val="1"/>
          <c:spPr>
            <a:ln w="28575" cmpd="sng">
              <a:solidFill>
                <a:srgbClr val="BDD7EE">
                  <a:alpha val="100000"/>
                </a:srgbClr>
              </a:solidFill>
              <a:prstDash val="dash"/>
            </a:ln>
          </c:spPr>
          <c:marker>
            <c:symbol val="none"/>
          </c:marker>
          <c:cat>
            <c:strRef>
              <c:f>Benchmark!$O$28:$O$32</c:f>
              <c:strCache>
                <c:ptCount val="5"/>
                <c:pt idx="0">
                  <c:v>AXP</c:v>
                </c:pt>
                <c:pt idx="1">
                  <c:v>V</c:v>
                </c:pt>
                <c:pt idx="2">
                  <c:v>MA</c:v>
                </c:pt>
                <c:pt idx="3">
                  <c:v>COF</c:v>
                </c:pt>
                <c:pt idx="4">
                  <c:v>JPM</c:v>
                </c:pt>
              </c:strCache>
            </c:strRef>
          </c:cat>
          <c:val>
            <c:numRef>
              <c:f>Benchmark!$Q$28:$Q$32</c:f>
              <c:numCache>
                <c:formatCode>#,##0.0%_);\(#,##0.0%\);"-"</c:formatCode>
                <c:ptCount val="5"/>
                <c:pt idx="0">
                  <c:v>0.18623376018040683</c:v>
                </c:pt>
                <c:pt idx="1">
                  <c:v>0.18623376018040683</c:v>
                </c:pt>
                <c:pt idx="2">
                  <c:v>0.18623376018040683</c:v>
                </c:pt>
                <c:pt idx="3">
                  <c:v>0.18623376018040683</c:v>
                </c:pt>
                <c:pt idx="4">
                  <c:v>0.18623376018040683</c:v>
                </c:pt>
              </c:numCache>
            </c:numRef>
          </c:val>
          <c:smooth val="0"/>
          <c:extLst>
            <c:ext xmlns:c16="http://schemas.microsoft.com/office/drawing/2014/chart" uri="{C3380CC4-5D6E-409C-BE32-E72D297353CC}">
              <c16:uniqueId val="{00000003-AA01-40E6-90D3-1295707D1972}"/>
            </c:ext>
          </c:extLst>
        </c:ser>
        <c:dLbls>
          <c:showLegendKey val="0"/>
          <c:showVal val="0"/>
          <c:showCatName val="0"/>
          <c:showSerName val="0"/>
          <c:showPercent val="0"/>
          <c:showBubbleSize val="0"/>
        </c:dLbls>
        <c:marker val="1"/>
        <c:smooth val="0"/>
        <c:axId val="723021984"/>
        <c:axId val="723022944"/>
      </c:lineChart>
      <c:catAx>
        <c:axId val="33600347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chemeClr val="tx1"/>
                </a:solidFill>
                <a:latin typeface="Abadi Extra Light"/>
              </a:defRPr>
            </a:pPr>
            <a:endParaRPr lang="en-US"/>
          </a:p>
        </c:txPr>
        <c:crossAx val="318245444"/>
        <c:crosses val="autoZero"/>
        <c:auto val="1"/>
        <c:lblAlgn val="ctr"/>
        <c:lblOffset val="100"/>
        <c:noMultiLvlLbl val="1"/>
      </c:catAx>
      <c:valAx>
        <c:axId val="318245444"/>
        <c:scaling>
          <c:orientation val="minMax"/>
          <c:max val="0.25"/>
        </c:scaling>
        <c:delete val="0"/>
        <c:axPos val="l"/>
        <c:title>
          <c:tx>
            <c:rich>
              <a:bodyPr/>
              <a:lstStyle/>
              <a:p>
                <a:pPr lvl="0">
                  <a:defRPr b="0">
                    <a:solidFill>
                      <a:srgbClr val="000000"/>
                    </a:solidFill>
                    <a:latin typeface="+mn-lt"/>
                  </a:defRPr>
                </a:pPr>
                <a:endParaRPr lang="en-US"/>
              </a:p>
            </c:rich>
          </c:tx>
          <c:overlay val="0"/>
        </c:title>
        <c:numFmt formatCode="#,##0.0%_);\(#,##0%\)" sourceLinked="0"/>
        <c:majorTickMark val="out"/>
        <c:minorTickMark val="none"/>
        <c:tickLblPos val="nextTo"/>
        <c:spPr>
          <a:ln/>
        </c:spPr>
        <c:txPr>
          <a:bodyPr/>
          <a:lstStyle/>
          <a:p>
            <a:pPr lvl="0">
              <a:defRPr sz="800" b="0" i="0">
                <a:solidFill>
                  <a:schemeClr val="tx1"/>
                </a:solidFill>
                <a:latin typeface="Abadi Extra Light" panose="020B0204020104020204" pitchFamily="34" charset="0"/>
              </a:defRPr>
            </a:pPr>
            <a:endParaRPr lang="en-US"/>
          </a:p>
        </c:txPr>
        <c:crossAx val="336003470"/>
        <c:crosses val="autoZero"/>
        <c:crossBetween val="between"/>
        <c:majorUnit val="5.000000000000001E-2"/>
      </c:valAx>
      <c:valAx>
        <c:axId val="723022944"/>
        <c:scaling>
          <c:orientation val="minMax"/>
        </c:scaling>
        <c:delete val="0"/>
        <c:axPos val="r"/>
        <c:numFmt formatCode="#,##0.0%_);\(#,##0.0%\)" sourceLinked="0"/>
        <c:majorTickMark val="out"/>
        <c:minorTickMark val="none"/>
        <c:tickLblPos val="nextTo"/>
        <c:txPr>
          <a:bodyPr/>
          <a:lstStyle/>
          <a:p>
            <a:pPr>
              <a:defRPr sz="800">
                <a:solidFill>
                  <a:schemeClr val="tx1"/>
                </a:solidFill>
                <a:latin typeface="Abadi Extra Light" panose="020B0204020104020204" pitchFamily="34" charset="0"/>
              </a:defRPr>
            </a:pPr>
            <a:endParaRPr lang="en-US"/>
          </a:p>
        </c:txPr>
        <c:crossAx val="723021984"/>
        <c:crosses val="max"/>
        <c:crossBetween val="between"/>
        <c:majorUnit val="4.0000000000000008E-2"/>
      </c:valAx>
      <c:catAx>
        <c:axId val="723021984"/>
        <c:scaling>
          <c:orientation val="minMax"/>
        </c:scaling>
        <c:delete val="1"/>
        <c:axPos val="b"/>
        <c:numFmt formatCode="General" sourceLinked="1"/>
        <c:majorTickMark val="out"/>
        <c:minorTickMark val="none"/>
        <c:tickLblPos val="nextTo"/>
        <c:crossAx val="723022944"/>
        <c:crosses val="autoZero"/>
        <c:auto val="1"/>
        <c:lblAlgn val="ctr"/>
        <c:lblOffset val="100"/>
        <c:noMultiLvlLbl val="0"/>
      </c:catAx>
    </c:plotArea>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97BB-4A3A-87FE-555D8615216C}"/>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Benchmark!$O$44:$O$48</c:f>
              <c:strCache>
                <c:ptCount val="5"/>
                <c:pt idx="0">
                  <c:v>AXP</c:v>
                </c:pt>
                <c:pt idx="1">
                  <c:v>V</c:v>
                </c:pt>
                <c:pt idx="2">
                  <c:v>MA</c:v>
                </c:pt>
                <c:pt idx="3">
                  <c:v>COF</c:v>
                </c:pt>
                <c:pt idx="4">
                  <c:v>JPM</c:v>
                </c:pt>
              </c:strCache>
            </c:strRef>
          </c:cat>
          <c:val>
            <c:numRef>
              <c:f>Benchmark!$P$44:$P$48</c:f>
              <c:numCache>
                <c:formatCode>#,##0.0\x_);\(#,##0.0\x\);"-"</c:formatCode>
                <c:ptCount val="5"/>
                <c:pt idx="0">
                  <c:v>12.6</c:v>
                </c:pt>
                <c:pt idx="1">
                  <c:v>18.092404635514459</c:v>
                </c:pt>
                <c:pt idx="2">
                  <c:v>18.909666103399132</c:v>
                </c:pt>
                <c:pt idx="3">
                  <c:v>4.2038599458789629E-7</c:v>
                </c:pt>
                <c:pt idx="4">
                  <c:v>1.6866489776016379E-7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97BB-4A3A-87FE-555D8615216C}"/>
            </c:ext>
          </c:extLst>
        </c:ser>
        <c:dLbls>
          <c:showLegendKey val="0"/>
          <c:showVal val="0"/>
          <c:showCatName val="0"/>
          <c:showSerName val="0"/>
          <c:showPercent val="0"/>
          <c:showBubbleSize val="0"/>
        </c:dLbls>
        <c:gapWidth val="150"/>
        <c:axId val="2005121077"/>
        <c:axId val="743533885"/>
      </c:barChart>
      <c:lineChart>
        <c:grouping val="standard"/>
        <c:varyColors val="0"/>
        <c:ser>
          <c:idx val="1"/>
          <c:order val="1"/>
          <c:spPr>
            <a:ln w="28575" cmpd="sng">
              <a:solidFill>
                <a:srgbClr val="BDD7EE">
                  <a:alpha val="100000"/>
                </a:srgbClr>
              </a:solidFill>
              <a:prstDash val="dash"/>
            </a:ln>
          </c:spPr>
          <c:marker>
            <c:symbol val="none"/>
          </c:marker>
          <c:cat>
            <c:strRef>
              <c:f>Benchmark!$O$44:$O$48</c:f>
              <c:strCache>
                <c:ptCount val="5"/>
                <c:pt idx="0">
                  <c:v>AXP</c:v>
                </c:pt>
                <c:pt idx="1">
                  <c:v>V</c:v>
                </c:pt>
                <c:pt idx="2">
                  <c:v>MA</c:v>
                </c:pt>
                <c:pt idx="3">
                  <c:v>COF</c:v>
                </c:pt>
                <c:pt idx="4">
                  <c:v>JPM</c:v>
                </c:pt>
              </c:strCache>
            </c:strRef>
          </c:cat>
          <c:val>
            <c:numRef>
              <c:f>Benchmark!$Q$44:$Q$48</c:f>
              <c:numCache>
                <c:formatCode>#,##0.0\x_);\(#,##0.0\x\);"-"</c:formatCode>
                <c:ptCount val="5"/>
                <c:pt idx="0">
                  <c:v>12.6</c:v>
                </c:pt>
                <c:pt idx="1">
                  <c:v>12.6</c:v>
                </c:pt>
                <c:pt idx="2">
                  <c:v>12.6</c:v>
                </c:pt>
                <c:pt idx="3">
                  <c:v>12.6</c:v>
                </c:pt>
                <c:pt idx="4">
                  <c:v>12.6</c:v>
                </c:pt>
              </c:numCache>
            </c:numRef>
          </c:val>
          <c:smooth val="0"/>
          <c:extLst>
            <c:ext xmlns:c16="http://schemas.microsoft.com/office/drawing/2014/chart" uri="{C3380CC4-5D6E-409C-BE32-E72D297353CC}">
              <c16:uniqueId val="{00000003-97BB-4A3A-87FE-555D8615216C}"/>
            </c:ext>
          </c:extLst>
        </c:ser>
        <c:dLbls>
          <c:showLegendKey val="0"/>
          <c:showVal val="0"/>
          <c:showCatName val="0"/>
          <c:showSerName val="0"/>
          <c:showPercent val="0"/>
          <c:showBubbleSize val="0"/>
        </c:dLbls>
        <c:marker val="1"/>
        <c:smooth val="0"/>
        <c:axId val="1127361632"/>
        <c:axId val="1127358272"/>
      </c:lineChart>
      <c:catAx>
        <c:axId val="2005121077"/>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chemeClr val="tx1"/>
                </a:solidFill>
                <a:latin typeface="Abadi Extra Light"/>
              </a:defRPr>
            </a:pPr>
            <a:endParaRPr lang="en-US"/>
          </a:p>
        </c:txPr>
        <c:crossAx val="743533885"/>
        <c:crosses val="autoZero"/>
        <c:auto val="1"/>
        <c:lblAlgn val="ctr"/>
        <c:lblOffset val="100"/>
        <c:noMultiLvlLbl val="1"/>
      </c:catAx>
      <c:valAx>
        <c:axId val="743533885"/>
        <c:scaling>
          <c:orientation val="minMax"/>
          <c:max val="18"/>
        </c:scaling>
        <c:delete val="0"/>
        <c:axPos val="l"/>
        <c:title>
          <c:tx>
            <c:rich>
              <a:bodyPr/>
              <a:lstStyle/>
              <a:p>
                <a:pPr lvl="0">
                  <a:defRPr b="0">
                    <a:solidFill>
                      <a:srgbClr val="000000"/>
                    </a:solidFill>
                    <a:latin typeface="+mn-lt"/>
                  </a:defRPr>
                </a:pPr>
                <a:endParaRPr lang="en-US"/>
              </a:p>
            </c:rich>
          </c:tx>
          <c:overlay val="0"/>
        </c:title>
        <c:numFmt formatCode="#,##0.0\x_);\(#,##0.0\x\)" sourceLinked="0"/>
        <c:majorTickMark val="out"/>
        <c:minorTickMark val="none"/>
        <c:tickLblPos val="nextTo"/>
        <c:spPr>
          <a:ln/>
        </c:spPr>
        <c:txPr>
          <a:bodyPr/>
          <a:lstStyle/>
          <a:p>
            <a:pPr lvl="0">
              <a:defRPr sz="800" b="0" i="0">
                <a:solidFill>
                  <a:schemeClr val="tx1"/>
                </a:solidFill>
                <a:latin typeface="Abadi Extra Light" panose="020B0204020104020204" pitchFamily="34" charset="0"/>
              </a:defRPr>
            </a:pPr>
            <a:endParaRPr lang="en-US"/>
          </a:p>
        </c:txPr>
        <c:crossAx val="2005121077"/>
        <c:crosses val="autoZero"/>
        <c:crossBetween val="between"/>
        <c:majorUnit val="3"/>
      </c:valAx>
      <c:valAx>
        <c:axId val="1127358272"/>
        <c:scaling>
          <c:orientation val="minMax"/>
        </c:scaling>
        <c:delete val="0"/>
        <c:axPos val="r"/>
        <c:numFmt formatCode="#,##0.0\x_);\(#,##0.0\x\)" sourceLinked="0"/>
        <c:majorTickMark val="out"/>
        <c:minorTickMark val="none"/>
        <c:tickLblPos val="nextTo"/>
        <c:txPr>
          <a:bodyPr/>
          <a:lstStyle/>
          <a:p>
            <a:pPr>
              <a:defRPr sz="800">
                <a:latin typeface="Abadi Extra Light" panose="020B0204020104020204" pitchFamily="34" charset="0"/>
              </a:defRPr>
            </a:pPr>
            <a:endParaRPr lang="en-US"/>
          </a:p>
        </c:txPr>
        <c:crossAx val="1127361632"/>
        <c:crosses val="max"/>
        <c:crossBetween val="between"/>
        <c:majorUnit val="3"/>
      </c:valAx>
      <c:catAx>
        <c:axId val="1127361632"/>
        <c:scaling>
          <c:orientation val="minMax"/>
        </c:scaling>
        <c:delete val="1"/>
        <c:axPos val="b"/>
        <c:numFmt formatCode="General" sourceLinked="1"/>
        <c:majorTickMark val="out"/>
        <c:minorTickMark val="none"/>
        <c:tickLblPos val="nextTo"/>
        <c:crossAx val="1127358272"/>
        <c:crosses val="autoZero"/>
        <c:auto val="1"/>
        <c:lblAlgn val="ctr"/>
        <c:lblOffset val="100"/>
        <c:noMultiLvlLbl val="0"/>
      </c:catAx>
    </c:plotArea>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4C47-46AD-9F6A-A87F2B55F6FD}"/>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Benchmark!$O$60:$O$64</c:f>
              <c:strCache>
                <c:ptCount val="5"/>
                <c:pt idx="0">
                  <c:v>AXP</c:v>
                </c:pt>
                <c:pt idx="1">
                  <c:v>MA</c:v>
                </c:pt>
                <c:pt idx="2">
                  <c:v>V</c:v>
                </c:pt>
                <c:pt idx="3">
                  <c:v>JPM</c:v>
                </c:pt>
                <c:pt idx="4">
                  <c:v>COF</c:v>
                </c:pt>
              </c:strCache>
            </c:strRef>
          </c:cat>
          <c:val>
            <c:numRef>
              <c:f>Benchmark!$P$60:$P$64</c:f>
              <c:numCache>
                <c:formatCode>#,##0.0\x_);\(#,##0.0\x\);"-"</c:formatCode>
                <c:ptCount val="5"/>
                <c:pt idx="0">
                  <c:v>16.755862633410693</c:v>
                </c:pt>
                <c:pt idx="1">
                  <c:v>24.873324025086493</c:v>
                </c:pt>
                <c:pt idx="2">
                  <c:v>22.902762089801854</c:v>
                </c:pt>
                <c:pt idx="3">
                  <c:v>13.043407457692155</c:v>
                </c:pt>
                <c:pt idx="4">
                  <c:v>8.9793777528841439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C47-46AD-9F6A-A87F2B55F6FD}"/>
            </c:ext>
          </c:extLst>
        </c:ser>
        <c:dLbls>
          <c:showLegendKey val="0"/>
          <c:showVal val="0"/>
          <c:showCatName val="0"/>
          <c:showSerName val="0"/>
          <c:showPercent val="0"/>
          <c:showBubbleSize val="0"/>
        </c:dLbls>
        <c:gapWidth val="150"/>
        <c:axId val="576120556"/>
        <c:axId val="848760739"/>
      </c:barChart>
      <c:lineChart>
        <c:grouping val="standard"/>
        <c:varyColors val="0"/>
        <c:ser>
          <c:idx val="1"/>
          <c:order val="1"/>
          <c:spPr>
            <a:ln w="28575" cmpd="sng">
              <a:solidFill>
                <a:srgbClr val="BDD7EE">
                  <a:alpha val="100000"/>
                </a:srgbClr>
              </a:solidFill>
              <a:prstDash val="dash"/>
            </a:ln>
          </c:spPr>
          <c:marker>
            <c:symbol val="none"/>
          </c:marker>
          <c:cat>
            <c:strRef>
              <c:f>Benchmark!$O$60:$O$64</c:f>
              <c:strCache>
                <c:ptCount val="5"/>
                <c:pt idx="0">
                  <c:v>AXP</c:v>
                </c:pt>
                <c:pt idx="1">
                  <c:v>MA</c:v>
                </c:pt>
                <c:pt idx="2">
                  <c:v>V</c:v>
                </c:pt>
                <c:pt idx="3">
                  <c:v>JPM</c:v>
                </c:pt>
                <c:pt idx="4">
                  <c:v>COF</c:v>
                </c:pt>
              </c:strCache>
            </c:strRef>
          </c:cat>
          <c:val>
            <c:numRef>
              <c:f>Benchmark!$Q$60:$Q$64</c:f>
              <c:numCache>
                <c:formatCode>#,##0.0\x_);\(#,##0.0\x\);"-"</c:formatCode>
                <c:ptCount val="5"/>
                <c:pt idx="0">
                  <c:v>16.755862633410693</c:v>
                </c:pt>
                <c:pt idx="1">
                  <c:v>16.755862633410693</c:v>
                </c:pt>
                <c:pt idx="2">
                  <c:v>16.755862633410693</c:v>
                </c:pt>
                <c:pt idx="3">
                  <c:v>16.755862633410693</c:v>
                </c:pt>
                <c:pt idx="4">
                  <c:v>16.755862633410693</c:v>
                </c:pt>
              </c:numCache>
            </c:numRef>
          </c:val>
          <c:smooth val="0"/>
          <c:extLst>
            <c:ext xmlns:c16="http://schemas.microsoft.com/office/drawing/2014/chart" uri="{C3380CC4-5D6E-409C-BE32-E72D297353CC}">
              <c16:uniqueId val="{00000003-4C47-46AD-9F6A-A87F2B55F6FD}"/>
            </c:ext>
          </c:extLst>
        </c:ser>
        <c:dLbls>
          <c:showLegendKey val="0"/>
          <c:showVal val="0"/>
          <c:showCatName val="0"/>
          <c:showSerName val="0"/>
          <c:showPercent val="0"/>
          <c:showBubbleSize val="0"/>
        </c:dLbls>
        <c:marker val="1"/>
        <c:smooth val="0"/>
        <c:axId val="698840000"/>
        <c:axId val="698838560"/>
      </c:lineChart>
      <c:catAx>
        <c:axId val="57612055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848760739"/>
        <c:crosses val="autoZero"/>
        <c:auto val="1"/>
        <c:lblAlgn val="ctr"/>
        <c:lblOffset val="100"/>
        <c:noMultiLvlLbl val="1"/>
      </c:catAx>
      <c:valAx>
        <c:axId val="848760739"/>
        <c:scaling>
          <c:orientation val="minMax"/>
          <c:max val="30"/>
        </c:scaling>
        <c:delete val="0"/>
        <c:axPos val="l"/>
        <c:title>
          <c:tx>
            <c:rich>
              <a:bodyPr/>
              <a:lstStyle/>
              <a:p>
                <a:pPr lvl="0">
                  <a:defRPr b="0">
                    <a:solidFill>
                      <a:srgbClr val="000000"/>
                    </a:solidFill>
                    <a:latin typeface="+mn-lt"/>
                  </a:defRPr>
                </a:pPr>
                <a:endParaRPr lang="en-US"/>
              </a:p>
            </c:rich>
          </c:tx>
          <c:overlay val="0"/>
        </c:title>
        <c:numFmt formatCode="#,##0.0\x_);\(#,##0.0\x\)" sourceLinked="0"/>
        <c:majorTickMark val="out"/>
        <c:minorTickMark val="none"/>
        <c:tickLblPos val="nextTo"/>
        <c:spPr>
          <a:ln/>
        </c:spPr>
        <c:txPr>
          <a:bodyPr/>
          <a:lstStyle/>
          <a:p>
            <a:pPr lvl="0">
              <a:defRPr sz="800" b="0" i="0">
                <a:solidFill>
                  <a:srgbClr val="000000"/>
                </a:solidFill>
                <a:latin typeface="Abadi Extra Light" panose="020B0204020104020204" pitchFamily="34" charset="0"/>
              </a:defRPr>
            </a:pPr>
            <a:endParaRPr lang="en-US"/>
          </a:p>
        </c:txPr>
        <c:crossAx val="576120556"/>
        <c:crosses val="autoZero"/>
        <c:crossBetween val="between"/>
        <c:majorUnit val="6"/>
      </c:valAx>
      <c:valAx>
        <c:axId val="698838560"/>
        <c:scaling>
          <c:orientation val="minMax"/>
          <c:max val="30"/>
        </c:scaling>
        <c:delete val="0"/>
        <c:axPos val="r"/>
        <c:numFmt formatCode="#,##0.0\x_);\(#,##0.0\x\)" sourceLinked="0"/>
        <c:majorTickMark val="out"/>
        <c:minorTickMark val="none"/>
        <c:tickLblPos val="nextTo"/>
        <c:txPr>
          <a:bodyPr/>
          <a:lstStyle/>
          <a:p>
            <a:pPr>
              <a:defRPr sz="800">
                <a:latin typeface="Abadi Extra Light" panose="020B0204020104020204" pitchFamily="34" charset="0"/>
              </a:defRPr>
            </a:pPr>
            <a:endParaRPr lang="en-US"/>
          </a:p>
        </c:txPr>
        <c:crossAx val="698840000"/>
        <c:crosses val="max"/>
        <c:crossBetween val="between"/>
        <c:majorUnit val="5"/>
      </c:valAx>
      <c:catAx>
        <c:axId val="698840000"/>
        <c:scaling>
          <c:orientation val="minMax"/>
        </c:scaling>
        <c:delete val="1"/>
        <c:axPos val="b"/>
        <c:numFmt formatCode="General" sourceLinked="1"/>
        <c:majorTickMark val="out"/>
        <c:minorTickMark val="none"/>
        <c:tickLblPos val="nextTo"/>
        <c:crossAx val="698838560"/>
        <c:crosses val="autoZero"/>
        <c:auto val="1"/>
        <c:lblAlgn val="ctr"/>
        <c:lblOffset val="100"/>
        <c:noMultiLvlLbl val="0"/>
      </c:catAx>
    </c:plotArea>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3678-4A13-8173-607815975F42}"/>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Benchmark!$O$76:$O$80</c:f>
              <c:strCache>
                <c:ptCount val="5"/>
                <c:pt idx="0">
                  <c:v>AXP</c:v>
                </c:pt>
                <c:pt idx="1">
                  <c:v>V</c:v>
                </c:pt>
                <c:pt idx="2">
                  <c:v>MA</c:v>
                </c:pt>
                <c:pt idx="3">
                  <c:v>COF</c:v>
                </c:pt>
                <c:pt idx="4">
                  <c:v>JPM</c:v>
                </c:pt>
              </c:strCache>
            </c:strRef>
          </c:cat>
          <c:val>
            <c:numRef>
              <c:f>Benchmark!$P$76:$P$80</c:f>
              <c:numCache>
                <c:formatCode>#,##0.0\x_);\(#,##0.0\x\);"-"</c:formatCode>
                <c:ptCount val="5"/>
                <c:pt idx="0">
                  <c:v>2.2999999999999998</c:v>
                </c:pt>
                <c:pt idx="1">
                  <c:v>0.92421065062643493</c:v>
                </c:pt>
                <c:pt idx="2">
                  <c:v>2.56041865022523</c:v>
                </c:pt>
                <c:pt idx="3">
                  <c:v>0.92421065062643493</c:v>
                </c:pt>
                <c:pt idx="4">
                  <c:v>9.7883283838021653E-7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678-4A13-8173-607815975F42}"/>
            </c:ext>
          </c:extLst>
        </c:ser>
        <c:dLbls>
          <c:showLegendKey val="0"/>
          <c:showVal val="0"/>
          <c:showCatName val="0"/>
          <c:showSerName val="0"/>
          <c:showPercent val="0"/>
          <c:showBubbleSize val="0"/>
        </c:dLbls>
        <c:gapWidth val="150"/>
        <c:axId val="1666941269"/>
        <c:axId val="1802778361"/>
      </c:barChart>
      <c:lineChart>
        <c:grouping val="standard"/>
        <c:varyColors val="0"/>
        <c:ser>
          <c:idx val="1"/>
          <c:order val="1"/>
          <c:spPr>
            <a:ln w="28575" cmpd="sng">
              <a:solidFill>
                <a:srgbClr val="BDD7EE">
                  <a:alpha val="100000"/>
                </a:srgbClr>
              </a:solidFill>
              <a:prstDash val="dash"/>
            </a:ln>
          </c:spPr>
          <c:marker>
            <c:symbol val="none"/>
          </c:marker>
          <c:cat>
            <c:strRef>
              <c:f>Benchmark!$O$76:$O$80</c:f>
              <c:strCache>
                <c:ptCount val="5"/>
                <c:pt idx="0">
                  <c:v>AXP</c:v>
                </c:pt>
                <c:pt idx="1">
                  <c:v>V</c:v>
                </c:pt>
                <c:pt idx="2">
                  <c:v>MA</c:v>
                </c:pt>
                <c:pt idx="3">
                  <c:v>COF</c:v>
                </c:pt>
                <c:pt idx="4">
                  <c:v>JPM</c:v>
                </c:pt>
              </c:strCache>
            </c:strRef>
          </c:cat>
          <c:val>
            <c:numRef>
              <c:f>Benchmark!$Q$76:$Q$80</c:f>
              <c:numCache>
                <c:formatCode>#,##0.0\x_);\(#,##0.0\x\);"-"</c:formatCode>
                <c:ptCount val="5"/>
                <c:pt idx="0">
                  <c:v>0.92421065062643493</c:v>
                </c:pt>
                <c:pt idx="1">
                  <c:v>0.92421065062643493</c:v>
                </c:pt>
                <c:pt idx="2">
                  <c:v>0.92421065062643493</c:v>
                </c:pt>
                <c:pt idx="3">
                  <c:v>0.92421065062643493</c:v>
                </c:pt>
                <c:pt idx="4">
                  <c:v>0.92421065062643493</c:v>
                </c:pt>
              </c:numCache>
            </c:numRef>
          </c:val>
          <c:smooth val="0"/>
          <c:extLst>
            <c:ext xmlns:c16="http://schemas.microsoft.com/office/drawing/2014/chart" uri="{C3380CC4-5D6E-409C-BE32-E72D297353CC}">
              <c16:uniqueId val="{00000003-3678-4A13-8173-607815975F42}"/>
            </c:ext>
          </c:extLst>
        </c:ser>
        <c:dLbls>
          <c:showLegendKey val="0"/>
          <c:showVal val="0"/>
          <c:showCatName val="0"/>
          <c:showSerName val="0"/>
          <c:showPercent val="0"/>
          <c:showBubbleSize val="0"/>
        </c:dLbls>
        <c:marker val="1"/>
        <c:smooth val="0"/>
        <c:axId val="901975504"/>
        <c:axId val="901966384"/>
      </c:lineChart>
      <c:catAx>
        <c:axId val="166694126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1802778361"/>
        <c:crosses val="autoZero"/>
        <c:auto val="1"/>
        <c:lblAlgn val="ctr"/>
        <c:lblOffset val="100"/>
        <c:noMultiLvlLbl val="1"/>
      </c:catAx>
      <c:valAx>
        <c:axId val="1802778361"/>
        <c:scaling>
          <c:orientation val="minMax"/>
          <c:max val="3"/>
        </c:scaling>
        <c:delete val="0"/>
        <c:axPos val="l"/>
        <c:title>
          <c:tx>
            <c:rich>
              <a:bodyPr/>
              <a:lstStyle/>
              <a:p>
                <a:pPr lvl="0">
                  <a:defRPr b="0">
                    <a:solidFill>
                      <a:srgbClr val="000000"/>
                    </a:solidFill>
                    <a:latin typeface="+mn-lt"/>
                  </a:defRPr>
                </a:pPr>
                <a:endParaRPr lang="en-US"/>
              </a:p>
            </c:rich>
          </c:tx>
          <c:overlay val="0"/>
        </c:title>
        <c:numFmt formatCode="#,##0.0\x_);\(#,##0.0\x\)" sourceLinked="0"/>
        <c:majorTickMark val="out"/>
        <c:minorTickMark val="none"/>
        <c:tickLblPos val="nextTo"/>
        <c:spPr>
          <a:ln/>
        </c:spPr>
        <c:txPr>
          <a:bodyPr/>
          <a:lstStyle/>
          <a:p>
            <a:pPr lvl="0">
              <a:defRPr sz="800" b="0" i="0">
                <a:solidFill>
                  <a:srgbClr val="000000"/>
                </a:solidFill>
                <a:latin typeface="Abadi Extra Light" panose="020B0204020104020204" pitchFamily="34" charset="0"/>
              </a:defRPr>
            </a:pPr>
            <a:endParaRPr lang="en-US"/>
          </a:p>
        </c:txPr>
        <c:crossAx val="1666941269"/>
        <c:crosses val="autoZero"/>
        <c:crossBetween val="between"/>
        <c:majorUnit val="0.60000000000000009"/>
      </c:valAx>
      <c:valAx>
        <c:axId val="901966384"/>
        <c:scaling>
          <c:orientation val="minMax"/>
        </c:scaling>
        <c:delete val="0"/>
        <c:axPos val="r"/>
        <c:numFmt formatCode="#,##0.0\x_);\(#,##0.0\x\)" sourceLinked="0"/>
        <c:majorTickMark val="out"/>
        <c:minorTickMark val="none"/>
        <c:tickLblPos val="nextTo"/>
        <c:txPr>
          <a:bodyPr/>
          <a:lstStyle/>
          <a:p>
            <a:pPr>
              <a:defRPr sz="800">
                <a:latin typeface="Abadi Extra Light" panose="020B0204020104020204" pitchFamily="34" charset="0"/>
              </a:defRPr>
            </a:pPr>
            <a:endParaRPr lang="en-US"/>
          </a:p>
        </c:txPr>
        <c:crossAx val="901975504"/>
        <c:crosses val="max"/>
        <c:crossBetween val="between"/>
        <c:majorUnit val="0.2"/>
      </c:valAx>
      <c:catAx>
        <c:axId val="901975504"/>
        <c:scaling>
          <c:orientation val="minMax"/>
        </c:scaling>
        <c:delete val="1"/>
        <c:axPos val="b"/>
        <c:numFmt formatCode="General" sourceLinked="1"/>
        <c:majorTickMark val="out"/>
        <c:minorTickMark val="none"/>
        <c:tickLblPos val="nextTo"/>
        <c:crossAx val="901966384"/>
        <c:crosses val="autoZero"/>
        <c:auto val="1"/>
        <c:lblAlgn val="ctr"/>
        <c:lblOffset val="100"/>
        <c:noMultiLvlLbl val="0"/>
      </c:catAx>
    </c:plotArea>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4890-4F27-A209-476BB10E5A6A}"/>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Benchmark!$O$92:$O$96</c:f>
              <c:strCache>
                <c:ptCount val="5"/>
                <c:pt idx="0">
                  <c:v>AXP</c:v>
                </c:pt>
                <c:pt idx="1">
                  <c:v>V</c:v>
                </c:pt>
                <c:pt idx="2">
                  <c:v>MA</c:v>
                </c:pt>
                <c:pt idx="3">
                  <c:v>COF</c:v>
                </c:pt>
                <c:pt idx="4">
                  <c:v>JPM</c:v>
                </c:pt>
              </c:strCache>
            </c:strRef>
          </c:cat>
          <c:val>
            <c:numRef>
              <c:f>Benchmark!$P$92:$P$96</c:f>
              <c:numCache>
                <c:formatCode>#,##0.0\x_);\(#,##0.0\x\);"-"</c:formatCode>
                <c:ptCount val="5"/>
                <c:pt idx="0">
                  <c:v>2.9</c:v>
                </c:pt>
                <c:pt idx="1">
                  <c:v>47.916810880720462</c:v>
                </c:pt>
                <c:pt idx="2">
                  <c:v>28.454290703149219</c:v>
                </c:pt>
                <c:pt idx="3">
                  <c:v>4.1671411537843762E-7</c:v>
                </c:pt>
                <c:pt idx="4">
                  <c:v>5.2930948793491829E-7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4890-4F27-A209-476BB10E5A6A}"/>
            </c:ext>
          </c:extLst>
        </c:ser>
        <c:dLbls>
          <c:showLegendKey val="0"/>
          <c:showVal val="0"/>
          <c:showCatName val="0"/>
          <c:showSerName val="0"/>
          <c:showPercent val="0"/>
          <c:showBubbleSize val="0"/>
        </c:dLbls>
        <c:gapWidth val="150"/>
        <c:axId val="1679723038"/>
        <c:axId val="706812728"/>
      </c:barChart>
      <c:catAx>
        <c:axId val="167972303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706812728"/>
        <c:crosses val="autoZero"/>
        <c:auto val="1"/>
        <c:lblAlgn val="ctr"/>
        <c:lblOffset val="100"/>
        <c:noMultiLvlLbl val="1"/>
      </c:catAx>
      <c:valAx>
        <c:axId val="706812728"/>
        <c:scaling>
          <c:orientation val="minMax"/>
          <c:max val="50"/>
        </c:scaling>
        <c:delete val="0"/>
        <c:axPos val="l"/>
        <c:title>
          <c:tx>
            <c:rich>
              <a:bodyPr/>
              <a:lstStyle/>
              <a:p>
                <a:pPr lvl="0">
                  <a:defRPr b="0">
                    <a:solidFill>
                      <a:srgbClr val="000000"/>
                    </a:solidFill>
                    <a:latin typeface="+mn-lt"/>
                  </a:defRPr>
                </a:pPr>
                <a:endParaRPr lang="en-US"/>
              </a:p>
            </c:rich>
          </c:tx>
          <c:overlay val="0"/>
        </c:title>
        <c:numFmt formatCode="#,##0.0\x_);\(#,##0.0\x\)" sourceLinked="0"/>
        <c:majorTickMark val="out"/>
        <c:minorTickMark val="none"/>
        <c:tickLblPos val="nextTo"/>
        <c:spPr>
          <a:ln/>
        </c:spPr>
        <c:txPr>
          <a:bodyPr/>
          <a:lstStyle/>
          <a:p>
            <a:pPr lvl="0">
              <a:defRPr sz="800" b="0" i="0">
                <a:solidFill>
                  <a:srgbClr val="000000"/>
                </a:solidFill>
                <a:latin typeface="Abadi Extra Light" panose="020B0204020104020204" pitchFamily="34" charset="0"/>
              </a:defRPr>
            </a:pPr>
            <a:endParaRPr lang="en-US"/>
          </a:p>
        </c:txPr>
        <c:crossAx val="1679723038"/>
        <c:crosses val="autoZero"/>
        <c:crossBetween val="between"/>
        <c:majorUnit val="10"/>
      </c:valAx>
    </c:plotArea>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BDCA-4F19-BBC2-05BF32A71B1B}"/>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Benchmark!$O$108:$O$112</c:f>
              <c:strCache>
                <c:ptCount val="5"/>
                <c:pt idx="0">
                  <c:v>AXP</c:v>
                </c:pt>
                <c:pt idx="1">
                  <c:v>V</c:v>
                </c:pt>
                <c:pt idx="2">
                  <c:v>MA</c:v>
                </c:pt>
                <c:pt idx="3">
                  <c:v>COF</c:v>
                </c:pt>
                <c:pt idx="4">
                  <c:v>JPM</c:v>
                </c:pt>
              </c:strCache>
            </c:strRef>
          </c:cat>
          <c:val>
            <c:numRef>
              <c:f>Benchmark!$P$108:$P$112</c:f>
              <c:numCache>
                <c:formatCode>#,##0.0%_);\(#,##0.0%\);"-"</c:formatCode>
                <c:ptCount val="5"/>
                <c:pt idx="0">
                  <c:v>0.33679999999999999</c:v>
                </c:pt>
                <c:pt idx="1">
                  <c:v>0.70032196874707764</c:v>
                </c:pt>
                <c:pt idx="2">
                  <c:v>0.62651391614592633</c:v>
                </c:pt>
                <c:pt idx="3">
                  <c:v>0.56910068812362602</c:v>
                </c:pt>
                <c:pt idx="4">
                  <c:v>0.38100035021176704</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BDCA-4F19-BBC2-05BF32A71B1B}"/>
            </c:ext>
          </c:extLst>
        </c:ser>
        <c:dLbls>
          <c:showLegendKey val="0"/>
          <c:showVal val="0"/>
          <c:showCatName val="0"/>
          <c:showSerName val="0"/>
          <c:showPercent val="0"/>
          <c:showBubbleSize val="0"/>
        </c:dLbls>
        <c:gapWidth val="150"/>
        <c:axId val="1489103649"/>
        <c:axId val="2059336191"/>
      </c:barChart>
      <c:lineChart>
        <c:grouping val="standard"/>
        <c:varyColors val="0"/>
        <c:ser>
          <c:idx val="1"/>
          <c:order val="1"/>
          <c:spPr>
            <a:ln w="28575" cmpd="sng">
              <a:solidFill>
                <a:srgbClr val="BDD7EE">
                  <a:alpha val="100000"/>
                </a:srgbClr>
              </a:solidFill>
              <a:prstDash val="dash"/>
            </a:ln>
          </c:spPr>
          <c:marker>
            <c:symbol val="none"/>
          </c:marker>
          <c:cat>
            <c:strRef>
              <c:f>Benchmark!$O$108:$O$112</c:f>
              <c:strCache>
                <c:ptCount val="5"/>
                <c:pt idx="0">
                  <c:v>AXP</c:v>
                </c:pt>
                <c:pt idx="1">
                  <c:v>V</c:v>
                </c:pt>
                <c:pt idx="2">
                  <c:v>MA</c:v>
                </c:pt>
                <c:pt idx="3">
                  <c:v>COF</c:v>
                </c:pt>
                <c:pt idx="4">
                  <c:v>JPM</c:v>
                </c:pt>
              </c:strCache>
            </c:strRef>
          </c:cat>
          <c:val>
            <c:numRef>
              <c:f>Benchmark!$Q$108:$Q$112</c:f>
              <c:numCache>
                <c:formatCode>#,##0.0%_);\(#,##0.0%\);"-"</c:formatCode>
                <c:ptCount val="5"/>
                <c:pt idx="0">
                  <c:v>0.56910068812362602</c:v>
                </c:pt>
                <c:pt idx="1">
                  <c:v>0.56910068812362602</c:v>
                </c:pt>
                <c:pt idx="2">
                  <c:v>0.56910068812362602</c:v>
                </c:pt>
                <c:pt idx="3">
                  <c:v>0.56910068812362602</c:v>
                </c:pt>
                <c:pt idx="4">
                  <c:v>0.56910068812362602</c:v>
                </c:pt>
              </c:numCache>
            </c:numRef>
          </c:val>
          <c:smooth val="0"/>
          <c:extLst>
            <c:ext xmlns:c16="http://schemas.microsoft.com/office/drawing/2014/chart" uri="{C3380CC4-5D6E-409C-BE32-E72D297353CC}">
              <c16:uniqueId val="{00000003-BDCA-4F19-BBC2-05BF32A71B1B}"/>
            </c:ext>
          </c:extLst>
        </c:ser>
        <c:dLbls>
          <c:showLegendKey val="0"/>
          <c:showVal val="0"/>
          <c:showCatName val="0"/>
          <c:showSerName val="0"/>
          <c:showPercent val="0"/>
          <c:showBubbleSize val="0"/>
        </c:dLbls>
        <c:marker val="1"/>
        <c:smooth val="0"/>
        <c:axId val="902126592"/>
        <c:axId val="902123712"/>
      </c:lineChart>
      <c:catAx>
        <c:axId val="148910364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2059336191"/>
        <c:crosses val="autoZero"/>
        <c:auto val="1"/>
        <c:lblAlgn val="ctr"/>
        <c:lblOffset val="100"/>
        <c:noMultiLvlLbl val="1"/>
      </c:catAx>
      <c:valAx>
        <c:axId val="2059336191"/>
        <c:scaling>
          <c:orientation val="minMax"/>
          <c:max val="1"/>
          <c:min val="0"/>
        </c:scaling>
        <c:delete val="0"/>
        <c:axPos val="l"/>
        <c:title>
          <c:tx>
            <c:rich>
              <a:bodyPr/>
              <a:lstStyle/>
              <a:p>
                <a:pPr lvl="0">
                  <a:defRPr b="0">
                    <a:solidFill>
                      <a:srgbClr val="000000"/>
                    </a:solidFill>
                    <a:latin typeface="+mn-lt"/>
                  </a:defRPr>
                </a:pPr>
                <a:endParaRPr lang="en-US"/>
              </a:p>
            </c:rich>
          </c:tx>
          <c:overlay val="0"/>
        </c:title>
        <c:numFmt formatCode="#,##0.0%_);\(#,##0%\)" sourceLinked="0"/>
        <c:majorTickMark val="out"/>
        <c:minorTickMark val="none"/>
        <c:tickLblPos val="nextTo"/>
        <c:spPr>
          <a:ln/>
        </c:spPr>
        <c:txPr>
          <a:bodyPr/>
          <a:lstStyle/>
          <a:p>
            <a:pPr lvl="0">
              <a:defRPr sz="800" b="0" i="0">
                <a:solidFill>
                  <a:srgbClr val="000000"/>
                </a:solidFill>
                <a:latin typeface="Abadi Extra Light" panose="020B0204020104020204" pitchFamily="34" charset="0"/>
              </a:defRPr>
            </a:pPr>
            <a:endParaRPr lang="en-US"/>
          </a:p>
        </c:txPr>
        <c:crossAx val="1489103649"/>
        <c:crosses val="autoZero"/>
        <c:crossBetween val="between"/>
        <c:majorUnit val="0.2"/>
      </c:valAx>
      <c:valAx>
        <c:axId val="902123712"/>
        <c:scaling>
          <c:orientation val="minMax"/>
          <c:max val="1"/>
        </c:scaling>
        <c:delete val="0"/>
        <c:axPos val="r"/>
        <c:numFmt formatCode="#,##0.0%_);\(#,##0.0%\)" sourceLinked="0"/>
        <c:majorTickMark val="out"/>
        <c:minorTickMark val="none"/>
        <c:tickLblPos val="nextTo"/>
        <c:txPr>
          <a:bodyPr/>
          <a:lstStyle/>
          <a:p>
            <a:pPr>
              <a:defRPr sz="800">
                <a:latin typeface="Abadi Extra Light" panose="020B0204020104020204" pitchFamily="34" charset="0"/>
              </a:defRPr>
            </a:pPr>
            <a:endParaRPr lang="en-US"/>
          </a:p>
        </c:txPr>
        <c:crossAx val="902126592"/>
        <c:crosses val="max"/>
        <c:crossBetween val="between"/>
        <c:majorUnit val="0.2"/>
      </c:valAx>
      <c:catAx>
        <c:axId val="902126592"/>
        <c:scaling>
          <c:orientation val="minMax"/>
        </c:scaling>
        <c:delete val="1"/>
        <c:axPos val="b"/>
        <c:numFmt formatCode="General" sourceLinked="1"/>
        <c:majorTickMark val="out"/>
        <c:minorTickMark val="none"/>
        <c:tickLblPos val="nextTo"/>
        <c:crossAx val="902123712"/>
        <c:crosses val="autoZero"/>
        <c:auto val="1"/>
        <c:lblAlgn val="ctr"/>
        <c:lblOffset val="100"/>
        <c:noMultiLvlLbl val="0"/>
      </c:catAx>
    </c:plotArea>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col"/>
        <c:grouping val="clustered"/>
        <c:varyColors val="1"/>
        <c:ser>
          <c:idx val="0"/>
          <c:order val="0"/>
          <c:spPr>
            <a:solidFill>
              <a:srgbClr val="00355F"/>
            </a:solidFill>
            <a:ln cmpd="sng">
              <a:solidFill>
                <a:srgbClr val="000000"/>
              </a:solidFill>
            </a:ln>
          </c:spPr>
          <c:invertIfNegative val="1"/>
          <c:dPt>
            <c:idx val="0"/>
            <c:invertIfNegative val="1"/>
            <c:bubble3D val="0"/>
            <c:spPr>
              <a:solidFill>
                <a:srgbClr val="760000"/>
              </a:solidFill>
              <a:ln cmpd="sng">
                <a:solidFill>
                  <a:srgbClr val="000000"/>
                </a:solidFill>
              </a:ln>
            </c:spPr>
            <c:extLst>
              <c:ext xmlns:c16="http://schemas.microsoft.com/office/drawing/2014/chart" uri="{C3380CC4-5D6E-409C-BE32-E72D297353CC}">
                <c16:uniqueId val="{00000001-D7E5-4DDF-831C-9F62E3554420}"/>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Benchmark!$O$124:$O$128</c:f>
              <c:strCache>
                <c:ptCount val="5"/>
                <c:pt idx="0">
                  <c:v>AXP</c:v>
                </c:pt>
                <c:pt idx="1">
                  <c:v>V</c:v>
                </c:pt>
                <c:pt idx="2">
                  <c:v>MA</c:v>
                </c:pt>
                <c:pt idx="3">
                  <c:v>COF</c:v>
                </c:pt>
                <c:pt idx="4">
                  <c:v>JPM</c:v>
                </c:pt>
              </c:strCache>
            </c:strRef>
          </c:cat>
          <c:val>
            <c:numRef>
              <c:f>Benchmark!$P$124:$P$128</c:f>
              <c:numCache>
                <c:formatCode>#,##0.0%_);\(#,##0.0%\);"-"</c:formatCode>
                <c:ptCount val="5"/>
                <c:pt idx="0">
                  <c:v>1.2800000000000001E-2</c:v>
                </c:pt>
                <c:pt idx="1">
                  <c:v>8.8999999999999999E-3</c:v>
                </c:pt>
                <c:pt idx="2">
                  <c:v>7.0000000000000001E-3</c:v>
                </c:pt>
                <c:pt idx="3">
                  <c:v>1.7999999999999999E-2</c:v>
                </c:pt>
                <c:pt idx="4">
                  <c:v>2.1100000000000001E-2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7E5-4DDF-831C-9F62E3554420}"/>
            </c:ext>
          </c:extLst>
        </c:ser>
        <c:dLbls>
          <c:showLegendKey val="0"/>
          <c:showVal val="0"/>
          <c:showCatName val="0"/>
          <c:showSerName val="0"/>
          <c:showPercent val="0"/>
          <c:showBubbleSize val="0"/>
        </c:dLbls>
        <c:gapWidth val="150"/>
        <c:axId val="51430733"/>
        <c:axId val="708993197"/>
      </c:barChart>
      <c:lineChart>
        <c:grouping val="standard"/>
        <c:varyColors val="0"/>
        <c:ser>
          <c:idx val="1"/>
          <c:order val="1"/>
          <c:spPr>
            <a:ln w="28575" cmpd="sng">
              <a:solidFill>
                <a:srgbClr val="BDD7EE">
                  <a:alpha val="100000"/>
                </a:srgbClr>
              </a:solidFill>
              <a:prstDash val="dash"/>
            </a:ln>
          </c:spPr>
          <c:marker>
            <c:symbol val="none"/>
          </c:marker>
          <c:cat>
            <c:strRef>
              <c:f>Benchmark!$O$124:$O$128</c:f>
              <c:strCache>
                <c:ptCount val="5"/>
                <c:pt idx="0">
                  <c:v>AXP</c:v>
                </c:pt>
                <c:pt idx="1">
                  <c:v>V</c:v>
                </c:pt>
                <c:pt idx="2">
                  <c:v>MA</c:v>
                </c:pt>
                <c:pt idx="3">
                  <c:v>COF</c:v>
                </c:pt>
                <c:pt idx="4">
                  <c:v>JPM</c:v>
                </c:pt>
              </c:strCache>
            </c:strRef>
          </c:cat>
          <c:val>
            <c:numRef>
              <c:f>Benchmark!$Q$124:$Q$128</c:f>
              <c:numCache>
                <c:formatCode>#,##0.0%_);\(#,##0.0%\);"-"</c:formatCode>
                <c:ptCount val="5"/>
                <c:pt idx="0">
                  <c:v>1.2800000000000001E-2</c:v>
                </c:pt>
                <c:pt idx="1">
                  <c:v>1.2800000000000001E-2</c:v>
                </c:pt>
                <c:pt idx="2">
                  <c:v>1.2800000000000001E-2</c:v>
                </c:pt>
                <c:pt idx="3">
                  <c:v>1.2800000000000001E-2</c:v>
                </c:pt>
                <c:pt idx="4">
                  <c:v>1.2800000000000001E-2</c:v>
                </c:pt>
              </c:numCache>
            </c:numRef>
          </c:val>
          <c:smooth val="0"/>
          <c:extLst>
            <c:ext xmlns:c16="http://schemas.microsoft.com/office/drawing/2014/chart" uri="{C3380CC4-5D6E-409C-BE32-E72D297353CC}">
              <c16:uniqueId val="{00000003-D7E5-4DDF-831C-9F62E3554420}"/>
            </c:ext>
          </c:extLst>
        </c:ser>
        <c:dLbls>
          <c:showLegendKey val="0"/>
          <c:showVal val="0"/>
          <c:showCatName val="0"/>
          <c:showSerName val="0"/>
          <c:showPercent val="0"/>
          <c:showBubbleSize val="0"/>
        </c:dLbls>
        <c:marker val="1"/>
        <c:smooth val="0"/>
        <c:axId val="901534512"/>
        <c:axId val="623402032"/>
      </c:lineChart>
      <c:catAx>
        <c:axId val="5143073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nextTo"/>
        <c:txPr>
          <a:bodyPr/>
          <a:lstStyle/>
          <a:p>
            <a:pPr lvl="0">
              <a:defRPr sz="800" b="0" i="0">
                <a:solidFill>
                  <a:srgbClr val="000000"/>
                </a:solidFill>
                <a:latin typeface="Abadi Extra Light"/>
              </a:defRPr>
            </a:pPr>
            <a:endParaRPr lang="en-US"/>
          </a:p>
        </c:txPr>
        <c:crossAx val="708993197"/>
        <c:crosses val="autoZero"/>
        <c:auto val="1"/>
        <c:lblAlgn val="ctr"/>
        <c:lblOffset val="100"/>
        <c:noMultiLvlLbl val="1"/>
      </c:catAx>
      <c:valAx>
        <c:axId val="708993197"/>
        <c:scaling>
          <c:orientation val="minMax"/>
          <c:max val="5.000000000000001E-2"/>
        </c:scaling>
        <c:delete val="0"/>
        <c:axPos val="l"/>
        <c:title>
          <c:tx>
            <c:rich>
              <a:bodyPr/>
              <a:lstStyle/>
              <a:p>
                <a:pPr lvl="0">
                  <a:defRPr b="0">
                    <a:solidFill>
                      <a:srgbClr val="000000"/>
                    </a:solidFill>
                    <a:latin typeface="+mn-lt"/>
                  </a:defRPr>
                </a:pPr>
                <a:endParaRPr lang="en-US"/>
              </a:p>
            </c:rich>
          </c:tx>
          <c:overlay val="0"/>
        </c:title>
        <c:numFmt formatCode="#,##0.0%_);\(#,##0%\)" sourceLinked="0"/>
        <c:majorTickMark val="out"/>
        <c:minorTickMark val="none"/>
        <c:tickLblPos val="nextTo"/>
        <c:spPr>
          <a:ln/>
        </c:spPr>
        <c:txPr>
          <a:bodyPr/>
          <a:lstStyle/>
          <a:p>
            <a:pPr lvl="0">
              <a:defRPr sz="800" b="0" i="0">
                <a:solidFill>
                  <a:srgbClr val="000000"/>
                </a:solidFill>
                <a:latin typeface="Abadi Extra Light" panose="020B0204020104020204" pitchFamily="34" charset="0"/>
              </a:defRPr>
            </a:pPr>
            <a:endParaRPr lang="en-US"/>
          </a:p>
        </c:txPr>
        <c:crossAx val="51430733"/>
        <c:crosses val="autoZero"/>
        <c:crossBetween val="between"/>
        <c:majorUnit val="1.0000000000000002E-2"/>
      </c:valAx>
      <c:valAx>
        <c:axId val="623402032"/>
        <c:scaling>
          <c:orientation val="minMax"/>
          <c:max val="5.000000000000001E-2"/>
          <c:min val="0"/>
        </c:scaling>
        <c:delete val="0"/>
        <c:axPos val="r"/>
        <c:numFmt formatCode="#,##0.0%_);\(#,##0.0%\)" sourceLinked="0"/>
        <c:majorTickMark val="out"/>
        <c:minorTickMark val="none"/>
        <c:tickLblPos val="nextTo"/>
        <c:txPr>
          <a:bodyPr/>
          <a:lstStyle/>
          <a:p>
            <a:pPr>
              <a:defRPr sz="800">
                <a:latin typeface="Abadi Extra Light" panose="020B0204020104020204" pitchFamily="34" charset="0"/>
              </a:defRPr>
            </a:pPr>
            <a:endParaRPr lang="en-US"/>
          </a:p>
        </c:txPr>
        <c:crossAx val="901534512"/>
        <c:crosses val="max"/>
        <c:crossBetween val="between"/>
        <c:majorUnit val="1.0000000000000002E-2"/>
      </c:valAx>
      <c:catAx>
        <c:axId val="901534512"/>
        <c:scaling>
          <c:orientation val="minMax"/>
        </c:scaling>
        <c:delete val="1"/>
        <c:axPos val="b"/>
        <c:numFmt formatCode="General" sourceLinked="1"/>
        <c:majorTickMark val="out"/>
        <c:minorTickMark val="none"/>
        <c:tickLblPos val="nextTo"/>
        <c:crossAx val="623402032"/>
        <c:crosses val="autoZero"/>
        <c:auto val="1"/>
        <c:lblAlgn val="ctr"/>
        <c:lblOffset val="100"/>
        <c:noMultiLvlLbl val="0"/>
      </c:catAx>
    </c:plotArea>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C0DEF6"/>
            </a:solidFill>
            <a:ln cmpd="sng">
              <a:solidFill>
                <a:srgbClr val="000000"/>
              </a:solidFill>
            </a:ln>
          </c:spPr>
          <c:invertIfNegative val="1"/>
          <c:dPt>
            <c:idx val="1"/>
            <c:invertIfNegative val="1"/>
            <c:bubble3D val="0"/>
            <c:spPr>
              <a:solidFill>
                <a:srgbClr val="C0DEF6"/>
              </a:solidFill>
              <a:ln cmpd="sng">
                <a:solidFill>
                  <a:srgbClr val="000000"/>
                </a:solidFill>
              </a:ln>
            </c:spPr>
            <c:extLst>
              <c:ext xmlns:c16="http://schemas.microsoft.com/office/drawing/2014/chart" uri="{C3380CC4-5D6E-409C-BE32-E72D297353CC}">
                <c16:uniqueId val="{00000001-FC72-4CEE-B6DF-E84F16E039CD}"/>
              </c:ext>
            </c:extLst>
          </c:dPt>
          <c:dPt>
            <c:idx val="3"/>
            <c:invertIfNegative val="0"/>
            <c:bubble3D val="0"/>
            <c:spPr>
              <a:solidFill>
                <a:srgbClr val="C0DEF6"/>
              </a:solidFill>
              <a:ln cmpd="sng">
                <a:solidFill>
                  <a:schemeClr val="tx1"/>
                </a:solidFill>
              </a:ln>
            </c:spPr>
            <c:extLst>
              <c:ext xmlns:c16="http://schemas.microsoft.com/office/drawing/2014/chart" uri="{C3380CC4-5D6E-409C-BE32-E72D297353CC}">
                <c16:uniqueId val="{00000003-E829-426B-8972-8B1F432C63CD}"/>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Benchmark!$O$140:$O$144</c:f>
              <c:strCache>
                <c:ptCount val="5"/>
                <c:pt idx="0">
                  <c:v>JPM</c:v>
                </c:pt>
                <c:pt idx="1">
                  <c:v>MA</c:v>
                </c:pt>
                <c:pt idx="2">
                  <c:v>V</c:v>
                </c:pt>
                <c:pt idx="3">
                  <c:v>AXP</c:v>
                </c:pt>
                <c:pt idx="4">
                  <c:v>COF</c:v>
                </c:pt>
              </c:strCache>
            </c:strRef>
          </c:cat>
          <c:val>
            <c:numRef>
              <c:f>Benchmark!$P$140:$P$144</c:f>
              <c:numCache>
                <c:formatCode>#,##0.0%_);\(#,##0.0%\);"-"</c:formatCode>
                <c:ptCount val="5"/>
                <c:pt idx="0">
                  <c:v>-9.4899999999999998E-2</c:v>
                </c:pt>
                <c:pt idx="1">
                  <c:v>-0.12379999999999999</c:v>
                </c:pt>
                <c:pt idx="2">
                  <c:v>-0.1318</c:v>
                </c:pt>
                <c:pt idx="3">
                  <c:v>-0.1946</c:v>
                </c:pt>
                <c:pt idx="4">
                  <c:v>-0.26619999999999999</c:v>
                </c:pt>
              </c:numCache>
            </c:numRef>
          </c:val>
          <c:extLst>
            <c:ext xmlns:c14="http://schemas.microsoft.com/office/drawing/2007/8/2/chart" uri="{6F2FDCE9-48DA-4B69-8628-5D25D57E5C99}">
              <c14:invertSolidFillFmt>
                <c14:spPr xmlns:c14="http://schemas.microsoft.com/office/drawing/2007/8/2/chart">
                  <a:solidFill>
                    <a:srgbClr val="00355F"/>
                  </a:solidFill>
                  <a:ln cmpd="sng">
                    <a:solidFill>
                      <a:srgbClr val="000000"/>
                    </a:solidFill>
                  </a:ln>
                </c14:spPr>
              </c14:invertSolidFillFmt>
            </c:ext>
            <c:ext xmlns:c16="http://schemas.microsoft.com/office/drawing/2014/chart" uri="{C3380CC4-5D6E-409C-BE32-E72D297353CC}">
              <c16:uniqueId val="{00000002-FC72-4CEE-B6DF-E84F16E039CD}"/>
            </c:ext>
          </c:extLst>
        </c:ser>
        <c:dLbls>
          <c:showLegendKey val="0"/>
          <c:showVal val="0"/>
          <c:showCatName val="0"/>
          <c:showSerName val="0"/>
          <c:showPercent val="0"/>
          <c:showBubbleSize val="0"/>
        </c:dLbls>
        <c:gapWidth val="150"/>
        <c:axId val="823711043"/>
        <c:axId val="1818514570"/>
      </c:barChart>
      <c:catAx>
        <c:axId val="823711043"/>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high"/>
        <c:txPr>
          <a:bodyPr anchor="ctr" anchorCtr="1"/>
          <a:lstStyle/>
          <a:p>
            <a:pPr lvl="0">
              <a:defRPr sz="800" b="0" i="0">
                <a:solidFill>
                  <a:srgbClr val="000000"/>
                </a:solidFill>
                <a:latin typeface="Abadi Extra Light"/>
              </a:defRPr>
            </a:pPr>
            <a:endParaRPr lang="en-US"/>
          </a:p>
        </c:txPr>
        <c:crossAx val="1818514570"/>
        <c:crosses val="autoZero"/>
        <c:auto val="1"/>
        <c:lblAlgn val="ctr"/>
        <c:lblOffset val="100"/>
        <c:noMultiLvlLbl val="1"/>
      </c:catAx>
      <c:valAx>
        <c:axId val="1818514570"/>
        <c:scaling>
          <c:orientation val="minMax"/>
        </c:scaling>
        <c:delete val="0"/>
        <c:axPos val="b"/>
        <c:title>
          <c:tx>
            <c:rich>
              <a:bodyPr/>
              <a:lstStyle/>
              <a:p>
                <a:pPr lvl="0">
                  <a:defRPr b="0">
                    <a:solidFill>
                      <a:srgbClr val="000000"/>
                    </a:solidFill>
                    <a:latin typeface="+mn-lt"/>
                  </a:defRPr>
                </a:pPr>
                <a:endParaRPr lang="en-US"/>
              </a:p>
            </c:rich>
          </c:tx>
          <c:overlay val="0"/>
        </c:title>
        <c:numFmt formatCode="#,##0%_);\(#,##0.0%\)" sourceLinked="0"/>
        <c:majorTickMark val="none"/>
        <c:minorTickMark val="none"/>
        <c:tickLblPos val="nextTo"/>
        <c:spPr>
          <a:ln/>
        </c:spPr>
        <c:txPr>
          <a:bodyPr/>
          <a:lstStyle/>
          <a:p>
            <a:pPr lvl="0">
              <a:defRPr sz="800" b="0" i="0">
                <a:solidFill>
                  <a:srgbClr val="000000"/>
                </a:solidFill>
                <a:latin typeface="Abadi Extra Light"/>
              </a:defRPr>
            </a:pPr>
            <a:endParaRPr lang="en-US"/>
          </a:p>
        </c:txPr>
        <c:crossAx val="823711043"/>
        <c:crosses val="max"/>
        <c:crossBetween val="between"/>
      </c:valAx>
    </c:plotArea>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spPr>
            <a:solidFill>
              <a:srgbClr val="00355F"/>
            </a:solidFill>
            <a:ln cmpd="sng">
              <a:solidFill>
                <a:srgbClr val="000000"/>
              </a:solidFill>
            </a:ln>
          </c:spPr>
          <c:invertIfNegative val="1"/>
          <c:dPt>
            <c:idx val="1"/>
            <c:invertIfNegative val="1"/>
            <c:bubble3D val="0"/>
            <c:spPr>
              <a:solidFill>
                <a:srgbClr val="760000"/>
              </a:solidFill>
              <a:ln cmpd="sng">
                <a:solidFill>
                  <a:srgbClr val="000000"/>
                </a:solidFill>
              </a:ln>
            </c:spPr>
            <c:extLst>
              <c:ext xmlns:c16="http://schemas.microsoft.com/office/drawing/2014/chart" uri="{C3380CC4-5D6E-409C-BE32-E72D297353CC}">
                <c16:uniqueId val="{00000001-BA15-47CD-A253-2751254F968C}"/>
              </c:ext>
            </c:extLst>
          </c:dPt>
          <c:dLbls>
            <c:spPr>
              <a:noFill/>
              <a:ln>
                <a:noFill/>
              </a:ln>
              <a:effectLst/>
            </c:spPr>
            <c:txPr>
              <a:bodyPr/>
              <a:lstStyle/>
              <a:p>
                <a:pPr lvl="0">
                  <a:defRPr sz="800" b="0" i="0">
                    <a:solidFill>
                      <a:srgbClr val="000000"/>
                    </a:solidFill>
                    <a:latin typeface="Abadi Extra Ligh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Benchmark!$O$156:$O$160</c:f>
              <c:strCache>
                <c:ptCount val="5"/>
                <c:pt idx="0">
                  <c:v>JPM</c:v>
                </c:pt>
                <c:pt idx="1">
                  <c:v>AXP</c:v>
                </c:pt>
                <c:pt idx="2">
                  <c:v>COF</c:v>
                </c:pt>
                <c:pt idx="3">
                  <c:v>MA</c:v>
                </c:pt>
                <c:pt idx="4">
                  <c:v>V</c:v>
                </c:pt>
              </c:strCache>
            </c:strRef>
          </c:cat>
          <c:val>
            <c:numRef>
              <c:f>Benchmark!$P$156:$P$160</c:f>
              <c:numCache>
                <c:formatCode>#,##0.0%_);\(#,##0.0%\);"-"</c:formatCode>
                <c:ptCount val="5"/>
                <c:pt idx="0">
                  <c:v>0.28820000000000001</c:v>
                </c:pt>
                <c:pt idx="1">
                  <c:v>0.21129999999999999</c:v>
                </c:pt>
                <c:pt idx="2">
                  <c:v>0.109</c:v>
                </c:pt>
                <c:pt idx="3">
                  <c:v>-6.9900000000000004E-2</c:v>
                </c:pt>
                <c:pt idx="4">
                  <c:v>-0.1137</c:v>
                </c:pt>
              </c:numCache>
            </c:numRef>
          </c:val>
          <c:extLst>
            <c:ext xmlns:c14="http://schemas.microsoft.com/office/drawing/2007/8/2/chart" uri="{6F2FDCE9-48DA-4B69-8628-5D25D57E5C99}">
              <c14:invertSolidFillFmt>
                <c14:spPr xmlns:c14="http://schemas.microsoft.com/office/drawing/2007/8/2/chart">
                  <a:solidFill>
                    <a:srgbClr val="00355F"/>
                  </a:solidFill>
                  <a:ln cmpd="sng">
                    <a:solidFill>
                      <a:srgbClr val="000000"/>
                    </a:solidFill>
                  </a:ln>
                </c14:spPr>
              </c14:invertSolidFillFmt>
            </c:ext>
            <c:ext xmlns:c16="http://schemas.microsoft.com/office/drawing/2014/chart" uri="{C3380CC4-5D6E-409C-BE32-E72D297353CC}">
              <c16:uniqueId val="{00000002-BA15-47CD-A253-2751254F968C}"/>
            </c:ext>
          </c:extLst>
        </c:ser>
        <c:dLbls>
          <c:showLegendKey val="0"/>
          <c:showVal val="0"/>
          <c:showCatName val="0"/>
          <c:showSerName val="0"/>
          <c:showPercent val="0"/>
          <c:showBubbleSize val="0"/>
        </c:dLbls>
        <c:gapWidth val="150"/>
        <c:axId val="1617785498"/>
        <c:axId val="2132302625"/>
      </c:barChart>
      <c:catAx>
        <c:axId val="1617785498"/>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out"/>
        <c:minorTickMark val="none"/>
        <c:tickLblPos val="low"/>
        <c:txPr>
          <a:bodyPr/>
          <a:lstStyle/>
          <a:p>
            <a:pPr lvl="0">
              <a:defRPr sz="800" b="0" i="0">
                <a:solidFill>
                  <a:srgbClr val="000000"/>
                </a:solidFill>
                <a:latin typeface="Abadi Extra Light"/>
              </a:defRPr>
            </a:pPr>
            <a:endParaRPr lang="en-US"/>
          </a:p>
        </c:txPr>
        <c:crossAx val="2132302625"/>
        <c:crosses val="autoZero"/>
        <c:auto val="1"/>
        <c:lblAlgn val="ctr"/>
        <c:lblOffset val="100"/>
        <c:noMultiLvlLbl val="1"/>
      </c:catAx>
      <c:valAx>
        <c:axId val="2132302625"/>
        <c:scaling>
          <c:orientation val="minMax"/>
        </c:scaling>
        <c:delete val="0"/>
        <c:axPos val="b"/>
        <c:title>
          <c:tx>
            <c:rich>
              <a:bodyPr/>
              <a:lstStyle/>
              <a:p>
                <a:pPr lvl="0">
                  <a:defRPr b="0">
                    <a:solidFill>
                      <a:srgbClr val="000000"/>
                    </a:solidFill>
                    <a:latin typeface="+mn-lt"/>
                  </a:defRPr>
                </a:pPr>
                <a:endParaRPr lang="en-US"/>
              </a:p>
            </c:rich>
          </c:tx>
          <c:overlay val="0"/>
        </c:title>
        <c:numFmt formatCode="#,##0.0%_);\(#,##0%\)" sourceLinked="0"/>
        <c:majorTickMark val="none"/>
        <c:minorTickMark val="none"/>
        <c:tickLblPos val="nextTo"/>
        <c:spPr>
          <a:ln/>
        </c:spPr>
        <c:txPr>
          <a:bodyPr/>
          <a:lstStyle/>
          <a:p>
            <a:pPr lvl="0">
              <a:defRPr sz="800" b="0" i="0">
                <a:solidFill>
                  <a:srgbClr val="000000"/>
                </a:solidFill>
                <a:latin typeface="Abadi Extra Light"/>
              </a:defRPr>
            </a:pPr>
            <a:endParaRPr lang="en-US"/>
          </a:p>
        </c:txPr>
        <c:crossAx val="1617785498"/>
        <c:crosses val="max"/>
        <c:crossBetween val="between"/>
      </c:valAx>
    </c:plotArea>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editAs="oneCell">
    <xdr:from>
      <xdr:col>2</xdr:col>
      <xdr:colOff>140804</xdr:colOff>
      <xdr:row>2</xdr:row>
      <xdr:rowOff>149087</xdr:rowOff>
    </xdr:from>
    <xdr:to>
      <xdr:col>5</xdr:col>
      <xdr:colOff>1217543</xdr:colOff>
      <xdr:row>18</xdr:row>
      <xdr:rowOff>16175</xdr:rowOff>
    </xdr:to>
    <xdr:pic>
      <xdr:nvPicPr>
        <xdr:cNvPr id="3" name="Picture 2" descr="Download American Express (Amex) Logo in SVG Vector or PNG File Format -  Logo.wine">
          <a:extLst>
            <a:ext uri="{FF2B5EF4-FFF2-40B4-BE49-F238E27FC236}">
              <a16:creationId xmlns:a16="http://schemas.microsoft.com/office/drawing/2014/main" id="{3BDA2476-3226-BAF4-C46A-518E02B3A7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2717" y="554935"/>
          <a:ext cx="3909391" cy="2650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3</xdr:row>
      <xdr:rowOff>190500</xdr:rowOff>
    </xdr:from>
    <xdr:ext cx="4867275" cy="2305050"/>
    <xdr:graphicFrame macro="">
      <xdr:nvGraphicFramePr>
        <xdr:cNvPr id="428830159" name="Chart 1">
          <a:extLst>
            <a:ext uri="{FF2B5EF4-FFF2-40B4-BE49-F238E27FC236}">
              <a16:creationId xmlns:a16="http://schemas.microsoft.com/office/drawing/2014/main" id="{00000000-0008-0000-0300-0000CF6D8F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114300</xdr:colOff>
      <xdr:row>3</xdr:row>
      <xdr:rowOff>0</xdr:rowOff>
    </xdr:from>
    <xdr:ext cx="7762875" cy="4114800"/>
    <xdr:graphicFrame macro="">
      <xdr:nvGraphicFramePr>
        <xdr:cNvPr id="1376533779" name="Chart 2">
          <a:extLst>
            <a:ext uri="{FF2B5EF4-FFF2-40B4-BE49-F238E27FC236}">
              <a16:creationId xmlns:a16="http://schemas.microsoft.com/office/drawing/2014/main" id="{00000000-0008-0000-0400-0000133D0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219075</xdr:colOff>
      <xdr:row>2</xdr:row>
      <xdr:rowOff>47625</xdr:rowOff>
    </xdr:from>
    <xdr:ext cx="2000250" cy="495300"/>
    <xdr:pic>
      <xdr:nvPicPr>
        <xdr:cNvPr id="2" name="image3.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0</xdr:colOff>
      <xdr:row>8</xdr:row>
      <xdr:rowOff>0</xdr:rowOff>
    </xdr:from>
    <xdr:ext cx="952500" cy="400050"/>
    <xdr:pic>
      <xdr:nvPicPr>
        <xdr:cNvPr id="3" name="image2.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11</xdr:col>
      <xdr:colOff>416718</xdr:colOff>
      <xdr:row>186</xdr:row>
      <xdr:rowOff>66675</xdr:rowOff>
    </xdr:from>
    <xdr:ext cx="5257800" cy="2038350"/>
    <xdr:graphicFrame macro="">
      <xdr:nvGraphicFramePr>
        <xdr:cNvPr id="1851192249" name="Chart 3">
          <a:extLst>
            <a:ext uri="{FF2B5EF4-FFF2-40B4-BE49-F238E27FC236}">
              <a16:creationId xmlns:a16="http://schemas.microsoft.com/office/drawing/2014/main" id="{00000000-0008-0000-0F00-0000B9F35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0</xdr:colOff>
      <xdr:row>10</xdr:row>
      <xdr:rowOff>0</xdr:rowOff>
    </xdr:from>
    <xdr:ext cx="3790950" cy="2076450"/>
    <xdr:graphicFrame macro="">
      <xdr:nvGraphicFramePr>
        <xdr:cNvPr id="491454806" name="Chart 4">
          <a:extLst>
            <a:ext uri="{FF2B5EF4-FFF2-40B4-BE49-F238E27FC236}">
              <a16:creationId xmlns:a16="http://schemas.microsoft.com/office/drawing/2014/main" id="{00000000-0008-0000-0F00-000056014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0</xdr:colOff>
      <xdr:row>33</xdr:row>
      <xdr:rowOff>0</xdr:rowOff>
    </xdr:from>
    <xdr:ext cx="3790950" cy="2076450"/>
    <xdr:graphicFrame macro="">
      <xdr:nvGraphicFramePr>
        <xdr:cNvPr id="906450124" name="Chart 5">
          <a:extLst>
            <a:ext uri="{FF2B5EF4-FFF2-40B4-BE49-F238E27FC236}">
              <a16:creationId xmlns:a16="http://schemas.microsoft.com/office/drawing/2014/main" id="{00000000-0008-0000-0F00-0000CC540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10</xdr:col>
      <xdr:colOff>0</xdr:colOff>
      <xdr:row>33</xdr:row>
      <xdr:rowOff>0</xdr:rowOff>
    </xdr:from>
    <xdr:ext cx="3514725" cy="2066925"/>
    <xdr:graphicFrame macro="">
      <xdr:nvGraphicFramePr>
        <xdr:cNvPr id="1544014828" name="Chart 6">
          <a:extLst>
            <a:ext uri="{FF2B5EF4-FFF2-40B4-BE49-F238E27FC236}">
              <a16:creationId xmlns:a16="http://schemas.microsoft.com/office/drawing/2014/main" id="{00000000-0008-0000-0F00-0000ECCB0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xdr:col>
      <xdr:colOff>0</xdr:colOff>
      <xdr:row>73</xdr:row>
      <xdr:rowOff>0</xdr:rowOff>
    </xdr:from>
    <xdr:ext cx="3790950" cy="2066925"/>
    <xdr:graphicFrame macro="">
      <xdr:nvGraphicFramePr>
        <xdr:cNvPr id="2114429040" name="Chart 7">
          <a:extLst>
            <a:ext uri="{FF2B5EF4-FFF2-40B4-BE49-F238E27FC236}">
              <a16:creationId xmlns:a16="http://schemas.microsoft.com/office/drawing/2014/main" id="{00000000-0008-0000-0F00-000070A00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10</xdr:col>
      <xdr:colOff>0</xdr:colOff>
      <xdr:row>73</xdr:row>
      <xdr:rowOff>0</xdr:rowOff>
    </xdr:from>
    <xdr:ext cx="3514725" cy="2066925"/>
    <xdr:graphicFrame macro="">
      <xdr:nvGraphicFramePr>
        <xdr:cNvPr id="1958554603" name="Chart 8">
          <a:extLst>
            <a:ext uri="{FF2B5EF4-FFF2-40B4-BE49-F238E27FC236}">
              <a16:creationId xmlns:a16="http://schemas.microsoft.com/office/drawing/2014/main" id="{00000000-0008-0000-0F00-0000EB2BB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2</xdr:col>
      <xdr:colOff>0</xdr:colOff>
      <xdr:row>139</xdr:row>
      <xdr:rowOff>0</xdr:rowOff>
    </xdr:from>
    <xdr:ext cx="3790950" cy="2076450"/>
    <xdr:graphicFrame macro="">
      <xdr:nvGraphicFramePr>
        <xdr:cNvPr id="827074315" name="Chart 9">
          <a:extLst>
            <a:ext uri="{FF2B5EF4-FFF2-40B4-BE49-F238E27FC236}">
              <a16:creationId xmlns:a16="http://schemas.microsoft.com/office/drawing/2014/main" id="{00000000-0008-0000-0F00-00000B274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2</xdr:col>
      <xdr:colOff>66675</xdr:colOff>
      <xdr:row>92</xdr:row>
      <xdr:rowOff>76200</xdr:rowOff>
    </xdr:from>
    <xdr:ext cx="8534400" cy="2752725"/>
    <xdr:graphicFrame macro="">
      <xdr:nvGraphicFramePr>
        <xdr:cNvPr id="1847019210" name="Chart 12">
          <a:extLst>
            <a:ext uri="{FF2B5EF4-FFF2-40B4-BE49-F238E27FC236}">
              <a16:creationId xmlns:a16="http://schemas.microsoft.com/office/drawing/2014/main" id="{00000000-0008-0000-0F00-0000CA461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2</xdr:col>
      <xdr:colOff>476250</xdr:colOff>
      <xdr:row>118</xdr:row>
      <xdr:rowOff>95250</xdr:rowOff>
    </xdr:from>
    <xdr:ext cx="3724275" cy="2019300"/>
    <xdr:graphicFrame macro="">
      <xdr:nvGraphicFramePr>
        <xdr:cNvPr id="217027408" name="Chart 13">
          <a:extLst>
            <a:ext uri="{FF2B5EF4-FFF2-40B4-BE49-F238E27FC236}">
              <a16:creationId xmlns:a16="http://schemas.microsoft.com/office/drawing/2014/main" id="{00000000-0008-0000-0F00-00005093EF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twoCellAnchor>
    <xdr:from>
      <xdr:col>11</xdr:col>
      <xdr:colOff>421481</xdr:colOff>
      <xdr:row>199</xdr:row>
      <xdr:rowOff>80962</xdr:rowOff>
    </xdr:from>
    <xdr:to>
      <xdr:col>19</xdr:col>
      <xdr:colOff>494068</xdr:colOff>
      <xdr:row>216</xdr:row>
      <xdr:rowOff>25454</xdr:rowOff>
    </xdr:to>
    <xdr:graphicFrame macro="">
      <xdr:nvGraphicFramePr>
        <xdr:cNvPr id="2000553740" name="Chart 14">
          <a:extLst>
            <a:ext uri="{FF2B5EF4-FFF2-40B4-BE49-F238E27FC236}">
              <a16:creationId xmlns:a16="http://schemas.microsoft.com/office/drawing/2014/main" id="{00000000-0008-0000-0F00-00000C073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9</xdr:row>
      <xdr:rowOff>0</xdr:rowOff>
    </xdr:from>
    <xdr:ext cx="4076700" cy="1943100"/>
    <xdr:graphicFrame macro="">
      <xdr:nvGraphicFramePr>
        <xdr:cNvPr id="1775086698" name="Chart 15">
          <a:extLst>
            <a:ext uri="{FF2B5EF4-FFF2-40B4-BE49-F238E27FC236}">
              <a16:creationId xmlns:a16="http://schemas.microsoft.com/office/drawing/2014/main" id="{00000000-0008-0000-1000-00006AACC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714375</xdr:colOff>
      <xdr:row>25</xdr:row>
      <xdr:rowOff>9525</xdr:rowOff>
    </xdr:from>
    <xdr:ext cx="4067175" cy="1943100"/>
    <xdr:graphicFrame macro="">
      <xdr:nvGraphicFramePr>
        <xdr:cNvPr id="766311662" name="Chart 16">
          <a:extLst>
            <a:ext uri="{FF2B5EF4-FFF2-40B4-BE49-F238E27FC236}">
              <a16:creationId xmlns:a16="http://schemas.microsoft.com/office/drawing/2014/main" id="{00000000-0008-0000-1000-0000EEFCA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7</xdr:col>
      <xdr:colOff>0</xdr:colOff>
      <xdr:row>41</xdr:row>
      <xdr:rowOff>0</xdr:rowOff>
    </xdr:from>
    <xdr:ext cx="4076700" cy="1943100"/>
    <xdr:graphicFrame macro="">
      <xdr:nvGraphicFramePr>
        <xdr:cNvPr id="310148534" name="Chart 17">
          <a:extLst>
            <a:ext uri="{FF2B5EF4-FFF2-40B4-BE49-F238E27FC236}">
              <a16:creationId xmlns:a16="http://schemas.microsoft.com/office/drawing/2014/main" id="{00000000-0008-0000-1000-0000B67D7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7</xdr:col>
      <xdr:colOff>0</xdr:colOff>
      <xdr:row>57</xdr:row>
      <xdr:rowOff>0</xdr:rowOff>
    </xdr:from>
    <xdr:ext cx="4076700" cy="1943100"/>
    <xdr:graphicFrame macro="">
      <xdr:nvGraphicFramePr>
        <xdr:cNvPr id="477089175" name="Chart 18">
          <a:extLst>
            <a:ext uri="{FF2B5EF4-FFF2-40B4-BE49-F238E27FC236}">
              <a16:creationId xmlns:a16="http://schemas.microsoft.com/office/drawing/2014/main" id="{00000000-0008-0000-1000-000097CD6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7</xdr:col>
      <xdr:colOff>0</xdr:colOff>
      <xdr:row>73</xdr:row>
      <xdr:rowOff>0</xdr:rowOff>
    </xdr:from>
    <xdr:ext cx="4076700" cy="1943100"/>
    <xdr:graphicFrame macro="">
      <xdr:nvGraphicFramePr>
        <xdr:cNvPr id="1462245701" name="Chart 19">
          <a:extLst>
            <a:ext uri="{FF2B5EF4-FFF2-40B4-BE49-F238E27FC236}">
              <a16:creationId xmlns:a16="http://schemas.microsoft.com/office/drawing/2014/main" id="{00000000-0008-0000-1000-000045192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7</xdr:col>
      <xdr:colOff>0</xdr:colOff>
      <xdr:row>89</xdr:row>
      <xdr:rowOff>0</xdr:rowOff>
    </xdr:from>
    <xdr:ext cx="4076700" cy="1943100"/>
    <xdr:graphicFrame macro="">
      <xdr:nvGraphicFramePr>
        <xdr:cNvPr id="1933278984" name="Chart 20">
          <a:extLst>
            <a:ext uri="{FF2B5EF4-FFF2-40B4-BE49-F238E27FC236}">
              <a16:creationId xmlns:a16="http://schemas.microsoft.com/office/drawing/2014/main" id="{00000000-0008-0000-1000-0000087F3B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7</xdr:col>
      <xdr:colOff>0</xdr:colOff>
      <xdr:row>105</xdr:row>
      <xdr:rowOff>0</xdr:rowOff>
    </xdr:from>
    <xdr:ext cx="4076700" cy="1943100"/>
    <xdr:graphicFrame macro="">
      <xdr:nvGraphicFramePr>
        <xdr:cNvPr id="301829549" name="Chart 21">
          <a:extLst>
            <a:ext uri="{FF2B5EF4-FFF2-40B4-BE49-F238E27FC236}">
              <a16:creationId xmlns:a16="http://schemas.microsoft.com/office/drawing/2014/main" id="{00000000-0008-0000-1000-0000AD8DF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7</xdr:col>
      <xdr:colOff>0</xdr:colOff>
      <xdr:row>121</xdr:row>
      <xdr:rowOff>0</xdr:rowOff>
    </xdr:from>
    <xdr:ext cx="4076700" cy="1943100"/>
    <xdr:graphicFrame macro="">
      <xdr:nvGraphicFramePr>
        <xdr:cNvPr id="1866745266" name="Chart 22">
          <a:extLst>
            <a:ext uri="{FF2B5EF4-FFF2-40B4-BE49-F238E27FC236}">
              <a16:creationId xmlns:a16="http://schemas.microsoft.com/office/drawing/2014/main" id="{00000000-0008-0000-1000-0000B2454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6</xdr:col>
      <xdr:colOff>266700</xdr:colOff>
      <xdr:row>136</xdr:row>
      <xdr:rowOff>161925</xdr:rowOff>
    </xdr:from>
    <xdr:ext cx="4086225" cy="1819275"/>
    <xdr:graphicFrame macro="">
      <xdr:nvGraphicFramePr>
        <xdr:cNvPr id="1383736641" name="Chart 23">
          <a:extLst>
            <a:ext uri="{FF2B5EF4-FFF2-40B4-BE49-F238E27FC236}">
              <a16:creationId xmlns:a16="http://schemas.microsoft.com/office/drawing/2014/main" id="{00000000-0008-0000-1000-000041257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6</xdr:col>
      <xdr:colOff>247650</xdr:colOff>
      <xdr:row>152</xdr:row>
      <xdr:rowOff>180975</xdr:rowOff>
    </xdr:from>
    <xdr:ext cx="4095750" cy="1819275"/>
    <xdr:graphicFrame macro="">
      <xdr:nvGraphicFramePr>
        <xdr:cNvPr id="233653357" name="Chart 24">
          <a:extLst>
            <a:ext uri="{FF2B5EF4-FFF2-40B4-BE49-F238E27FC236}">
              <a16:creationId xmlns:a16="http://schemas.microsoft.com/office/drawing/2014/main" id="{00000000-0008-0000-1000-00006D44ED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ERGER"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WORK\HARBOR\MERGER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dghebre\Application%20Data\Microsoft\Excel\Sample\CRL%20Budget%202011%20with%20win%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_RA%20Clients\_Current\LinQuest%20Corporation\Project%20Jigsaw\Due%20Diligence\Jigsaw%20Due%20Diligence\3%20%20Financial%20&amp;%20Accounting%20Items\3.2%20YTD%202011%20IS,%20BS,%20CF\Mosaic_Inc%20__Forecast_May2011%20Actuals%20Rev%206%2020.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Detailed%20Comps%20I2"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OWER5.XLA"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latim/Downloads/Owl%20Fund%20Model_CAPIQ%20Comps%20Sheet.xlsx" TargetMode="External"/><Relationship Id="rId1" Type="http://schemas.openxmlformats.org/officeDocument/2006/relationships/externalLinkPath" Target="/Users/latim/Downloads/Owl%20Fund%20Model_CAPIQ%20Comps%20Shee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davidbrinkley\Documents\Castellum%20Capital\Clients\IA&amp;T\Financial%20Model%20May%202013\Financial%20Model%20(IAT)%205.10.13.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Outsourcing\Client%20Folders\CRL%20Technologies\Budget\2011\2011%20baseline%20v1\CRL%20Budget%202011%20v1-baseline%2012-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Documents%20and%20Settings\dghebre\Desktop\FY11_CFF_Feb_2011-MAK%20v4.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sclient\C\Documents%20and%20Settings\Mark\My%20Documents\PP%20LLC\2006%20Projections%20-%20working%20file\2006%20projections%20-%20working%20file.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latim/Downloads/CapIQ%20Comps%20and%20Transactions%20Builder.xlsx" TargetMode="External"/><Relationship Id="rId1" Type="http://schemas.openxmlformats.org/officeDocument/2006/relationships/externalLinkPath" Target="/Users/latim/Downloads/CapIQ%20Comps%20and%20Transactions%20Builder.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Outsourcing\Client%20Folders\Mosaic,%20Inc\Budget\Bgt%20Work%20Files\Mosaic_Inc%20__Budget_2011%20Working0-4%2025%20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 val="Ref"/>
      <sheetName val="Template Information"/>
      <sheetName val="Magenta"/>
      <sheetName val="Magenta Data"/>
      <sheetName val="Blue"/>
      <sheetName val="Blue Data"/>
      <sheetName val="Red"/>
      <sheetName val="Red Data"/>
      <sheetName val="Cyan"/>
      <sheetName val="Cyan Data"/>
      <sheetName val="Green"/>
      <sheetName val="Green Data"/>
      <sheetName val="Yellow"/>
      <sheetName val="Yello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rger"/>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budget assumptions"/>
      <sheetName val="Summary Balance Sheet"/>
      <sheetName val="Summary Cash Flow Statement"/>
      <sheetName val="Profit &amp; Loss"/>
      <sheetName val="Capital budget"/>
      <sheetName val="Fringe Benefits Pool"/>
      <sheetName val="Overhead Pool"/>
      <sheetName val="G &amp; A Pool"/>
      <sheetName val="SMH"/>
      <sheetName val="Rate rec"/>
      <sheetName val="Wrap"/>
      <sheetName val="Labor budget"/>
      <sheetName val="P&amp;L Assumptions"/>
      <sheetName val="Vacation"/>
      <sheetName val="Salaries"/>
      <sheetName val="Facility SC"/>
      <sheetName val="Sub cost"/>
      <sheetName val="Price"/>
      <sheetName val="per head data"/>
      <sheetName val="2010 Labor Rates 091130"/>
    </sheetNames>
    <sheetDataSet>
      <sheetData sheetId="0" refreshError="1"/>
      <sheetData sheetId="1" refreshError="1"/>
      <sheetData sheetId="2" refreshError="1"/>
      <sheetData sheetId="3">
        <row r="17">
          <cell r="D17" t="str">
            <v>SFX 44 · Subcontracts</v>
          </cell>
        </row>
      </sheetData>
      <sheetData sheetId="4" refreshError="1"/>
      <sheetData sheetId="5">
        <row r="46">
          <cell r="C46">
            <v>0.3129109534939285</v>
          </cell>
        </row>
      </sheetData>
      <sheetData sheetId="6"/>
      <sheetData sheetId="7">
        <row r="59">
          <cell r="E59">
            <v>227480.56</v>
          </cell>
        </row>
      </sheetData>
      <sheetData sheetId="8"/>
      <sheetData sheetId="9" refreshError="1"/>
      <sheetData sheetId="10" refreshError="1"/>
      <sheetData sheetId="11"/>
      <sheetData sheetId="12">
        <row r="3">
          <cell r="A3" t="str">
            <v>Budget for the Period Ended December 31, 2011</v>
          </cell>
        </row>
        <row r="40">
          <cell r="M40">
            <v>0.21970000000000001</v>
          </cell>
          <cell r="N40">
            <v>9.2999999999999999E-2</v>
          </cell>
          <cell r="O40">
            <v>0.32100000000000001</v>
          </cell>
          <cell r="P40">
            <v>1.7611000000000001</v>
          </cell>
        </row>
      </sheetData>
      <sheetData sheetId="13">
        <row r="56">
          <cell r="F56">
            <v>152797.46461538458</v>
          </cell>
          <cell r="G56">
            <v>7303.4886153846155</v>
          </cell>
          <cell r="H56">
            <v>10091.950153846154</v>
          </cell>
          <cell r="I56">
            <v>11921.434846153847</v>
          </cell>
          <cell r="J56">
            <v>9582.2386153846146</v>
          </cell>
          <cell r="K56">
            <v>15536.757846153847</v>
          </cell>
          <cell r="L56">
            <v>16721.853999999999</v>
          </cell>
          <cell r="M56">
            <v>16345.988615384615</v>
          </cell>
          <cell r="N56">
            <v>18077.911692307694</v>
          </cell>
          <cell r="O56">
            <v>20683.886769230769</v>
          </cell>
          <cell r="P56">
            <v>13789.257846153845</v>
          </cell>
          <cell r="Q56">
            <v>13789.257846153845</v>
          </cell>
        </row>
      </sheetData>
      <sheetData sheetId="14">
        <row r="2">
          <cell r="A2" t="str">
            <v>001000 Velez Carlos</v>
          </cell>
          <cell r="G2">
            <v>176987.2</v>
          </cell>
          <cell r="K2">
            <v>178757.07200000001</v>
          </cell>
        </row>
        <row r="3">
          <cell r="A3" t="str">
            <v>001001 Velez Elsa</v>
          </cell>
          <cell r="G3">
            <v>129792</v>
          </cell>
          <cell r="K3">
            <v>134983.67999999999</v>
          </cell>
        </row>
        <row r="4">
          <cell r="A4" t="str">
            <v>001002 Fordham Joseph</v>
          </cell>
          <cell r="G4">
            <v>157497.60000000001</v>
          </cell>
          <cell r="K4">
            <v>162222.52800000002</v>
          </cell>
        </row>
        <row r="5">
          <cell r="A5" t="str">
            <v>001003 Test Employee</v>
          </cell>
          <cell r="G5">
            <v>42000</v>
          </cell>
          <cell r="K5">
            <v>43260</v>
          </cell>
        </row>
        <row r="6">
          <cell r="A6" t="str">
            <v>001004 Eckardt Jon</v>
          </cell>
          <cell r="G6">
            <v>139256</v>
          </cell>
          <cell r="K6">
            <v>143433.68</v>
          </cell>
        </row>
        <row r="7">
          <cell r="A7" t="str">
            <v>001005 Mooradian Stephen</v>
          </cell>
          <cell r="G7">
            <v>133910.39999999999</v>
          </cell>
          <cell r="K7">
            <v>137927.712</v>
          </cell>
        </row>
        <row r="8">
          <cell r="A8" t="str">
            <v>001006 Moore Jeffrey</v>
          </cell>
          <cell r="G8">
            <v>124384</v>
          </cell>
          <cell r="K8">
            <v>128115.52</v>
          </cell>
        </row>
        <row r="9">
          <cell r="A9" t="str">
            <v>001008 Foremaster Melvin</v>
          </cell>
          <cell r="G9">
            <v>165505.59999999998</v>
          </cell>
          <cell r="K9">
            <v>168815.71199999997</v>
          </cell>
        </row>
        <row r="10">
          <cell r="A10" t="str">
            <v>001010 Lee Daniel</v>
          </cell>
          <cell r="G10">
            <v>160700.80000000002</v>
          </cell>
          <cell r="K10">
            <v>167128.83200000002</v>
          </cell>
        </row>
        <row r="11">
          <cell r="A11" t="str">
            <v>001013 Chayka Christine</v>
          </cell>
          <cell r="G11">
            <v>101816</v>
          </cell>
          <cell r="K11">
            <v>104870.48</v>
          </cell>
        </row>
        <row r="12">
          <cell r="A12" t="str">
            <v>001014 Furlow CW</v>
          </cell>
          <cell r="G12">
            <v>175156.8</v>
          </cell>
          <cell r="K12">
            <v>176908.36799999999</v>
          </cell>
        </row>
        <row r="13">
          <cell r="A13" t="str">
            <v>001015 Ledman Albert</v>
          </cell>
          <cell r="G13">
            <v>127316.8</v>
          </cell>
          <cell r="K13">
            <v>131136.304</v>
          </cell>
        </row>
        <row r="14">
          <cell r="A14" t="str">
            <v>001016 Albertson Melissa</v>
          </cell>
          <cell r="G14">
            <v>120432</v>
          </cell>
          <cell r="K14">
            <v>124044.96</v>
          </cell>
        </row>
        <row r="15">
          <cell r="A15" t="str">
            <v>001017 Lambert Deryk</v>
          </cell>
          <cell r="G15">
            <v>126900.8</v>
          </cell>
          <cell r="K15">
            <v>130707.82400000001</v>
          </cell>
        </row>
        <row r="16">
          <cell r="A16" t="str">
            <v>001018 Graves Stephen</v>
          </cell>
          <cell r="G16">
            <v>100152</v>
          </cell>
          <cell r="K16">
            <v>103156.56</v>
          </cell>
        </row>
        <row r="17">
          <cell r="A17" t="str">
            <v>001019 Keyworth Crystal</v>
          </cell>
          <cell r="G17">
            <v>98820.800000000003</v>
          </cell>
          <cell r="K17">
            <v>101785.424</v>
          </cell>
        </row>
        <row r="18">
          <cell r="A18" t="str">
            <v>001021 Fecht Bruce</v>
          </cell>
          <cell r="G18">
            <v>154523.20000000001</v>
          </cell>
          <cell r="K18">
            <v>159158.89600000001</v>
          </cell>
        </row>
        <row r="19">
          <cell r="A19" t="str">
            <v>001022 Schied Charles</v>
          </cell>
          <cell r="G19">
            <v>185016</v>
          </cell>
          <cell r="K19">
            <v>185016</v>
          </cell>
        </row>
        <row r="20">
          <cell r="A20" t="str">
            <v>001023 Erhardt William</v>
          </cell>
          <cell r="G20">
            <v>156020.80000000002</v>
          </cell>
          <cell r="K20">
            <v>160701.42400000003</v>
          </cell>
        </row>
        <row r="21">
          <cell r="A21" t="str">
            <v>001024 Ledman Kendra</v>
          </cell>
          <cell r="G21">
            <v>69555.199999999997</v>
          </cell>
          <cell r="K21">
            <v>71641.856</v>
          </cell>
        </row>
        <row r="22">
          <cell r="A22" t="str">
            <v>001025 Horan Tracy</v>
          </cell>
          <cell r="G22">
            <v>88420.800000000003</v>
          </cell>
          <cell r="K22">
            <v>91073.423999999999</v>
          </cell>
        </row>
        <row r="23">
          <cell r="A23" t="str">
            <v>001026 Bischof Kathleen</v>
          </cell>
          <cell r="G23">
            <v>57033.600000000006</v>
          </cell>
          <cell r="K23">
            <v>58744.608000000007</v>
          </cell>
        </row>
        <row r="24">
          <cell r="A24" t="str">
            <v>001027 McQuay Jaime</v>
          </cell>
          <cell r="G24">
            <v>101524.8</v>
          </cell>
          <cell r="K24">
            <v>104570.54400000001</v>
          </cell>
        </row>
        <row r="25">
          <cell r="A25" t="str">
            <v>001028 Mooradian Deborah</v>
          </cell>
          <cell r="G25">
            <v>94785.600000000006</v>
          </cell>
          <cell r="K25">
            <v>97629.168000000005</v>
          </cell>
        </row>
        <row r="26">
          <cell r="A26" t="str">
            <v>001032 Floyd Dionne</v>
          </cell>
          <cell r="G26">
            <v>75774.399999999994</v>
          </cell>
          <cell r="K26">
            <v>78047.631999999998</v>
          </cell>
        </row>
        <row r="27">
          <cell r="G27">
            <v>123616.48000000001</v>
          </cell>
        </row>
        <row r="28">
          <cell r="A28" t="str">
            <v>001035 Padilla Marcell</v>
          </cell>
          <cell r="G28">
            <v>137009.60000000001</v>
          </cell>
          <cell r="K28">
            <v>141119.88800000001</v>
          </cell>
        </row>
        <row r="29">
          <cell r="A29" t="str">
            <v>001036 Slayton Kim</v>
          </cell>
          <cell r="G29">
            <v>140004.80000000002</v>
          </cell>
          <cell r="K29">
            <v>144204.94400000002</v>
          </cell>
        </row>
        <row r="30">
          <cell r="A30" t="str">
            <v>001038 Guy David</v>
          </cell>
          <cell r="G30">
            <v>60008</v>
          </cell>
          <cell r="K30">
            <v>61808.240000000005</v>
          </cell>
        </row>
        <row r="31">
          <cell r="A31" t="str">
            <v>001039 Dukes Robert</v>
          </cell>
          <cell r="G31">
            <v>147014.40000000002</v>
          </cell>
          <cell r="K31">
            <v>151424.83200000002</v>
          </cell>
        </row>
        <row r="32">
          <cell r="G32">
            <v>145017.60000000001</v>
          </cell>
          <cell r="K32">
            <v>149368.128</v>
          </cell>
        </row>
        <row r="33">
          <cell r="A33" t="str">
            <v>TBD Long, Philip</v>
          </cell>
          <cell r="K33">
            <v>86531.535999999993</v>
          </cell>
        </row>
        <row r="34">
          <cell r="A34" t="str">
            <v>TBD Hawitt, Michelle</v>
          </cell>
          <cell r="K34">
            <v>72113.183999999994</v>
          </cell>
        </row>
        <row r="35">
          <cell r="A35" t="str">
            <v>TBD Moore, Marbert</v>
          </cell>
          <cell r="K35">
            <v>144204.94400000002</v>
          </cell>
        </row>
        <row r="36">
          <cell r="A36" t="str">
            <v>TBD Negron, Juan</v>
          </cell>
          <cell r="K36">
            <v>113311.53599999999</v>
          </cell>
        </row>
        <row r="37">
          <cell r="A37" t="str">
            <v>TBD Short, Amie</v>
          </cell>
          <cell r="K37">
            <v>123616.48000000001</v>
          </cell>
        </row>
        <row r="38">
          <cell r="K38">
            <v>87559.887999999992</v>
          </cell>
        </row>
        <row r="39">
          <cell r="A39" t="str">
            <v>TBD Tygrett, Kelly</v>
          </cell>
          <cell r="K39">
            <v>123616.48000000001</v>
          </cell>
        </row>
        <row r="40">
          <cell r="A40" t="str">
            <v>TBD Bot, Penny</v>
          </cell>
          <cell r="K40">
            <v>160680</v>
          </cell>
        </row>
        <row r="41">
          <cell r="A41" t="str">
            <v>TBD New Hire 1</v>
          </cell>
          <cell r="K41">
            <v>170000</v>
          </cell>
        </row>
        <row r="42">
          <cell r="A42" t="str">
            <v>TBD New Hire 2</v>
          </cell>
          <cell r="K42">
            <v>250000</v>
          </cell>
        </row>
        <row r="43">
          <cell r="A43" t="str">
            <v>TBD New Hire 3</v>
          </cell>
          <cell r="K43">
            <v>145000</v>
          </cell>
        </row>
        <row r="44">
          <cell r="A44" t="str">
            <v>TBD New Hire 4</v>
          </cell>
          <cell r="K44">
            <v>85000</v>
          </cell>
        </row>
        <row r="68">
          <cell r="P68">
            <v>368407.17172799999</v>
          </cell>
          <cell r="Q68">
            <v>70584.564799999993</v>
          </cell>
        </row>
      </sheetData>
      <sheetData sheetId="15"/>
      <sheetData sheetId="16" refreshError="1"/>
      <sheetData sheetId="17" refreshError="1"/>
      <sheetData sheetId="18" refreshError="1"/>
      <sheetData sheetId="19">
        <row r="5">
          <cell r="A5" t="str">
            <v>Velez Carlos</v>
          </cell>
        </row>
        <row r="12">
          <cell r="E12" t="str">
            <v>001000</v>
          </cell>
        </row>
        <row r="18">
          <cell r="A18" t="str">
            <v>Fordham Joseph</v>
          </cell>
        </row>
        <row r="25">
          <cell r="E25" t="str">
            <v>001002</v>
          </cell>
        </row>
        <row r="31">
          <cell r="A31" t="str">
            <v>Eckardt Jon</v>
          </cell>
        </row>
        <row r="38">
          <cell r="E38" t="str">
            <v>001004</v>
          </cell>
        </row>
        <row r="44">
          <cell r="A44" t="str">
            <v>Mooradian Stephen</v>
          </cell>
        </row>
        <row r="51">
          <cell r="E51" t="str">
            <v>001005</v>
          </cell>
        </row>
        <row r="57">
          <cell r="A57" t="str">
            <v>Moore Jeffrey</v>
          </cell>
        </row>
        <row r="64">
          <cell r="E64" t="str">
            <v>001006</v>
          </cell>
        </row>
        <row r="70">
          <cell r="A70" t="str">
            <v>Foremaster Melvin</v>
          </cell>
        </row>
        <row r="77">
          <cell r="E77" t="str">
            <v>001008</v>
          </cell>
        </row>
        <row r="96">
          <cell r="A96" t="str">
            <v>Lee Daniel</v>
          </cell>
        </row>
        <row r="103">
          <cell r="E103" t="str">
            <v>001010</v>
          </cell>
        </row>
        <row r="135">
          <cell r="A135" t="str">
            <v>Chayka Christine</v>
          </cell>
        </row>
        <row r="142">
          <cell r="E142" t="str">
            <v>001013</v>
          </cell>
        </row>
        <row r="148">
          <cell r="A148" t="str">
            <v>Furlow CW</v>
          </cell>
        </row>
        <row r="155">
          <cell r="E155" t="str">
            <v>001014</v>
          </cell>
        </row>
        <row r="161">
          <cell r="A161" t="str">
            <v>Ledman Albert</v>
          </cell>
        </row>
        <row r="168">
          <cell r="E168" t="str">
            <v>001015</v>
          </cell>
        </row>
        <row r="174">
          <cell r="A174" t="str">
            <v>Albertson Melissa</v>
          </cell>
        </row>
        <row r="181">
          <cell r="E181" t="str">
            <v>001016</v>
          </cell>
        </row>
        <row r="187">
          <cell r="A187" t="str">
            <v>Lambert Deryk</v>
          </cell>
        </row>
        <row r="194">
          <cell r="E194" t="str">
            <v>001017</v>
          </cell>
        </row>
        <row r="200">
          <cell r="A200" t="str">
            <v>Graves Stephen</v>
          </cell>
        </row>
        <row r="207">
          <cell r="E207" t="str">
            <v>001018</v>
          </cell>
        </row>
        <row r="213">
          <cell r="A213" t="str">
            <v>Keyworth Crystal</v>
          </cell>
        </row>
        <row r="220">
          <cell r="E220" t="str">
            <v>001019</v>
          </cell>
        </row>
        <row r="239">
          <cell r="A239" t="str">
            <v>Fecht Bruce</v>
          </cell>
        </row>
        <row r="246">
          <cell r="E246" t="str">
            <v>001021</v>
          </cell>
        </row>
        <row r="252">
          <cell r="A252" t="str">
            <v>Schied Charles</v>
          </cell>
        </row>
        <row r="259">
          <cell r="E259" t="str">
            <v>001022</v>
          </cell>
        </row>
        <row r="265">
          <cell r="A265" t="str">
            <v>Erhardt William</v>
          </cell>
        </row>
        <row r="272">
          <cell r="E272" t="str">
            <v>001023</v>
          </cell>
        </row>
        <row r="278">
          <cell r="A278" t="str">
            <v>Ledman Kendra</v>
          </cell>
        </row>
        <row r="285">
          <cell r="E285" t="str">
            <v>001024</v>
          </cell>
        </row>
        <row r="291">
          <cell r="A291" t="str">
            <v>Horan Tracy</v>
          </cell>
        </row>
        <row r="298">
          <cell r="E298" t="str">
            <v>001025</v>
          </cell>
        </row>
        <row r="304">
          <cell r="A304" t="str">
            <v>Bischof Kathleen</v>
          </cell>
        </row>
        <row r="311">
          <cell r="E311" t="str">
            <v>001026</v>
          </cell>
        </row>
        <row r="317">
          <cell r="A317" t="str">
            <v>McQuay Jaime</v>
          </cell>
        </row>
        <row r="324">
          <cell r="E324" t="str">
            <v>001027</v>
          </cell>
        </row>
        <row r="330">
          <cell r="A330" t="str">
            <v>Mooradian Deborah</v>
          </cell>
        </row>
        <row r="337">
          <cell r="E337" t="str">
            <v>001028</v>
          </cell>
        </row>
        <row r="343">
          <cell r="A343" t="str">
            <v>Floyd Dionne</v>
          </cell>
        </row>
        <row r="350">
          <cell r="E350" t="str">
            <v>001032</v>
          </cell>
        </row>
        <row r="356">
          <cell r="A356" t="str">
            <v>Chan Libby</v>
          </cell>
        </row>
        <row r="363">
          <cell r="E363" t="str">
            <v>001033</v>
          </cell>
        </row>
        <row r="382">
          <cell r="A382" t="str">
            <v>Padilla Marcell</v>
          </cell>
        </row>
        <row r="389">
          <cell r="E389" t="str">
            <v>001035</v>
          </cell>
        </row>
        <row r="395">
          <cell r="A395" t="str">
            <v>Slayton Kim</v>
          </cell>
        </row>
        <row r="402">
          <cell r="E402" t="str">
            <v>001036</v>
          </cell>
        </row>
        <row r="421">
          <cell r="A421" t="str">
            <v>Guy David</v>
          </cell>
        </row>
        <row r="428">
          <cell r="E428" t="str">
            <v>001038</v>
          </cell>
        </row>
        <row r="434">
          <cell r="A434" t="str">
            <v>Dukes Robert</v>
          </cell>
        </row>
        <row r="441">
          <cell r="E441" t="str">
            <v>001039</v>
          </cell>
        </row>
        <row r="673">
          <cell r="A673" t="str">
            <v>Velez Elsa</v>
          </cell>
        </row>
        <row r="680">
          <cell r="E680" t="str">
            <v>001001</v>
          </cell>
        </row>
        <row r="710">
          <cell r="A710" t="str">
            <v>Test Employee</v>
          </cell>
        </row>
        <row r="716">
          <cell r="N716">
            <v>43260.41</v>
          </cell>
        </row>
        <row r="717">
          <cell r="E717" t="str">
            <v>001003</v>
          </cell>
        </row>
        <row r="735">
          <cell r="E735" t="str">
            <v>TBD</v>
          </cell>
        </row>
        <row r="772">
          <cell r="N772">
            <v>85000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P&amp;L Summary"/>
      <sheetName val="Summary Balance Sheet"/>
      <sheetName val="Summary Cash Flow Statement"/>
      <sheetName val="Profit &amp; Loss"/>
      <sheetName val="LABOR PVT"/>
      <sheetName val="Labor budget"/>
      <sheetName val="P&amp;L Assumptions"/>
      <sheetName val="Rate Summary &amp; WRAP"/>
      <sheetName val="BaselineBgt"/>
      <sheetName val="Fringe Benefits Pool"/>
      <sheetName val="Overhead Pool"/>
      <sheetName val="Mat_Hand."/>
      <sheetName val="G &amp; A Pool"/>
      <sheetName val="Rate recon"/>
      <sheetName val="Consultants"/>
      <sheetName val="Labor Utilization Analysis"/>
      <sheetName val="Price"/>
      <sheetName val="Facilities Breakout"/>
      <sheetName val="PBC - FY11 CFF &amp; ACTUALS"/>
      <sheetName val="PBC-Pay Roll &amp; Taxes"/>
      <sheetName val="PBC - The Utilization model"/>
      <sheetName val="PBCFringe"/>
      <sheetName val="PBC - Overhead"/>
      <sheetName val="PBC G&amp;A"/>
      <sheetName val="PBC - FY11 CFF - the PLAN"/>
      <sheetName val="COA"/>
      <sheetName val="VACA"/>
      <sheetName val="04 12 Items"/>
      <sheetName val="Sheet1"/>
    </sheetNames>
    <sheetDataSet>
      <sheetData sheetId="0" refreshError="1"/>
      <sheetData sheetId="1" refreshError="1"/>
      <sheetData sheetId="2">
        <row r="12">
          <cell r="C12">
            <v>682144.54</v>
          </cell>
        </row>
      </sheetData>
      <sheetData sheetId="3" refreshError="1"/>
      <sheetData sheetId="4"/>
      <sheetData sheetId="5" refreshError="1"/>
      <sheetData sheetId="6">
        <row r="3">
          <cell r="M3" t="str">
            <v>work days</v>
          </cell>
        </row>
        <row r="139">
          <cell r="DO139" t="str">
            <v>Brad  Beil</v>
          </cell>
          <cell r="DP139">
            <v>0.84617360376695649</v>
          </cell>
          <cell r="DQ139">
            <v>4.6054818010814465E-2</v>
          </cell>
          <cell r="DR139">
            <v>0</v>
          </cell>
          <cell r="DS139">
            <v>0</v>
          </cell>
          <cell r="DT139">
            <v>0</v>
          </cell>
          <cell r="DU139">
            <v>0.10777157822222908</v>
          </cell>
          <cell r="DV139">
            <v>1</v>
          </cell>
        </row>
        <row r="140">
          <cell r="DO140" t="str">
            <v>Pat   Duecy</v>
          </cell>
          <cell r="DP140">
            <v>0.85409099828200097</v>
          </cell>
          <cell r="DQ140">
            <v>4.5606596648539215E-2</v>
          </cell>
          <cell r="DR140">
            <v>0</v>
          </cell>
          <cell r="DS140">
            <v>0</v>
          </cell>
          <cell r="DT140">
            <v>0</v>
          </cell>
          <cell r="DU140">
            <v>0.10030240506945978</v>
          </cell>
          <cell r="DV140">
            <v>0.99999999999999989</v>
          </cell>
        </row>
        <row r="141">
          <cell r="DO141" t="str">
            <v>Cynthia  Femano</v>
          </cell>
          <cell r="DP141">
            <v>0.8589137417752053</v>
          </cell>
          <cell r="DQ141">
            <v>4.3375534872181057E-2</v>
          </cell>
          <cell r="DR141">
            <v>0</v>
          </cell>
          <cell r="DS141">
            <v>0</v>
          </cell>
          <cell r="DT141">
            <v>0</v>
          </cell>
          <cell r="DU141">
            <v>9.7710723352613646E-2</v>
          </cell>
          <cell r="DV141">
            <v>1</v>
          </cell>
        </row>
        <row r="142">
          <cell r="DO142" t="str">
            <v>Lillet  Flynn</v>
          </cell>
          <cell r="DP142">
            <v>0.79710532172662196</v>
          </cell>
          <cell r="DQ142">
            <v>0</v>
          </cell>
          <cell r="DR142">
            <v>0</v>
          </cell>
          <cell r="DS142">
            <v>0</v>
          </cell>
          <cell r="DT142">
            <v>0</v>
          </cell>
          <cell r="DU142">
            <v>0.20289467827337804</v>
          </cell>
          <cell r="DV142">
            <v>1</v>
          </cell>
        </row>
        <row r="143">
          <cell r="DO143" t="str">
            <v>Art  Hughes -142 hrs</v>
          </cell>
          <cell r="DP143">
            <v>0.84617349953085497</v>
          </cell>
          <cell r="DQ143">
            <v>4.605483794569705E-2</v>
          </cell>
          <cell r="DR143">
            <v>0</v>
          </cell>
          <cell r="DS143">
            <v>0</v>
          </cell>
          <cell r="DT143">
            <v>0</v>
          </cell>
          <cell r="DU143">
            <v>0.107771662523448</v>
          </cell>
          <cell r="DV143">
            <v>1</v>
          </cell>
        </row>
        <row r="144">
          <cell r="DO144" t="str">
            <v>Art  Hughes -40 hrs</v>
          </cell>
          <cell r="DP144">
            <v>0.846173637700392</v>
          </cell>
          <cell r="DQ144">
            <v>4.6054726857471986E-2</v>
          </cell>
          <cell r="DR144">
            <v>0</v>
          </cell>
          <cell r="DS144">
            <v>0</v>
          </cell>
          <cell r="DT144">
            <v>0</v>
          </cell>
          <cell r="DU144">
            <v>0.1077716354421361</v>
          </cell>
          <cell r="DV144">
            <v>1.0000000000000002</v>
          </cell>
        </row>
        <row r="145">
          <cell r="DO145" t="str">
            <v>Mike  Kenworthy</v>
          </cell>
          <cell r="DP145">
            <v>0.85506000226225209</v>
          </cell>
          <cell r="DQ145">
            <v>4.6237663522740377E-2</v>
          </cell>
          <cell r="DR145">
            <v>0</v>
          </cell>
          <cell r="DS145">
            <v>0</v>
          </cell>
          <cell r="DT145">
            <v>0</v>
          </cell>
          <cell r="DU145">
            <v>9.8702334215007487E-2</v>
          </cell>
          <cell r="DV145">
            <v>1</v>
          </cell>
        </row>
        <row r="146">
          <cell r="DO146" t="str">
            <v>Steve  Mace</v>
          </cell>
          <cell r="DP146">
            <v>0.84617370150123183</v>
          </cell>
          <cell r="DQ146">
            <v>4.6054934040869147E-2</v>
          </cell>
          <cell r="DR146">
            <v>0</v>
          </cell>
          <cell r="DS146">
            <v>0</v>
          </cell>
          <cell r="DT146">
            <v>0</v>
          </cell>
          <cell r="DU146">
            <v>0.1077713644578991</v>
          </cell>
          <cell r="DV146">
            <v>1</v>
          </cell>
        </row>
        <row r="147">
          <cell r="DO147" t="str">
            <v>Jerry  Makowka</v>
          </cell>
          <cell r="DP147">
            <v>0.72343230037301143</v>
          </cell>
          <cell r="DQ147">
            <v>4.6054866743395019E-2</v>
          </cell>
          <cell r="DR147">
            <v>0</v>
          </cell>
          <cell r="DS147">
            <v>0.12274160354985476</v>
          </cell>
          <cell r="DT147">
            <v>0</v>
          </cell>
          <cell r="DU147">
            <v>0.10777122933373873</v>
          </cell>
          <cell r="DV147">
            <v>0.99999999999999989</v>
          </cell>
        </row>
        <row r="148">
          <cell r="DO148" t="str">
            <v>Mark  Mazzocco</v>
          </cell>
          <cell r="DP148">
            <v>0.84617372693603965</v>
          </cell>
          <cell r="DQ148">
            <v>4.6054960915513671E-2</v>
          </cell>
          <cell r="DR148">
            <v>0</v>
          </cell>
          <cell r="DS148">
            <v>0</v>
          </cell>
          <cell r="DT148">
            <v>0</v>
          </cell>
          <cell r="DU148">
            <v>0.10777131214844658</v>
          </cell>
          <cell r="DV148">
            <v>0.99999999999999989</v>
          </cell>
        </row>
        <row r="149">
          <cell r="DO149" t="str">
            <v>Len  Natkin-10%</v>
          </cell>
          <cell r="DP149">
            <v>0.84588935932867759</v>
          </cell>
          <cell r="DQ149">
            <v>4.6467420976624797E-2</v>
          </cell>
          <cell r="DR149">
            <v>0</v>
          </cell>
          <cell r="DS149">
            <v>0</v>
          </cell>
          <cell r="DT149">
            <v>0</v>
          </cell>
          <cell r="DU149">
            <v>0.10764321969469774</v>
          </cell>
          <cell r="DV149">
            <v>1.0000000000000002</v>
          </cell>
        </row>
        <row r="150">
          <cell r="DO150" t="str">
            <v>Jay  Patel</v>
          </cell>
          <cell r="DP150">
            <v>0.84617376927138799</v>
          </cell>
          <cell r="DQ150">
            <v>4.6054887567339851E-2</v>
          </cell>
          <cell r="DR150">
            <v>0</v>
          </cell>
          <cell r="DS150">
            <v>0</v>
          </cell>
          <cell r="DT150">
            <v>0</v>
          </cell>
          <cell r="DU150">
            <v>0.10777134316127226</v>
          </cell>
          <cell r="DV150">
            <v>1.0000000000000002</v>
          </cell>
        </row>
        <row r="151">
          <cell r="DO151" t="str">
            <v>Ken  Platek</v>
          </cell>
          <cell r="DP151">
            <v>0.82766965175934692</v>
          </cell>
          <cell r="DQ151">
            <v>4.6382948202608312E-2</v>
          </cell>
          <cell r="DR151">
            <v>0</v>
          </cell>
          <cell r="DS151">
            <v>0</v>
          </cell>
          <cell r="DT151">
            <v>0</v>
          </cell>
          <cell r="DU151">
            <v>0.12594740003804483</v>
          </cell>
          <cell r="DV151">
            <v>1</v>
          </cell>
        </row>
        <row r="152">
          <cell r="DO152" t="str">
            <v>Derek  Rose</v>
          </cell>
          <cell r="DP152">
            <v>0.84617388574626251</v>
          </cell>
          <cell r="DQ152">
            <v>4.6055018779243694E-2</v>
          </cell>
          <cell r="DR152">
            <v>0</v>
          </cell>
          <cell r="DS152">
            <v>0</v>
          </cell>
          <cell r="DT152">
            <v>0</v>
          </cell>
          <cell r="DU152">
            <v>0.10777109547449386</v>
          </cell>
          <cell r="DV152">
            <v>1</v>
          </cell>
        </row>
        <row r="153">
          <cell r="DO153" t="str">
            <v>Muriel  Ward</v>
          </cell>
          <cell r="DP153">
            <v>0.85907781632030911</v>
          </cell>
          <cell r="DQ153">
            <v>4.7872885676896244E-2</v>
          </cell>
          <cell r="DR153">
            <v>0</v>
          </cell>
          <cell r="DS153">
            <v>0</v>
          </cell>
          <cell r="DT153">
            <v>0</v>
          </cell>
          <cell r="DU153">
            <v>9.3049298002794767E-2</v>
          </cell>
          <cell r="DV153">
            <v>1.0000000000000002</v>
          </cell>
        </row>
        <row r="154">
          <cell r="DO154" t="str">
            <v>Dan  Seely</v>
          </cell>
          <cell r="DP154">
            <v>0.85541561733495985</v>
          </cell>
          <cell r="DQ154">
            <v>5.1278811533467125E-2</v>
          </cell>
          <cell r="DR154">
            <v>0</v>
          </cell>
          <cell r="DS154">
            <v>0</v>
          </cell>
          <cell r="DT154">
            <v>0</v>
          </cell>
          <cell r="DU154">
            <v>9.3305571131573076E-2</v>
          </cell>
          <cell r="DV154">
            <v>1</v>
          </cell>
        </row>
        <row r="155">
          <cell r="DO155" t="str">
            <v>Sharon  Ocheltree</v>
          </cell>
          <cell r="DP155">
            <v>0</v>
          </cell>
          <cell r="DQ155">
            <v>0</v>
          </cell>
          <cell r="DR155">
            <v>0.7</v>
          </cell>
          <cell r="DS155">
            <v>0</v>
          </cell>
          <cell r="DT155">
            <v>0.19999999999999998</v>
          </cell>
          <cell r="DU155">
            <v>9.9999999999999992E-2</v>
          </cell>
          <cell r="DV155">
            <v>0.99999999999999989</v>
          </cell>
        </row>
        <row r="156">
          <cell r="DO156" t="str">
            <v>Gwyn  Whittaker</v>
          </cell>
          <cell r="DP156">
            <v>0</v>
          </cell>
          <cell r="DQ156">
            <v>0</v>
          </cell>
          <cell r="DR156">
            <v>0.89999982935214062</v>
          </cell>
          <cell r="DS156">
            <v>0</v>
          </cell>
          <cell r="DT156">
            <v>0</v>
          </cell>
          <cell r="DU156">
            <v>0.10000017064785935</v>
          </cell>
          <cell r="DV156">
            <v>1</v>
          </cell>
        </row>
        <row r="157">
          <cell r="DO157" t="str">
            <v>New1-Rajiv Shah</v>
          </cell>
          <cell r="DP157">
            <v>0.83395312857427928</v>
          </cell>
          <cell r="DQ157">
            <v>4.5803096451394666E-2</v>
          </cell>
          <cell r="DR157">
            <v>0</v>
          </cell>
          <cell r="DS157">
            <v>0</v>
          </cell>
          <cell r="DT157">
            <v>0</v>
          </cell>
          <cell r="DU157">
            <v>0.12024377497432602</v>
          </cell>
          <cell r="DV157">
            <v>1</v>
          </cell>
        </row>
        <row r="158">
          <cell r="DO158" t="str">
            <v xml:space="preserve">New2Simmie Adams </v>
          </cell>
          <cell r="DP158">
            <v>0.83449381477137985</v>
          </cell>
          <cell r="DQ158">
            <v>4.7073414806143167E-2</v>
          </cell>
          <cell r="DR158">
            <v>0</v>
          </cell>
          <cell r="DS158">
            <v>0</v>
          </cell>
          <cell r="DT158">
            <v>0</v>
          </cell>
          <cell r="DU158">
            <v>0.11843277042247703</v>
          </cell>
          <cell r="DV158">
            <v>1</v>
          </cell>
        </row>
        <row r="159">
          <cell r="DO159" t="str">
            <v>New3-Chuck Spangler</v>
          </cell>
          <cell r="DP159">
            <v>0.83517999986726899</v>
          </cell>
          <cell r="DQ159">
            <v>4.3253724211467073E-2</v>
          </cell>
          <cell r="DR159">
            <v>0</v>
          </cell>
          <cell r="DS159">
            <v>0</v>
          </cell>
          <cell r="DT159">
            <v>0</v>
          </cell>
          <cell r="DU159">
            <v>0.12156627592126394</v>
          </cell>
          <cell r="DV159">
            <v>1</v>
          </cell>
        </row>
        <row r="160">
          <cell r="DO160" t="str">
            <v>New4-Mike Bennet</v>
          </cell>
          <cell r="DP160">
            <v>0.82266019022981862</v>
          </cell>
          <cell r="DQ160">
            <v>4.5897537178670504E-2</v>
          </cell>
          <cell r="DR160">
            <v>0</v>
          </cell>
          <cell r="DS160">
            <v>0</v>
          </cell>
          <cell r="DT160">
            <v>0</v>
          </cell>
          <cell r="DU160">
            <v>0.13144227259151098</v>
          </cell>
          <cell r="DV160">
            <v>1</v>
          </cell>
        </row>
        <row r="161">
          <cell r="DO161" t="str">
            <v>New5-Matt Meade</v>
          </cell>
          <cell r="DP161">
            <v>0.83111002229165165</v>
          </cell>
          <cell r="DQ161">
            <v>3.764104201207908E-2</v>
          </cell>
          <cell r="DR161">
            <v>0</v>
          </cell>
          <cell r="DS161">
            <v>0</v>
          </cell>
          <cell r="DT161">
            <v>0</v>
          </cell>
          <cell r="DU161">
            <v>0.13124893569626916</v>
          </cell>
          <cell r="DV161">
            <v>0.99999999999999989</v>
          </cell>
        </row>
        <row r="162">
          <cell r="DO162" t="str">
            <v>New6-Monica Milner</v>
          </cell>
          <cell r="DP162">
            <v>0.84079367785603787</v>
          </cell>
          <cell r="DQ162">
            <v>3.8107956397465399E-2</v>
          </cell>
          <cell r="DR162">
            <v>0</v>
          </cell>
          <cell r="DS162">
            <v>0</v>
          </cell>
          <cell r="DT162">
            <v>0</v>
          </cell>
          <cell r="DU162">
            <v>0.12109836574649677</v>
          </cell>
          <cell r="DV162">
            <v>1</v>
          </cell>
        </row>
        <row r="163">
          <cell r="DO163" t="str">
            <v>New7-John Anderson</v>
          </cell>
          <cell r="DP163">
            <v>0.84079379248977015</v>
          </cell>
          <cell r="DQ163">
            <v>3.8108319565501848E-2</v>
          </cell>
          <cell r="DR163">
            <v>0</v>
          </cell>
          <cell r="DS163">
            <v>0</v>
          </cell>
          <cell r="DT163">
            <v>0</v>
          </cell>
          <cell r="DU163">
            <v>0.12109788794472788</v>
          </cell>
          <cell r="DV163">
            <v>0.99999999999999989</v>
          </cell>
        </row>
        <row r="164">
          <cell r="DO164" t="str">
            <v>BD Support  Indirect_Hire1</v>
          </cell>
          <cell r="DP164">
            <v>0</v>
          </cell>
          <cell r="DQ164">
            <v>0</v>
          </cell>
          <cell r="DR164">
            <v>0.88610643220657925</v>
          </cell>
          <cell r="DS164">
            <v>0</v>
          </cell>
          <cell r="DT164">
            <v>0</v>
          </cell>
          <cell r="DU164">
            <v>0.11389356779342072</v>
          </cell>
          <cell r="DV164">
            <v>1</v>
          </cell>
        </row>
        <row r="165">
          <cell r="DO165" t="str">
            <v>New9- Bud Harrell</v>
          </cell>
          <cell r="DP165">
            <v>0.83449979015205611</v>
          </cell>
          <cell r="DQ165">
            <v>4.6639969892238654E-2</v>
          </cell>
          <cell r="DR165">
            <v>0</v>
          </cell>
          <cell r="DS165">
            <v>0</v>
          </cell>
          <cell r="DT165">
            <v>0</v>
          </cell>
          <cell r="DU165">
            <v>0.11886023995570535</v>
          </cell>
          <cell r="DV165">
            <v>1</v>
          </cell>
        </row>
        <row r="166">
          <cell r="DO166" t="str">
            <v>TBD</v>
          </cell>
          <cell r="DP166">
            <v>0</v>
          </cell>
          <cell r="DQ166">
            <v>0</v>
          </cell>
          <cell r="DR166">
            <v>0</v>
          </cell>
          <cell r="DS166">
            <v>0</v>
          </cell>
          <cell r="DT166">
            <v>0</v>
          </cell>
          <cell r="DU166">
            <v>0</v>
          </cell>
          <cell r="DV166">
            <v>0</v>
          </cell>
        </row>
        <row r="167">
          <cell r="DO167" t="str">
            <v>Len  Natkin-80%A</v>
          </cell>
          <cell r="DP167">
            <v>0.84573991399187531</v>
          </cell>
          <cell r="DQ167">
            <v>4.6617105275598612E-2</v>
          </cell>
          <cell r="DR167">
            <v>0</v>
          </cell>
          <cell r="DS167">
            <v>0</v>
          </cell>
          <cell r="DT167">
            <v>0</v>
          </cell>
          <cell r="DU167">
            <v>0.10764298073252601</v>
          </cell>
          <cell r="DV167">
            <v>0.99999999999999989</v>
          </cell>
        </row>
        <row r="168">
          <cell r="DO168" t="str">
            <v>Len Natkin- 10%B</v>
          </cell>
          <cell r="DP168">
            <v>0.84573991399187531</v>
          </cell>
          <cell r="DQ168">
            <v>4.6617105275598612E-2</v>
          </cell>
          <cell r="DR168">
            <v>0</v>
          </cell>
          <cell r="DS168">
            <v>0</v>
          </cell>
          <cell r="DT168">
            <v>0</v>
          </cell>
          <cell r="DU168">
            <v>0.10764298073252601</v>
          </cell>
          <cell r="DV168">
            <v>0.99999999999999989</v>
          </cell>
        </row>
        <row r="169">
          <cell r="DO169" t="str">
            <v>Mike  Kenworthy</v>
          </cell>
          <cell r="DP169">
            <v>0.88014471792599924</v>
          </cell>
          <cell r="DQ169">
            <v>4.0838698829239177E-2</v>
          </cell>
          <cell r="DR169">
            <v>0</v>
          </cell>
          <cell r="DS169">
            <v>0</v>
          </cell>
          <cell r="DT169">
            <v>0</v>
          </cell>
          <cell r="DU169">
            <v>7.9016583244761546E-2</v>
          </cell>
          <cell r="DV169">
            <v>1</v>
          </cell>
        </row>
        <row r="170">
          <cell r="DO170" t="str">
            <v>New8-Frank McGuire</v>
          </cell>
          <cell r="DP170">
            <v>0.93922701256411012</v>
          </cell>
          <cell r="DQ170">
            <v>4.3579684888248052E-2</v>
          </cell>
          <cell r="DR170">
            <v>0</v>
          </cell>
          <cell r="DS170">
            <v>0</v>
          </cell>
          <cell r="DT170">
            <v>0</v>
          </cell>
          <cell r="DU170">
            <v>1.7193302547641801E-2</v>
          </cell>
          <cell r="DV170">
            <v>1</v>
          </cell>
        </row>
        <row r="171">
          <cell r="DO171" t="str">
            <v>TBD</v>
          </cell>
          <cell r="DP171">
            <v>0</v>
          </cell>
          <cell r="DQ171">
            <v>0</v>
          </cell>
          <cell r="DR171">
            <v>0</v>
          </cell>
          <cell r="DS171">
            <v>0</v>
          </cell>
          <cell r="DT171">
            <v>0</v>
          </cell>
          <cell r="DU171">
            <v>0</v>
          </cell>
          <cell r="DV171">
            <v>0</v>
          </cell>
        </row>
        <row r="172">
          <cell r="DP172">
            <v>0</v>
          </cell>
          <cell r="DQ172">
            <v>0</v>
          </cell>
          <cell r="DR172">
            <v>0</v>
          </cell>
          <cell r="DS172">
            <v>0</v>
          </cell>
          <cell r="DT172">
            <v>0</v>
          </cell>
          <cell r="DU172">
            <v>0</v>
          </cell>
          <cell r="DV172">
            <v>0</v>
          </cell>
        </row>
      </sheetData>
      <sheetData sheetId="7"/>
      <sheetData sheetId="8" refreshError="1"/>
      <sheetData sheetId="9" refreshError="1"/>
      <sheetData sheetId="10">
        <row r="11">
          <cell r="J11">
            <v>118895.31</v>
          </cell>
        </row>
      </sheetData>
      <sheetData sheetId="11">
        <row r="7">
          <cell r="E7">
            <v>194454.14</v>
          </cell>
        </row>
      </sheetData>
      <sheetData sheetId="12" refreshError="1"/>
      <sheetData sheetId="13">
        <row r="9">
          <cell r="F9">
            <v>69226.92</v>
          </cell>
        </row>
      </sheetData>
      <sheetData sheetId="14" refreshError="1"/>
      <sheetData sheetId="15">
        <row r="8">
          <cell r="H8">
            <v>13800</v>
          </cell>
        </row>
      </sheetData>
      <sheetData sheetId="16">
        <row r="64">
          <cell r="J64">
            <v>3089238.1947700866</v>
          </cell>
        </row>
      </sheetData>
      <sheetData sheetId="17" refreshError="1"/>
      <sheetData sheetId="18">
        <row r="6">
          <cell r="G6">
            <v>6002.97</v>
          </cell>
        </row>
      </sheetData>
      <sheetData sheetId="19">
        <row r="47">
          <cell r="I47">
            <v>287131.93</v>
          </cell>
        </row>
      </sheetData>
      <sheetData sheetId="20" refreshError="1"/>
      <sheetData sheetId="21" refreshError="1"/>
      <sheetData sheetId="22">
        <row r="22">
          <cell r="Q22">
            <v>408.6716369047619</v>
          </cell>
        </row>
      </sheetData>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_CACHE"/>
      <sheetName val="Comps"/>
      <sheetName val="data"/>
      <sheetName val="Key_Company"/>
      <sheetName val="Comp 1"/>
      <sheetName val="Comp 2"/>
      <sheetName val="Comp 3"/>
      <sheetName val="Comp 4"/>
      <sheetName val="Comp 5"/>
      <sheetName val="Comp 6"/>
      <sheetName val="Comp 7"/>
      <sheetName val="Comp 8"/>
      <sheetName val="Comp 9"/>
    </sheetNames>
    <sheetDataSet>
      <sheetData sheetId="0" refreshError="1"/>
      <sheetData sheetId="1" refreshError="1"/>
      <sheetData sheetId="2" refreshError="1">
        <row r="5">
          <cell r="A5" t="str">
            <v>USD</v>
          </cell>
        </row>
        <row r="6">
          <cell r="A6">
            <v>1000000</v>
          </cell>
        </row>
      </sheetData>
      <sheetData sheetId="3" refreshError="1">
        <row r="2">
          <cell r="C2" t="str">
            <v>NAS:AMZN</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5"/>
      <sheetName val="Macros"/>
      <sheetName val="Inputs"/>
      <sheetName val="Sales - Report First"/>
      <sheetName val="Debt"/>
      <sheetName val="POWER5.XLA"/>
      <sheetName val="Tecua"/>
      <sheetName val="URI"/>
      <sheetName val="Test"/>
      <sheetName val="proforma BS"/>
      <sheetName val="Stock Analysis"/>
      <sheetName val="merger"/>
      <sheetName val="Company summary items"/>
      <sheetName val="synthgraph"/>
      <sheetName val="Vergleichswerte"/>
      <sheetName val="IS &amp; CF"/>
      <sheetName val="Assumptions"/>
      <sheetName val="Mapping"/>
      <sheetName val="Rev Tracker"/>
      <sheetName val="INPUT"/>
      <sheetName val="Graph"/>
      <sheetName val="GER IFO vs Const"/>
      <sheetName val="Europe sales Graph"/>
      <sheetName val="EU Ind vs EU Cons"/>
      <sheetName val="rank"/>
      <sheetName val="GER_IFO_vs_Const"/>
      <sheetName val="Europe_sales_Graph"/>
      <sheetName val="EU_Ind_vs_EU_Cons"/>
      <sheetName val="POWER5_XLA"/>
      <sheetName val="Lookup"/>
      <sheetName val="Main Model"/>
      <sheetName val="Newer version"/>
      <sheetName val="Consolidated"/>
      <sheetName val="AcqIS"/>
      <sheetName val="AcqBSCF"/>
      <sheetName val="ASSUMPT"/>
      <sheetName val="Contract_Details"/>
      <sheetName val="BASE DATA"/>
      <sheetName val="Contents"/>
      <sheetName val="Insulin Sales - NA"/>
      <sheetName val="Business_Model"/>
      <sheetName val="Insulin Sales - EU"/>
      <sheetName val="Insulin Sales - Japan"/>
      <sheetName val="Performance"/>
      <sheetName val="pellet"/>
      <sheetName val="Pro Forma Income Statement"/>
      <sheetName val="Assum"/>
      <sheetName val="COMBINED"/>
      <sheetName val="Aggregation"/>
      <sheetName val="General"/>
      <sheetName val="GL Detail"/>
      <sheetName val="Pro Forma"/>
      <sheetName val="Cases"/>
      <sheetName val="S&amp;U"/>
      <sheetName val="Debt &amp; Interest"/>
      <sheetName val="McKinley P&amp;L"/>
      <sheetName val=" PT 08"/>
      <sheetName val=" PT 07"/>
      <sheetName val=" PT 11"/>
      <sheetName val=" PT 10"/>
      <sheetName val=" PT 12"/>
      <sheetName val=" PT 13"/>
      <sheetName val=" PT 09"/>
      <sheetName val=" PT 01"/>
      <sheetName val=" PT 04"/>
      <sheetName val=" PT 05"/>
      <sheetName val=" PT 03"/>
      <sheetName val="Overheads"/>
      <sheetName val="Données Spéc."/>
      <sheetName val="PV - CTLM"/>
      <sheetName val="PV - MTLK"/>
      <sheetName val="Deal Info &amp; Print Menu"/>
      <sheetName val="Product Trends"/>
      <sheetName val="EBITDA Bridge"/>
      <sheetName val="WC analytics (+data pages)"/>
      <sheetName val="Structures"/>
      <sheetName val="YEAR 1 "/>
      <sheetName val="Sched A9"/>
      <sheetName val="cd_Data"/>
      <sheetName val="yc_Formula"/>
      <sheetName val="Historical Actuals"/>
      <sheetName val="Tables"/>
      <sheetName val="Emory Vols Jan-Dec 2006"/>
      <sheetName val="Sheet1"/>
      <sheetName val="Pro Forma Credit "/>
      <sheetName val="Entrada Dados"/>
      <sheetName val="ENERGIA"/>
      <sheetName val="OPR"/>
      <sheetName val="Capital Expenditure Input Sheet"/>
      <sheetName val="Operating Expense Input Sheet"/>
      <sheetName val="Control"/>
      <sheetName val="Comet Reference Tab"/>
      <sheetName val="2000 Activity"/>
      <sheetName val="total Commonwealth"/>
      <sheetName val="INFO"/>
      <sheetName val="WKSHT"/>
      <sheetName val="CHK REQ"/>
      <sheetName val="SW 212218"/>
      <sheetName val="N.TX - 1997"/>
      <sheetName val="Customize Your Invoice"/>
      <sheetName val="Deal Matrix"/>
      <sheetName val="Model Driver"/>
      <sheetName val="DCF"/>
      <sheetName val="SummaryP&amp;L"/>
      <sheetName val="Assump"/>
      <sheetName val="Cover"/>
      <sheetName val="CF"/>
      <sheetName val="AssumptionsGroup"/>
      <sheetName val="Scenario Management"/>
      <sheetName val=" Cash Flow"/>
      <sheetName val=" P&amp;L-Projection"/>
      <sheetName val="P&amp;L"/>
      <sheetName val="SHELL"/>
      <sheetName val="S&amp;P"/>
      <sheetName val="LBO"/>
      <sheetName val="Active"/>
      <sheetName val="Currency"/>
      <sheetName val="FCC0504"/>
      <sheetName val="Dividend Analysis Assumptions"/>
      <sheetName val="Multiples.Summary"/>
      <sheetName val="Comps"/>
      <sheetName val="Ass"/>
      <sheetName val="Labor"/>
      <sheetName val="Drivers"/>
      <sheetName val="Cap"/>
      <sheetName val="Main"/>
      <sheetName val="CSI"/>
      <sheetName val="WACC"/>
      <sheetName val="\Applications\Microsoft Office "/>
      <sheetName val="AL1"/>
      <sheetName val="General Assump"/>
      <sheetName val="Summary"/>
      <sheetName val="List"/>
      <sheetName val="CloseTable"/>
      <sheetName val="CloseTable Prior"/>
      <sheetName val="Co List"/>
      <sheetName val="P"/>
      <sheetName val="Royal Carib. Model"/>
      <sheetName val="Annual"/>
      <sheetName val="BIS LIST-NTH 18"/>
      <sheetName val="Drop Down Lists"/>
      <sheetName val="DCF_a"/>
      <sheetName val="CASH FLOW MONTH FC"/>
      <sheetName val="Inc Stmt MONTH FC"/>
      <sheetName val="BS ASSETS FC"/>
      <sheetName val="SCIMED Old"/>
      <sheetName val="QuartRev"/>
      <sheetName val="//na1.salesforce.com/Applicatio"/>
      <sheetName val="\\sfdc\DFS\Applications\Microso"/>
      <sheetName val="\J\Applications\Microsoft Offic"/>
      <sheetName val="Calendar"/>
      <sheetName val="SegAutos"/>
      <sheetName val="Buyers Competitors (2)"/>
      <sheetName val="Trial Balance"/>
      <sheetName val="E&amp;Y Format"/>
      <sheetName val="CALCULATIONS"/>
      <sheetName val="Print Controls"/>
      <sheetName val="Input Page"/>
      <sheetName val="Calcs"/>
      <sheetName val="TargIS"/>
      <sheetName val="C_FB"/>
      <sheetName val="PF_IMP2"/>
      <sheetName val="FB"/>
      <sheetName val="MGMT_IS"/>
      <sheetName val="C_TOR"/>
      <sheetName val="STL"/>
      <sheetName val="NYN_91"/>
      <sheetName val="Fees"/>
      <sheetName val="2000_Activity"/>
      <sheetName val="total_Commonwealth"/>
      <sheetName val="CHK_REQ"/>
      <sheetName val="SW_212218"/>
      <sheetName val="N_TX_-_1997"/>
      <sheetName val="Customize_Your_Invoice"/>
      <sheetName val="Sales_-_Report_First"/>
      <sheetName val="Daily Sales"/>
      <sheetName val="Parameter"/>
      <sheetName val="#REF"/>
      <sheetName val="EXTRACT"/>
      <sheetName val="chad10 June02"/>
      <sheetName val="chad12 Dec02"/>
      <sheetName val="chad4"/>
      <sheetName val="DATA"/>
      <sheetName val="INÍCIO_OPER"/>
      <sheetName val="D &amp; A"/>
      <sheetName val="[POWER5.XLA]__qmaxsolutions_m_2"/>
      <sheetName val="POWER5_XLA1"/>
      <sheetName val="Rev_Tracker"/>
      <sheetName val="proforma_BS"/>
      <sheetName val="Stock_Analysis"/>
      <sheetName val="Company_summary_items"/>
      <sheetName val="Pro_Forma_Income_Statement"/>
      <sheetName val="Main_Model"/>
      <sheetName val="Newer_version"/>
      <sheetName val="GL_Detail"/>
      <sheetName val="Pro_Forma"/>
      <sheetName val="Debt_&amp;_Interest"/>
      <sheetName val="McKinley_P&amp;L"/>
      <sheetName val="_PT_08"/>
      <sheetName val="_PT_07"/>
      <sheetName val="_PT_11"/>
      <sheetName val="_PT_10"/>
      <sheetName val="_PT_12"/>
      <sheetName val="_PT_13"/>
      <sheetName val="_PT_09"/>
      <sheetName val="_PT_01"/>
      <sheetName val="_PT_04"/>
      <sheetName val="_PT_05"/>
      <sheetName val="_PT_03"/>
      <sheetName val="Données_Spéc_"/>
      <sheetName val="PV_-_CTLM"/>
      <sheetName val="PV_-_MTLK"/>
      <sheetName val="Deal_Info_&amp;_Print_Menu"/>
      <sheetName val="Product_Trends"/>
      <sheetName val="EBITDA_Bridge"/>
      <sheetName val="WC_analytics_(+data_pages)"/>
      <sheetName val="YEAR_1_"/>
      <sheetName val="Sched_A9"/>
      <sheetName val="Historical_Actuals"/>
      <sheetName val="Emory_Vols_Jan-Dec_2006"/>
      <sheetName val="Pro_Forma_Credit_"/>
      <sheetName val="Entrada_Dados"/>
      <sheetName val="Capital_Expenditure_Input_Sheet"/>
      <sheetName val="Operating_Expense_Input_Sheet"/>
      <sheetName val="Comet_Reference_Tab"/>
      <sheetName val="GER_IFO_vs_Const1"/>
      <sheetName val="Europe_sales_Graph1"/>
      <sheetName val="EU_Ind_vs_EU_Cons1"/>
      <sheetName val="Scenario_Management"/>
      <sheetName val="_Cash_Flow"/>
      <sheetName val="_P&amp;L-Projection"/>
      <sheetName val="Dividend_Analysis_Assumptions"/>
      <sheetName val="Multiples_Summary"/>
      <sheetName val="IS_&amp;_CF"/>
      <sheetName val="BASE_DATA"/>
      <sheetName val="Insulin_Sales_-_NA"/>
      <sheetName val="Insulin_Sales_-_EU"/>
      <sheetName val="Insulin_Sales_-_Japan"/>
      <sheetName val="Deal_Matrix"/>
      <sheetName val="Model_Driver"/>
      <sheetName val="chad10_June02"/>
      <sheetName val="chad12_Dec02"/>
      <sheetName val="CASH_FLOW_MONTH_FC"/>
      <sheetName val="Inc_Stmt_MONTH_FC"/>
      <sheetName val="BS_ASSETS_FC"/>
      <sheetName val="General_Assump"/>
      <sheetName val="\Applications\Microsoft_Office_"/>
      <sheetName val="CloseTable_Prior"/>
      <sheetName val="Co_List"/>
      <sheetName val="Royal_Carib__Model"/>
      <sheetName val="BIS_LIST-NTH_18"/>
      <sheetName val="Share Prices"/>
      <sheetName val="O1"/>
      <sheetName val="Consolidated Financials"/>
      <sheetName val="Equity Index"/>
      <sheetName val="Model"/>
      <sheetName val="BRSW"/>
      <sheetName val="sal"/>
      <sheetName val="check"/>
      <sheetName val="MACRs"/>
      <sheetName val="US Ops Account Detail"/>
      <sheetName val="Cashflow Model"/>
      <sheetName val="[POWER5.XLA][POWER5.XLA][POWER5"/>
      <sheetName val="[POWER5.XLA][POWER5.XLA]\Applic"/>
      <sheetName val="[POWER5.XLA][POWER5.XLA]//na1.s"/>
      <sheetName val="[POWER5.XLA][POWER5.XLA]\\sfdc\"/>
      <sheetName val="[POWER5.XLA]\Applications\Micro"/>
      <sheetName val="[POWER5.XLA]//na1.salesforce.co"/>
      <sheetName val="[POWER5.XLA]\\sfdc\DFS\Applicat"/>
      <sheetName val="Cap Sheet"/>
      <sheetName val="//aodocs.altirnao.com/webdav/PC"/>
      <sheetName val="//localhost/webdav/PCPK8Cq7c4LY"/>
      <sheetName val="//localhost/webdav/PCPQism4gC0V"/>
      <sheetName val="//localhost/FY%202015%20Close/F"/>
      <sheetName val="//aodocs.altirnao.com/webdav/PD"/>
      <sheetName val="//localhost/webdav/PCPyKv40Lr9R"/>
      <sheetName val="//qmaxsolutions-my_sharepoint_c"/>
      <sheetName val="//qmaxsolutions-my_sharepoint_1"/>
      <sheetName val="Main_Model1"/>
      <sheetName val="Newer_version1"/>
      <sheetName val="GL_Detail1"/>
      <sheetName val="Pro_Forma1"/>
      <sheetName val="McKinley_P&amp;L1"/>
      <sheetName val="Pro_Forma_Income_Statement1"/>
      <sheetName val="Deal_Matrix1"/>
      <sheetName val="Model_Driver1"/>
      <sheetName val="Insulin_Sales_-_NA1"/>
      <sheetName val="Insulin_Sales_-_EU1"/>
      <sheetName val="Insulin_Sales_-_Japan1"/>
      <sheetName val="Set-up"/>
      <sheetName val="D"/>
      <sheetName val="Model Summary"/>
      <sheetName val="Purchase vs. Rights"/>
      <sheetName val="CIH Sensitivities"/>
      <sheetName val="Tables for Memo Update 2-9-09"/>
      <sheetName val="summ2"/>
    </sheetNames>
    <definedNames>
      <definedName name="ChangeRange"/>
      <definedName name="ContentsHelp"/>
      <definedName name="CreateTable"/>
      <definedName name="DeleteRange"/>
      <definedName name="DeleteTable"/>
      <definedName name="MerrillPrintIt"/>
      <definedName name="NewRange"/>
      <definedName name="RedefinePrintTableRang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
      <sheetName val="Cover"/>
      <sheetName val="Summary"/>
      <sheetName val="Model Output"/>
      <sheetName val="Football Field"/>
      <sheetName val="Integrity"/>
      <sheetName val="Revenue Build"/>
      <sheetName val="Model"/>
      <sheetName val="Segment Analysis"/>
      <sheetName val="Drivers"/>
      <sheetName val="WACC"/>
      <sheetName val="_CIQHiddenCacheSheet"/>
      <sheetName val="Comparables"/>
      <sheetName val="Valuation"/>
      <sheetName val="CIQ ID Locater"/>
      <sheetName val="Multiples Data"/>
      <sheetName val="Charts"/>
      <sheetName val="Benchmark"/>
      <sheetName val="Pre-Earnings"/>
      <sheetName val="Post-Earnings"/>
    </sheetNames>
    <sheetDataSet>
      <sheetData sheetId="0" refreshError="1"/>
      <sheetData sheetId="1" refreshError="1"/>
      <sheetData sheetId="2" refreshError="1"/>
      <sheetData sheetId="3" refreshError="1"/>
      <sheetData sheetId="4" refreshError="1"/>
      <sheetData sheetId="5" refreshError="1"/>
      <sheetData sheetId="6" refreshError="1">
        <row r="7">
          <cell r="C7" t="str">
            <v>Segment</v>
          </cell>
        </row>
        <row r="9">
          <cell r="C9" t="str">
            <v>Segment</v>
          </cell>
        </row>
        <row r="11">
          <cell r="C11" t="str">
            <v>Segment</v>
          </cell>
        </row>
        <row r="13">
          <cell r="C13" t="str">
            <v>Segment</v>
          </cell>
        </row>
        <row r="15">
          <cell r="C15" t="str">
            <v>Segment</v>
          </cell>
        </row>
        <row r="17">
          <cell r="C17" t="str">
            <v>Segment</v>
          </cell>
        </row>
        <row r="19">
          <cell r="C19" t="str">
            <v>Segment</v>
          </cell>
        </row>
        <row r="26">
          <cell r="C26" t="str">
            <v>Summary</v>
          </cell>
          <cell r="D26"/>
          <cell r="E26"/>
          <cell r="F26" t="str">
            <v>1Q18</v>
          </cell>
          <cell r="G26" t="str">
            <v>2Q18</v>
          </cell>
          <cell r="H26" t="str">
            <v>3Q18</v>
          </cell>
          <cell r="I26" t="str">
            <v>4Q18</v>
          </cell>
          <cell r="J26">
            <v>2018</v>
          </cell>
          <cell r="K26" t="str">
            <v>1Q19</v>
          </cell>
          <cell r="L26" t="str">
            <v>2Q19</v>
          </cell>
          <cell r="M26" t="str">
            <v>3Q19</v>
          </cell>
          <cell r="N26" t="str">
            <v>4Q19</v>
          </cell>
          <cell r="O26">
            <v>2019</v>
          </cell>
          <cell r="P26" t="str">
            <v>1Q20</v>
          </cell>
          <cell r="Q26" t="str">
            <v>2Q20</v>
          </cell>
          <cell r="R26" t="str">
            <v>3Q20</v>
          </cell>
          <cell r="S26" t="str">
            <v>4Q20</v>
          </cell>
          <cell r="T26">
            <v>2020</v>
          </cell>
          <cell r="U26" t="str">
            <v>1Q21</v>
          </cell>
          <cell r="V26" t="str">
            <v>2Q21</v>
          </cell>
          <cell r="W26" t="str">
            <v>3Q21e</v>
          </cell>
          <cell r="X26" t="str">
            <v>4Q21e</v>
          </cell>
          <cell r="Y26" t="str">
            <v>2021e</v>
          </cell>
          <cell r="Z26" t="str">
            <v>1Q22e</v>
          </cell>
          <cell r="AA26" t="str">
            <v>2Q22e</v>
          </cell>
          <cell r="AB26" t="str">
            <v>3Q22e</v>
          </cell>
          <cell r="AC26" t="str">
            <v>4Q22e</v>
          </cell>
          <cell r="AD26" t="str">
            <v>2022e</v>
          </cell>
          <cell r="AE26" t="str">
            <v>2023e</v>
          </cell>
          <cell r="AF26" t="str">
            <v>2024e</v>
          </cell>
          <cell r="AG26" t="str">
            <v>2025e</v>
          </cell>
        </row>
        <row r="27">
          <cell r="C27"/>
          <cell r="D27"/>
          <cell r="E27"/>
          <cell r="F27"/>
          <cell r="G27"/>
          <cell r="H27"/>
          <cell r="I27"/>
          <cell r="J27"/>
          <cell r="K27"/>
          <cell r="L27"/>
          <cell r="M27"/>
          <cell r="N27"/>
          <cell r="O27"/>
          <cell r="P27"/>
          <cell r="Q27"/>
          <cell r="R27"/>
          <cell r="S27"/>
          <cell r="T27"/>
          <cell r="U27"/>
          <cell r="V27"/>
          <cell r="W27"/>
          <cell r="X27"/>
          <cell r="Y27"/>
          <cell r="Z27"/>
          <cell r="AA27"/>
          <cell r="AB27"/>
          <cell r="AC27"/>
          <cell r="AD27"/>
          <cell r="AE27"/>
          <cell r="AF27"/>
          <cell r="AG27"/>
        </row>
        <row r="28">
          <cell r="C28" t="str">
            <v>Total Company Revenue</v>
          </cell>
          <cell r="D28"/>
          <cell r="E28"/>
          <cell r="F28">
            <v>133565</v>
          </cell>
          <cell r="G28">
            <v>139627</v>
          </cell>
          <cell r="H28">
            <v>143507</v>
          </cell>
          <cell r="I28">
            <v>170231</v>
          </cell>
          <cell r="J28">
            <v>586930</v>
          </cell>
          <cell r="K28">
            <v>136003</v>
          </cell>
          <cell r="L28">
            <v>138773</v>
          </cell>
          <cell r="M28">
            <v>136172</v>
          </cell>
          <cell r="N28">
            <v>160902</v>
          </cell>
          <cell r="O28">
            <v>571850</v>
          </cell>
          <cell r="P28">
            <v>151346</v>
          </cell>
          <cell r="Q28">
            <v>206730</v>
          </cell>
          <cell r="R28">
            <v>193917</v>
          </cell>
          <cell r="S28">
            <v>-467884</v>
          </cell>
          <cell r="T28">
            <v>84109</v>
          </cell>
          <cell r="U28">
            <v>151346</v>
          </cell>
          <cell r="V28">
            <v>206730</v>
          </cell>
          <cell r="W28">
            <v>217066.5</v>
          </cell>
          <cell r="X28">
            <v>227919.82499999998</v>
          </cell>
          <cell r="Y28">
            <v>803062.32499999995</v>
          </cell>
          <cell r="Z28">
            <v>239315.81625000003</v>
          </cell>
          <cell r="AA28">
            <v>251281.60706250003</v>
          </cell>
          <cell r="AB28">
            <v>263845.68741562503</v>
          </cell>
          <cell r="AC28">
            <v>277037.9717864063</v>
          </cell>
          <cell r="AD28">
            <v>1031481.0825145314</v>
          </cell>
          <cell r="AE28">
            <v>1083055.1366402581</v>
          </cell>
          <cell r="AF28">
            <v>1137207.893472271</v>
          </cell>
          <cell r="AG28">
            <v>1194068.2881458844</v>
          </cell>
        </row>
        <row r="29">
          <cell r="C29" t="str">
            <v>% Growth</v>
          </cell>
          <cell r="D29"/>
          <cell r="E29"/>
          <cell r="F29"/>
          <cell r="G29">
            <v>4.5386141579006445E-2</v>
          </cell>
          <cell r="H29">
            <v>2.7788321742929334E-2</v>
          </cell>
          <cell r="I29">
            <v>0.18622088121136948</v>
          </cell>
          <cell r="J29"/>
          <cell r="K29">
            <v>-0.20106796059472132</v>
          </cell>
          <cell r="L29">
            <v>2.0367197782401814E-2</v>
          </cell>
          <cell r="M29">
            <v>-1.8742839024882385E-2</v>
          </cell>
          <cell r="N29">
            <v>0.18160855388773012</v>
          </cell>
          <cell r="O29">
            <v>-2.5693012795392933E-2</v>
          </cell>
          <cell r="P29">
            <v>-5.9390187816186213E-2</v>
          </cell>
          <cell r="Q29">
            <v>0.36594293869676098</v>
          </cell>
          <cell r="R29">
            <v>-6.1979393411696448E-2</v>
          </cell>
          <cell r="S29">
            <v>-3.412805478632611</v>
          </cell>
          <cell r="T29">
            <v>-0.85291772317915537</v>
          </cell>
          <cell r="U29">
            <v>-1.3234690649819185</v>
          </cell>
          <cell r="V29">
            <v>0.36594293869676098</v>
          </cell>
          <cell r="W29">
            <v>5.0000000000000044E-2</v>
          </cell>
          <cell r="X29">
            <v>4.9999999999999822E-2</v>
          </cell>
          <cell r="Y29">
            <v>8.5478762677002447</v>
          </cell>
          <cell r="Z29">
            <v>5.0000000000000266E-2</v>
          </cell>
          <cell r="AA29">
            <v>5.0000000000000044E-2</v>
          </cell>
          <cell r="AB29">
            <v>5.0000000000000044E-2</v>
          </cell>
          <cell r="AC29">
            <v>5.0000000000000044E-2</v>
          </cell>
          <cell r="AD29">
            <v>0.28443465768927889</v>
          </cell>
          <cell r="AE29">
            <v>5.0000000000000044E-2</v>
          </cell>
          <cell r="AF29">
            <v>5.0000000000000044E-2</v>
          </cell>
          <cell r="AG29">
            <v>4.9999999999999822E-2</v>
          </cell>
        </row>
        <row r="30">
          <cell r="C30" t="str">
            <v>Service Revenue</v>
          </cell>
          <cell r="D30"/>
          <cell r="E30"/>
          <cell r="F30">
            <v>120916</v>
          </cell>
          <cell r="G30">
            <v>125206</v>
          </cell>
          <cell r="H30">
            <v>127810</v>
          </cell>
          <cell r="I30">
            <v>156750</v>
          </cell>
          <cell r="J30">
            <v>530682</v>
          </cell>
          <cell r="K30">
            <v>123907</v>
          </cell>
          <cell r="L30">
            <v>127429</v>
          </cell>
          <cell r="M30">
            <v>124643</v>
          </cell>
          <cell r="N30">
            <v>147549</v>
          </cell>
          <cell r="O30">
            <v>523528</v>
          </cell>
          <cell r="P30">
            <v>139136</v>
          </cell>
          <cell r="Q30">
            <v>186990</v>
          </cell>
          <cell r="R30">
            <v>183779</v>
          </cell>
          <cell r="S30">
            <v>-486710</v>
          </cell>
          <cell r="T30">
            <v>23195</v>
          </cell>
          <cell r="U30">
            <v>139136</v>
          </cell>
          <cell r="V30">
            <v>186990</v>
          </cell>
          <cell r="W30">
            <v>196339.5</v>
          </cell>
          <cell r="X30">
            <v>206156.47500000001</v>
          </cell>
          <cell r="Y30">
            <v>728621.97499999998</v>
          </cell>
          <cell r="Z30">
            <v>216464.29875000002</v>
          </cell>
          <cell r="AA30">
            <v>227287.51368750003</v>
          </cell>
          <cell r="AB30">
            <v>238651.88937187503</v>
          </cell>
          <cell r="AC30">
            <v>250584.48384046881</v>
          </cell>
          <cell r="AD30">
            <v>932988.18564984389</v>
          </cell>
          <cell r="AE30">
            <v>979637.59493233613</v>
          </cell>
          <cell r="AF30">
            <v>1028619.4746789529</v>
          </cell>
          <cell r="AG30">
            <v>1080050.4484129006</v>
          </cell>
        </row>
        <row r="31">
          <cell r="C31" t="str">
            <v>% Growth</v>
          </cell>
          <cell r="D31"/>
          <cell r="E31"/>
          <cell r="F31"/>
          <cell r="G31">
            <v>3.5479175626054404E-2</v>
          </cell>
          <cell r="H31">
            <v>2.0797725348625562E-2</v>
          </cell>
          <cell r="I31">
            <v>0.2264298568187153</v>
          </cell>
          <cell r="J31"/>
          <cell r="K31">
            <v>-0.20952472089314189</v>
          </cell>
          <cell r="L31">
            <v>2.842454421461249E-2</v>
          </cell>
          <cell r="M31">
            <v>-2.1863155168760695E-2</v>
          </cell>
          <cell r="N31">
            <v>0.18377285527466447</v>
          </cell>
          <cell r="O31">
            <v>-1.3480766259266419E-2</v>
          </cell>
          <cell r="P31">
            <v>-5.7018346447620827E-2</v>
          </cell>
          <cell r="Q31">
            <v>0.34393686752529895</v>
          </cell>
          <cell r="R31">
            <v>-1.7172041285630213E-2</v>
          </cell>
          <cell r="S31">
            <v>-3.6483439348347746</v>
          </cell>
          <cell r="T31">
            <v>-0.95569482434559372</v>
          </cell>
          <cell r="U31">
            <v>-1.2858704361940374</v>
          </cell>
          <cell r="V31">
            <v>0.34393686752529895</v>
          </cell>
          <cell r="W31">
            <v>5.0000000000000044E-2</v>
          </cell>
          <cell r="X31">
            <v>5.0000000000000044E-2</v>
          </cell>
          <cell r="Y31">
            <v>30.412889631386072</v>
          </cell>
          <cell r="Z31">
            <v>5.0000000000000044E-2</v>
          </cell>
          <cell r="AA31">
            <v>5.0000000000000044E-2</v>
          </cell>
          <cell r="AB31">
            <v>5.0000000000000044E-2</v>
          </cell>
          <cell r="AC31">
            <v>5.0000000000000044E-2</v>
          </cell>
          <cell r="AD31">
            <v>0.28048318286014351</v>
          </cell>
          <cell r="AE31">
            <v>5.0000000000000044E-2</v>
          </cell>
          <cell r="AF31">
            <v>5.0000000000000044E-2</v>
          </cell>
          <cell r="AG31">
            <v>5.0000000000000044E-2</v>
          </cell>
        </row>
        <row r="32">
          <cell r="C32" t="str">
            <v>% of Total Revenue</v>
          </cell>
          <cell r="D32"/>
          <cell r="E32"/>
          <cell r="F32">
            <v>0.90529704638191144</v>
          </cell>
          <cell r="G32">
            <v>0.8967176835425813</v>
          </cell>
          <cell r="H32">
            <v>0.89061857609733319</v>
          </cell>
          <cell r="I32">
            <v>0.92080760848494103</v>
          </cell>
          <cell r="J32">
            <v>0.90416574378545989</v>
          </cell>
          <cell r="K32">
            <v>0.91106078542385094</v>
          </cell>
          <cell r="L32">
            <v>0.91825499196529581</v>
          </cell>
          <cell r="M32">
            <v>0.91533501747789559</v>
          </cell>
          <cell r="N32">
            <v>0.91701159712122904</v>
          </cell>
          <cell r="O32">
            <v>0.91549881962052981</v>
          </cell>
          <cell r="P32">
            <v>0.91932393323906814</v>
          </cell>
          <cell r="Q32">
            <v>0.90451313307212311</v>
          </cell>
          <cell r="R32">
            <v>0.9477199007822934</v>
          </cell>
          <cell r="S32">
            <v>1.0402364688683521</v>
          </cell>
          <cell r="T32">
            <v>0.27577310394844784</v>
          </cell>
          <cell r="U32">
            <v>0.91932393323906814</v>
          </cell>
          <cell r="V32">
            <v>0.90451313307212311</v>
          </cell>
          <cell r="W32">
            <v>0.90451313307212311</v>
          </cell>
          <cell r="X32">
            <v>0.90451313307212311</v>
          </cell>
          <cell r="Y32">
            <v>0.90730439259493345</v>
          </cell>
          <cell r="Z32">
            <v>0.904513133072123</v>
          </cell>
          <cell r="AA32">
            <v>0.90451313307212311</v>
          </cell>
          <cell r="AB32">
            <v>0.90451313307212311</v>
          </cell>
          <cell r="AC32">
            <v>0.90451313307212311</v>
          </cell>
          <cell r="AD32">
            <v>0.904513133072123</v>
          </cell>
          <cell r="AE32">
            <v>0.904513133072123</v>
          </cell>
          <cell r="AF32">
            <v>0.904513133072123</v>
          </cell>
          <cell r="AG32">
            <v>0.90451313307212311</v>
          </cell>
        </row>
        <row r="33">
          <cell r="C33" t="str">
            <v>Product Revenue</v>
          </cell>
          <cell r="D33"/>
          <cell r="E33"/>
          <cell r="F33">
            <v>5679</v>
          </cell>
          <cell r="G33">
            <v>4892</v>
          </cell>
          <cell r="H33">
            <v>4705</v>
          </cell>
          <cell r="I33">
            <v>5148</v>
          </cell>
          <cell r="J33">
            <v>20424</v>
          </cell>
          <cell r="K33">
            <v>5405</v>
          </cell>
          <cell r="L33">
            <v>4785</v>
          </cell>
          <cell r="M33">
            <v>5116</v>
          </cell>
          <cell r="N33">
            <v>5188</v>
          </cell>
          <cell r="O33">
            <v>20494</v>
          </cell>
          <cell r="P33">
            <v>5956</v>
          </cell>
          <cell r="Q33">
            <v>6827</v>
          </cell>
          <cell r="R33">
            <v>5816</v>
          </cell>
          <cell r="S33">
            <v>42116</v>
          </cell>
          <cell r="T33">
            <v>60715</v>
          </cell>
          <cell r="U33">
            <v>5956</v>
          </cell>
          <cell r="V33">
            <v>6827</v>
          </cell>
          <cell r="W33">
            <v>7168.35</v>
          </cell>
          <cell r="X33">
            <v>7526.7675000000008</v>
          </cell>
          <cell r="Y33">
            <v>27478.1175</v>
          </cell>
          <cell r="Z33">
            <v>7903.1058750000011</v>
          </cell>
          <cell r="AA33">
            <v>8298.2611687500012</v>
          </cell>
          <cell r="AB33">
            <v>8713.1742271875009</v>
          </cell>
          <cell r="AC33">
            <v>9148.8329385468769</v>
          </cell>
          <cell r="AD33">
            <v>34063.374209484376</v>
          </cell>
          <cell r="AE33">
            <v>35766.5429199586</v>
          </cell>
          <cell r="AF33">
            <v>37554.870065956529</v>
          </cell>
          <cell r="AG33">
            <v>39432.613569254354</v>
          </cell>
        </row>
        <row r="34">
          <cell r="C34" t="str">
            <v>% Growth</v>
          </cell>
          <cell r="D34"/>
          <cell r="E34"/>
          <cell r="F34"/>
          <cell r="G34">
            <v>-0.13858073604507837</v>
          </cell>
          <cell r="H34">
            <v>-3.8225674570727675E-2</v>
          </cell>
          <cell r="I34">
            <v>9.4155154091392079E-2</v>
          </cell>
          <cell r="J34"/>
          <cell r="K34">
            <v>4.9922299922299906E-2</v>
          </cell>
          <cell r="L34">
            <v>-0.1147086031452359</v>
          </cell>
          <cell r="M34">
            <v>6.9174503657262187E-2</v>
          </cell>
          <cell r="N34">
            <v>1.4073494917904661E-2</v>
          </cell>
          <cell r="O34">
            <v>3.4273403838620542E-3</v>
          </cell>
          <cell r="P34">
            <v>0.14803392444101782</v>
          </cell>
          <cell r="Q34">
            <v>0.14623908663532581</v>
          </cell>
          <cell r="R34">
            <v>-0.14808847224256627</v>
          </cell>
          <cell r="S34">
            <v>6.2414030261348001</v>
          </cell>
          <cell r="T34">
            <v>1.9625744120230313</v>
          </cell>
          <cell r="U34">
            <v>-0.85858106182923355</v>
          </cell>
          <cell r="V34">
            <v>0.14623908663532581</v>
          </cell>
          <cell r="W34">
            <v>5.0000000000000044E-2</v>
          </cell>
          <cell r="X34">
            <v>5.0000000000000044E-2</v>
          </cell>
          <cell r="Y34">
            <v>-0.54742456559334596</v>
          </cell>
          <cell r="Z34">
            <v>5.0000000000000044E-2</v>
          </cell>
          <cell r="AA34">
            <v>5.0000000000000044E-2</v>
          </cell>
          <cell r="AB34">
            <v>5.0000000000000044E-2</v>
          </cell>
          <cell r="AC34">
            <v>5.0000000000000044E-2</v>
          </cell>
          <cell r="AD34">
            <v>0.23965458003025053</v>
          </cell>
          <cell r="AE34">
            <v>5.0000000000000044E-2</v>
          </cell>
          <cell r="AF34">
            <v>5.0000000000000044E-2</v>
          </cell>
          <cell r="AG34">
            <v>5.0000000000000044E-2</v>
          </cell>
        </row>
        <row r="35">
          <cell r="C35" t="str">
            <v>% of Total Revenue</v>
          </cell>
          <cell r="D35"/>
          <cell r="E35"/>
          <cell r="F35">
            <v>4.2518623890989406E-2</v>
          </cell>
          <cell r="G35">
            <v>3.5036203599590338E-2</v>
          </cell>
          <cell r="H35">
            <v>3.2785857135888843E-2</v>
          </cell>
          <cell r="I35">
            <v>3.0241260404979115E-2</v>
          </cell>
          <cell r="J35">
            <v>3.4798016799277597E-2</v>
          </cell>
          <cell r="K35">
            <v>3.9741770402123483E-2</v>
          </cell>
          <cell r="L35">
            <v>3.4480770755118073E-2</v>
          </cell>
          <cell r="M35">
            <v>3.7570131892018917E-2</v>
          </cell>
          <cell r="N35">
            <v>3.2243228797653227E-2</v>
          </cell>
          <cell r="O35">
            <v>3.5838069423799947E-2</v>
          </cell>
          <cell r="P35">
            <v>3.9353534285676527E-2</v>
          </cell>
          <cell r="Q35">
            <v>3.3023750786049438E-2</v>
          </cell>
          <cell r="R35">
            <v>2.9992213163363708E-2</v>
          </cell>
          <cell r="S35">
            <v>-9.0013764095374066E-2</v>
          </cell>
          <cell r="T35">
            <v>0.72186091856995094</v>
          </cell>
          <cell r="U35">
            <v>3.9353534285676527E-2</v>
          </cell>
          <cell r="V35">
            <v>3.3023750786049438E-2</v>
          </cell>
          <cell r="W35">
            <v>3.3023750786049438E-2</v>
          </cell>
          <cell r="X35">
            <v>3.3023750786049445E-2</v>
          </cell>
          <cell r="Y35">
            <v>3.4216668675124316E-2</v>
          </cell>
          <cell r="Z35">
            <v>3.3023750786049438E-2</v>
          </cell>
          <cell r="AA35">
            <v>3.3023750786049438E-2</v>
          </cell>
          <cell r="AB35">
            <v>3.3023750786049438E-2</v>
          </cell>
          <cell r="AC35">
            <v>3.3023750786049438E-2</v>
          </cell>
          <cell r="AD35">
            <v>3.3023750786049431E-2</v>
          </cell>
          <cell r="AE35">
            <v>3.3023750786049431E-2</v>
          </cell>
          <cell r="AF35">
            <v>3.3023750786049431E-2</v>
          </cell>
          <cell r="AG35">
            <v>3.3023750786049438E-2</v>
          </cell>
        </row>
        <row r="36">
          <cell r="C36" t="str">
            <v>Insurance Revenue</v>
          </cell>
          <cell r="D36"/>
          <cell r="E36"/>
          <cell r="F36">
            <v>4368</v>
          </cell>
          <cell r="G36">
            <v>4293</v>
          </cell>
          <cell r="H36">
            <v>4023</v>
          </cell>
          <cell r="I36">
            <v>3505</v>
          </cell>
          <cell r="J36">
            <v>16189</v>
          </cell>
          <cell r="K36">
            <v>3334</v>
          </cell>
          <cell r="L36">
            <v>3431</v>
          </cell>
          <cell r="M36">
            <v>3106</v>
          </cell>
          <cell r="N36">
            <v>3231</v>
          </cell>
          <cell r="O36">
            <v>13102</v>
          </cell>
          <cell r="P36">
            <v>3180</v>
          </cell>
          <cell r="Q36">
            <v>4096</v>
          </cell>
          <cell r="R36">
            <v>4322</v>
          </cell>
          <cell r="S36">
            <v>-11324</v>
          </cell>
          <cell r="T36">
            <v>274</v>
          </cell>
          <cell r="U36">
            <v>3180</v>
          </cell>
          <cell r="V36">
            <v>4096</v>
          </cell>
          <cell r="W36">
            <v>4300.8</v>
          </cell>
          <cell r="X36">
            <v>4515.84</v>
          </cell>
          <cell r="Y36">
            <v>16092.64</v>
          </cell>
          <cell r="Z36">
            <v>4741.6320000000005</v>
          </cell>
          <cell r="AA36">
            <v>4978.713600000001</v>
          </cell>
          <cell r="AB36">
            <v>5227.6492800000015</v>
          </cell>
          <cell r="AC36">
            <v>5489.0317440000017</v>
          </cell>
          <cell r="AD36">
            <v>20437.026624000006</v>
          </cell>
          <cell r="AE36">
            <v>21458.877955200005</v>
          </cell>
          <cell r="AF36">
            <v>22531.821852960005</v>
          </cell>
          <cell r="AG36">
            <v>23658.412945608008</v>
          </cell>
        </row>
        <row r="37">
          <cell r="C37" t="str">
            <v>% Growth</v>
          </cell>
          <cell r="D37"/>
          <cell r="E37"/>
          <cell r="F37"/>
          <cell r="G37">
            <v>-1.717032967032972E-2</v>
          </cell>
          <cell r="H37">
            <v>-6.2893081761006275E-2</v>
          </cell>
          <cell r="I37">
            <v>-0.12875963211533681</v>
          </cell>
          <cell r="J37"/>
          <cell r="K37">
            <v>-4.8787446504992893E-2</v>
          </cell>
          <cell r="L37">
            <v>2.9094181163767274E-2</v>
          </cell>
          <cell r="M37">
            <v>-9.4724570096181848E-2</v>
          </cell>
          <cell r="N37">
            <v>4.0244687701223469E-2</v>
          </cell>
          <cell r="O37">
            <v>-0.1906850330471308</v>
          </cell>
          <cell r="P37">
            <v>-1.578458681522743E-2</v>
          </cell>
          <cell r="Q37">
            <v>0.28805031446540874</v>
          </cell>
          <cell r="R37">
            <v>5.517578125E-2</v>
          </cell>
          <cell r="S37">
            <v>-3.6200832947709394</v>
          </cell>
          <cell r="T37">
            <v>-0.97908716226530301</v>
          </cell>
          <cell r="U37">
            <v>-1.2808194984104557</v>
          </cell>
          <cell r="V37">
            <v>0.28805031446540874</v>
          </cell>
          <cell r="W37">
            <v>5.0000000000000044E-2</v>
          </cell>
          <cell r="X37">
            <v>5.0000000000000044E-2</v>
          </cell>
          <cell r="Y37">
            <v>57.732262773722624</v>
          </cell>
          <cell r="Z37">
            <v>5.0000000000000044E-2</v>
          </cell>
          <cell r="AA37">
            <v>5.0000000000000044E-2</v>
          </cell>
          <cell r="AB37">
            <v>5.0000000000000044E-2</v>
          </cell>
          <cell r="AC37">
            <v>5.0000000000000044E-2</v>
          </cell>
          <cell r="AD37">
            <v>0.26996108929299401</v>
          </cell>
          <cell r="AE37">
            <v>5.0000000000000044E-2</v>
          </cell>
          <cell r="AF37">
            <v>5.0000000000000044E-2</v>
          </cell>
          <cell r="AG37">
            <v>5.0000000000000044E-2</v>
          </cell>
        </row>
        <row r="38">
          <cell r="C38" t="str">
            <v>% of Total Revenue</v>
          </cell>
          <cell r="D38"/>
          <cell r="E38"/>
          <cell r="F38">
            <v>3.2703178227829144E-2</v>
          </cell>
          <cell r="G38">
            <v>3.0746202382060776E-2</v>
          </cell>
          <cell r="H38">
            <v>2.8033475718954474E-2</v>
          </cell>
          <cell r="I38">
            <v>2.0589669331672843E-2</v>
          </cell>
          <cell r="J38">
            <v>2.7582505579881757E-2</v>
          </cell>
          <cell r="K38">
            <v>2.4514165128710397E-2</v>
          </cell>
          <cell r="L38">
            <v>2.472382956338769E-2</v>
          </cell>
          <cell r="M38">
            <v>2.2809388126780836E-2</v>
          </cell>
          <cell r="N38">
            <v>2.0080545922362681E-2</v>
          </cell>
          <cell r="O38">
            <v>2.2911602693013903E-2</v>
          </cell>
          <cell r="P38">
            <v>2.1011457190807818E-2</v>
          </cell>
          <cell r="Q38">
            <v>1.9813283026169401E-2</v>
          </cell>
          <cell r="R38">
            <v>2.2287886054342839E-2</v>
          </cell>
          <cell r="S38">
            <v>2.420258012669807E-2</v>
          </cell>
          <cell r="T38">
            <v>3.2576775374811256E-3</v>
          </cell>
          <cell r="U38">
            <v>2.1011457190807818E-2</v>
          </cell>
          <cell r="V38">
            <v>1.9813283026169401E-2</v>
          </cell>
          <cell r="W38">
            <v>1.9813283026169401E-2</v>
          </cell>
          <cell r="X38">
            <v>1.9813283026169401E-2</v>
          </cell>
          <cell r="Y38">
            <v>2.0039092233594697E-2</v>
          </cell>
          <cell r="Z38">
            <v>1.9813283026169397E-2</v>
          </cell>
          <cell r="AA38">
            <v>1.9813283026169401E-2</v>
          </cell>
          <cell r="AB38">
            <v>1.9813283026169404E-2</v>
          </cell>
          <cell r="AC38">
            <v>1.9813283026169401E-2</v>
          </cell>
          <cell r="AD38">
            <v>1.9813283026169401E-2</v>
          </cell>
          <cell r="AE38">
            <v>1.9813283026169397E-2</v>
          </cell>
          <cell r="AF38">
            <v>1.9813283026169397E-2</v>
          </cell>
          <cell r="AG38">
            <v>1.9813283026169404E-2</v>
          </cell>
        </row>
        <row r="39">
          <cell r="C39" t="str">
            <v>Customized Postage Revenue</v>
          </cell>
          <cell r="D39"/>
          <cell r="E39"/>
          <cell r="F39">
            <v>2580</v>
          </cell>
          <cell r="G39">
            <v>5218</v>
          </cell>
          <cell r="H39">
            <v>6957</v>
          </cell>
          <cell r="I39">
            <v>4828</v>
          </cell>
          <cell r="J39">
            <v>19583</v>
          </cell>
          <cell r="K39">
            <v>3357</v>
          </cell>
          <cell r="L39">
            <v>3128</v>
          </cell>
          <cell r="M39">
            <v>3307</v>
          </cell>
          <cell r="N39">
            <v>4934</v>
          </cell>
          <cell r="O39">
            <v>14726</v>
          </cell>
          <cell r="P39">
            <v>3074</v>
          </cell>
          <cell r="Q39">
            <v>8817</v>
          </cell>
          <cell r="R39">
            <v>0</v>
          </cell>
          <cell r="S39">
            <v>-11966</v>
          </cell>
          <cell r="T39">
            <v>-75</v>
          </cell>
          <cell r="U39">
            <v>3074</v>
          </cell>
          <cell r="V39">
            <v>8817</v>
          </cell>
          <cell r="W39">
            <v>9257.85</v>
          </cell>
          <cell r="X39">
            <v>9720.7425000000003</v>
          </cell>
          <cell r="Y39">
            <v>30869.592499999999</v>
          </cell>
          <cell r="Z39">
            <v>10206.779625000001</v>
          </cell>
          <cell r="AA39">
            <v>10717.118606250002</v>
          </cell>
          <cell r="AB39">
            <v>11252.974536562502</v>
          </cell>
          <cell r="AC39">
            <v>11815.623263390627</v>
          </cell>
          <cell r="AD39">
            <v>43992.496031203133</v>
          </cell>
          <cell r="AE39">
            <v>46192.120832763292</v>
          </cell>
          <cell r="AF39">
            <v>48501.726874401458</v>
          </cell>
          <cell r="AG39">
            <v>50926.813218121533</v>
          </cell>
        </row>
        <row r="40">
          <cell r="C40" t="str">
            <v>% Growth</v>
          </cell>
          <cell r="D40"/>
          <cell r="E40"/>
          <cell r="F40"/>
          <cell r="G40">
            <v>1.0224806201550387</v>
          </cell>
          <cell r="H40">
            <v>0.33326945189727875</v>
          </cell>
          <cell r="I40">
            <v>-0.30602271093862299</v>
          </cell>
          <cell r="J40"/>
          <cell r="K40">
            <v>-0.30468102734051372</v>
          </cell>
          <cell r="L40">
            <v>-6.8215668751861802E-2</v>
          </cell>
          <cell r="M40">
            <v>5.7225063938618925E-2</v>
          </cell>
          <cell r="N40">
            <v>0.4919866948896281</v>
          </cell>
          <cell r="O40">
            <v>-0.24802124291477301</v>
          </cell>
          <cell r="P40">
            <v>-0.37697608431293073</v>
          </cell>
          <cell r="Q40">
            <v>1.8682498373454783</v>
          </cell>
          <cell r="R40">
            <v>-1</v>
          </cell>
          <cell r="S40" t="str">
            <v>N/A</v>
          </cell>
          <cell r="T40">
            <v>-1.0050930327312237</v>
          </cell>
          <cell r="U40">
            <v>-1.2568945345144575</v>
          </cell>
          <cell r="V40">
            <v>1.8682498373454783</v>
          </cell>
          <cell r="W40">
            <v>5.0000000000000044E-2</v>
          </cell>
          <cell r="X40">
            <v>5.0000000000000044E-2</v>
          </cell>
          <cell r="Y40">
            <v>-412.59456666666665</v>
          </cell>
          <cell r="Z40">
            <v>5.0000000000000044E-2</v>
          </cell>
          <cell r="AA40">
            <v>5.0000000000000044E-2</v>
          </cell>
          <cell r="AB40">
            <v>5.0000000000000044E-2</v>
          </cell>
          <cell r="AC40">
            <v>5.0000000000000044E-2</v>
          </cell>
          <cell r="AD40">
            <v>0.42510776684865981</v>
          </cell>
          <cell r="AE40">
            <v>5.0000000000000044E-2</v>
          </cell>
          <cell r="AF40">
            <v>5.0000000000000044E-2</v>
          </cell>
          <cell r="AG40">
            <v>5.0000000000000044E-2</v>
          </cell>
        </row>
        <row r="41">
          <cell r="C41" t="str">
            <v>% of Total Revenue</v>
          </cell>
          <cell r="D41"/>
          <cell r="E41"/>
          <cell r="F41">
            <v>1.9316437689514469E-2</v>
          </cell>
          <cell r="G41">
            <v>3.7370995581083886E-2</v>
          </cell>
          <cell r="H41">
            <v>4.8478471433449237E-2</v>
          </cell>
          <cell r="I41">
            <v>2.8361461778406989E-2</v>
          </cell>
          <cell r="J41">
            <v>3.3365137239534527E-2</v>
          </cell>
          <cell r="K41">
            <v>2.4683279045315178E-2</v>
          </cell>
          <cell r="L41">
            <v>2.2540407716198398E-2</v>
          </cell>
          <cell r="M41">
            <v>2.4285462503304645E-2</v>
          </cell>
          <cell r="N41">
            <v>3.0664628158755019E-2</v>
          </cell>
          <cell r="O41">
            <v>2.5751508262656292E-2</v>
          </cell>
          <cell r="P41">
            <v>2.0311075284447557E-2</v>
          </cell>
          <cell r="Q41">
            <v>4.2649833115658106E-2</v>
          </cell>
          <cell r="R41">
            <v>0</v>
          </cell>
          <cell r="S41">
            <v>2.5574715100324011E-2</v>
          </cell>
          <cell r="T41">
            <v>-8.9170005587987022E-4</v>
          </cell>
          <cell r="U41">
            <v>2.0311075284447557E-2</v>
          </cell>
          <cell r="V41">
            <v>4.2649833115658106E-2</v>
          </cell>
          <cell r="W41">
            <v>4.2649833115658106E-2</v>
          </cell>
          <cell r="X41">
            <v>4.2649833115658106E-2</v>
          </cell>
          <cell r="Y41">
            <v>3.8439846496347588E-2</v>
          </cell>
          <cell r="Z41">
            <v>4.2649833115658106E-2</v>
          </cell>
          <cell r="AA41">
            <v>4.2649833115658106E-2</v>
          </cell>
          <cell r="AB41">
            <v>4.2649833115658106E-2</v>
          </cell>
          <cell r="AC41">
            <v>4.2649833115658106E-2</v>
          </cell>
          <cell r="AD41">
            <v>4.2649833115658106E-2</v>
          </cell>
          <cell r="AE41">
            <v>4.2649833115658099E-2</v>
          </cell>
          <cell r="AF41">
            <v>4.2649833115658106E-2</v>
          </cell>
          <cell r="AG41">
            <v>4.2649833115658113E-2</v>
          </cell>
        </row>
        <row r="42">
          <cell r="C42" t="str">
            <v>Other Revenue</v>
          </cell>
          <cell r="D42"/>
          <cell r="E42"/>
          <cell r="F42">
            <v>22</v>
          </cell>
          <cell r="G42">
            <v>18</v>
          </cell>
          <cell r="H42">
            <v>12</v>
          </cell>
          <cell r="I42">
            <v>0</v>
          </cell>
          <cell r="J42">
            <v>52</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row>
        <row r="43">
          <cell r="C43" t="str">
            <v>% Growth</v>
          </cell>
          <cell r="D43"/>
          <cell r="E43"/>
          <cell r="F43"/>
          <cell r="G43">
            <v>-0.18181818181818177</v>
          </cell>
          <cell r="H43">
            <v>-0.33333333333333337</v>
          </cell>
          <cell r="I43">
            <v>-1</v>
          </cell>
          <cell r="J43"/>
          <cell r="K43" t="str">
            <v>N/A</v>
          </cell>
          <cell r="L43" t="str">
            <v>N/A</v>
          </cell>
          <cell r="M43" t="str">
            <v>N/A</v>
          </cell>
          <cell r="N43" t="str">
            <v>N/A</v>
          </cell>
          <cell r="O43">
            <v>-1</v>
          </cell>
          <cell r="P43" t="str">
            <v>N/A</v>
          </cell>
          <cell r="Q43" t="str">
            <v>N/A</v>
          </cell>
          <cell r="R43" t="str">
            <v>N/A</v>
          </cell>
          <cell r="S43" t="str">
            <v>N/A</v>
          </cell>
          <cell r="T43" t="str">
            <v>N/A</v>
          </cell>
          <cell r="U43" t="str">
            <v>N/A</v>
          </cell>
          <cell r="V43" t="str">
            <v>N/A</v>
          </cell>
          <cell r="W43" t="str">
            <v>--</v>
          </cell>
          <cell r="X43" t="str">
            <v>--</v>
          </cell>
          <cell r="Y43" t="str">
            <v>--</v>
          </cell>
          <cell r="Z43" t="str">
            <v>--</v>
          </cell>
          <cell r="AA43" t="str">
            <v>--</v>
          </cell>
          <cell r="AB43" t="str">
            <v>--</v>
          </cell>
          <cell r="AC43" t="str">
            <v>--</v>
          </cell>
          <cell r="AD43" t="str">
            <v>--</v>
          </cell>
          <cell r="AE43" t="str">
            <v>--</v>
          </cell>
          <cell r="AF43" t="str">
            <v>--</v>
          </cell>
          <cell r="AG43" t="str">
            <v>--</v>
          </cell>
        </row>
        <row r="44">
          <cell r="C44" t="str">
            <v>% of Total Revenue</v>
          </cell>
          <cell r="D44"/>
          <cell r="E44"/>
          <cell r="F44">
            <v>1.6471380975554973E-4</v>
          </cell>
          <cell r="G44">
            <v>1.2891489468369298E-4</v>
          </cell>
          <cell r="H44">
            <v>8.3619614374211716E-5</v>
          </cell>
          <cell r="I44">
            <v>0</v>
          </cell>
          <cell r="J44">
            <v>8.8596595846182673E-5</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C45" t="str">
            <v xml:space="preserve"> Revenue</v>
          </cell>
          <cell r="D45"/>
          <cell r="E45"/>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C46" t="str">
            <v>% Growth</v>
          </cell>
          <cell r="D46"/>
          <cell r="E46"/>
          <cell r="F46"/>
          <cell r="G46" t="str">
            <v>N/A</v>
          </cell>
          <cell r="H46" t="str">
            <v>N/A</v>
          </cell>
          <cell r="I46" t="str">
            <v>N/A</v>
          </cell>
          <cell r="J46"/>
          <cell r="K46" t="str">
            <v>N/A</v>
          </cell>
          <cell r="L46" t="str">
            <v>N/A</v>
          </cell>
          <cell r="M46" t="str">
            <v>N/A</v>
          </cell>
          <cell r="N46" t="str">
            <v>N/A</v>
          </cell>
          <cell r="O46" t="str">
            <v>N/A</v>
          </cell>
          <cell r="P46" t="str">
            <v>N/A</v>
          </cell>
          <cell r="Q46" t="str">
            <v>N/A</v>
          </cell>
          <cell r="R46" t="str">
            <v>N/A</v>
          </cell>
          <cell r="S46" t="str">
            <v>N/A</v>
          </cell>
          <cell r="T46" t="str">
            <v>N/A</v>
          </cell>
          <cell r="U46" t="str">
            <v>N/A</v>
          </cell>
          <cell r="V46" t="str">
            <v>N/A</v>
          </cell>
          <cell r="W46" t="str">
            <v>--</v>
          </cell>
          <cell r="X46" t="str">
            <v>--</v>
          </cell>
          <cell r="Y46" t="str">
            <v>--</v>
          </cell>
          <cell r="Z46" t="str">
            <v>--</v>
          </cell>
          <cell r="AA46" t="str">
            <v>--</v>
          </cell>
          <cell r="AB46" t="str">
            <v>--</v>
          </cell>
          <cell r="AC46" t="str">
            <v>--</v>
          </cell>
          <cell r="AD46" t="str">
            <v>--</v>
          </cell>
          <cell r="AE46" t="str">
            <v>--</v>
          </cell>
          <cell r="AF46" t="str">
            <v>--</v>
          </cell>
          <cell r="AG46" t="str">
            <v>--</v>
          </cell>
        </row>
        <row r="47">
          <cell r="C47" t="str">
            <v>% of Total Revenue</v>
          </cell>
          <cell r="D47"/>
          <cell r="E47"/>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14">
          <cell r="C14"/>
          <cell r="D14"/>
          <cell r="E14" t="str">
            <v>LTM P/E</v>
          </cell>
          <cell r="F14" t="str">
            <v>NTM P/E</v>
          </cell>
          <cell r="G14" t="str">
            <v>LTM EV/EBITDA</v>
          </cell>
          <cell r="H14" t="str">
            <v>NTM EV/EBITDA</v>
          </cell>
        </row>
        <row r="15">
          <cell r="C15" t="str">
            <v>2002-2018 Full Cycle</v>
          </cell>
          <cell r="D15"/>
          <cell r="E15">
            <v>18.205671476016477</v>
          </cell>
          <cell r="F15">
            <v>19.283640878196735</v>
          </cell>
          <cell r="G15">
            <v>11.082545507878535</v>
          </cell>
          <cell r="H15">
            <v>9.1811144040872925</v>
          </cell>
        </row>
        <row r="16">
          <cell r="C16" t="str">
            <v>2002-2018 Early Cycle</v>
          </cell>
          <cell r="D16"/>
          <cell r="E16">
            <v>16.631865018705398</v>
          </cell>
          <cell r="F16">
            <v>19.070116660836842</v>
          </cell>
          <cell r="G16">
            <v>10.158647187845514</v>
          </cell>
          <cell r="H16" t="e">
            <v>#DIV/0!</v>
          </cell>
        </row>
        <row r="17">
          <cell r="C17" t="str">
            <v>2002-2018 Mid Cycle</v>
          </cell>
          <cell r="D17"/>
          <cell r="E17">
            <v>23.398224311899781</v>
          </cell>
          <cell r="F17">
            <v>20.451988708480599</v>
          </cell>
          <cell r="G17">
            <v>12.071191686019064</v>
          </cell>
          <cell r="H17">
            <v>10.052153383638277</v>
          </cell>
        </row>
        <row r="18">
          <cell r="C18" t="str">
            <v>2002-2018 Late Cycle</v>
          </cell>
          <cell r="D18"/>
          <cell r="E18">
            <v>18.777389202344729</v>
          </cell>
          <cell r="F18">
            <v>19.764491245647761</v>
          </cell>
          <cell r="G18">
            <v>11.670348005383676</v>
          </cell>
          <cell r="H18">
            <v>10.020605620546235</v>
          </cell>
        </row>
        <row r="19">
          <cell r="C19" t="str">
            <v>2002-2008 Full Cycle</v>
          </cell>
          <cell r="D19"/>
          <cell r="E19">
            <v>20.990344859611792</v>
          </cell>
          <cell r="F19">
            <v>20.603814431351687</v>
          </cell>
          <cell r="G19">
            <v>11.793920525786316</v>
          </cell>
          <cell r="H19">
            <v>9.3541574754593846</v>
          </cell>
        </row>
        <row r="20">
          <cell r="C20" t="str">
            <v>2002-2008 Early Cycle</v>
          </cell>
          <cell r="D20"/>
          <cell r="E20">
            <v>21.249489240284277</v>
          </cell>
          <cell r="F20">
            <v>21.070348116173559</v>
          </cell>
          <cell r="G20">
            <v>10.883267445446497</v>
          </cell>
          <cell r="H20" t="e">
            <v>#DIV/0!</v>
          </cell>
        </row>
        <row r="21">
          <cell r="C21" t="str">
            <v>2002-2008 Mid Cycle</v>
          </cell>
          <cell r="D21"/>
          <cell r="E21">
            <v>29.710481817262107</v>
          </cell>
          <cell r="F21">
            <v>24.405532339385086</v>
          </cell>
          <cell r="G21">
            <v>15.0676972906251</v>
          </cell>
          <cell r="H21">
            <v>11.45371415582796</v>
          </cell>
        </row>
        <row r="22">
          <cell r="C22" t="str">
            <v>2002-2008 Late Cycle</v>
          </cell>
          <cell r="D22"/>
          <cell r="E22">
            <v>18.364666816607834</v>
          </cell>
          <cell r="F22">
            <v>19.049844200140832</v>
          </cell>
          <cell r="G22">
            <v>11.239462473426661</v>
          </cell>
          <cell r="H22">
            <v>9.0854268672387928</v>
          </cell>
        </row>
        <row r="23">
          <cell r="C23" t="str">
            <v>2009-2018 Full Cycle</v>
          </cell>
          <cell r="D23"/>
          <cell r="E23">
            <v>16.256400107499754</v>
          </cell>
          <cell r="F23">
            <v>18.359519390988275</v>
          </cell>
          <cell r="G23">
            <v>10.584582995343096</v>
          </cell>
          <cell r="H23">
            <v>9.1205493291070603</v>
          </cell>
        </row>
        <row r="24">
          <cell r="C24" t="str">
            <v>2009-2018 Early Cycle</v>
          </cell>
          <cell r="D24"/>
          <cell r="E24">
            <v>12.014240797126522</v>
          </cell>
          <cell r="F24">
            <v>17.069885205500125</v>
          </cell>
          <cell r="G24">
            <v>9.4340269302445314</v>
          </cell>
          <cell r="H24">
            <v>7.2319439347489265</v>
          </cell>
        </row>
        <row r="25">
          <cell r="C25" t="str">
            <v>2009-2018 Mid Cycle</v>
          </cell>
          <cell r="D25"/>
          <cell r="E25">
            <v>17.085966806537453</v>
          </cell>
          <cell r="F25">
            <v>16.498445077576111</v>
          </cell>
          <cell r="G25">
            <v>9.074686081413029</v>
          </cell>
          <cell r="H25">
            <v>8.6505926114485945</v>
          </cell>
        </row>
        <row r="26">
          <cell r="C26" t="str">
            <v>2009-2018 Late Cycle</v>
          </cell>
          <cell r="D26"/>
          <cell r="E26">
            <v>19.190111588081624</v>
          </cell>
          <cell r="F26">
            <v>20.479138291154694</v>
          </cell>
          <cell r="G26">
            <v>12.101233537340693</v>
          </cell>
          <cell r="H26">
            <v>10.955784373853678</v>
          </cell>
        </row>
        <row r="36">
          <cell r="C36"/>
          <cell r="D36"/>
          <cell r="E36" t="str">
            <v>LTM P/E</v>
          </cell>
          <cell r="F36" t="str">
            <v>NTM P/E</v>
          </cell>
          <cell r="G36" t="str">
            <v>LTM EV/EBITDA</v>
          </cell>
          <cell r="H36" t="str">
            <v>NTM EV/EBITDA</v>
          </cell>
        </row>
        <row r="37">
          <cell r="C37" t="str">
            <v>2002-2018 Full Cycle</v>
          </cell>
          <cell r="D37"/>
          <cell r="E37">
            <v>21.403246311846644</v>
          </cell>
          <cell r="F37">
            <v>17.95801719118516</v>
          </cell>
          <cell r="G37">
            <v>9.3132513318769821</v>
          </cell>
          <cell r="H37">
            <v>7.4958293757039796</v>
          </cell>
        </row>
        <row r="38">
          <cell r="C38" t="str">
            <v>2002-2018 Early Cycle</v>
          </cell>
          <cell r="D38"/>
          <cell r="E38">
            <v>16.765031355001287</v>
          </cell>
          <cell r="F38">
            <v>15.070760284253637</v>
          </cell>
          <cell r="G38">
            <v>7.1956599918680535</v>
          </cell>
          <cell r="H38" t="e">
            <v>#DIV/0!</v>
          </cell>
        </row>
        <row r="39">
          <cell r="C39" t="str">
            <v>2002-2018 Mid Cycle</v>
          </cell>
          <cell r="D39"/>
          <cell r="E39">
            <v>22.912136348927586</v>
          </cell>
          <cell r="F39">
            <v>15.912102391386668</v>
          </cell>
          <cell r="G39">
            <v>9.5909870477663883</v>
          </cell>
          <cell r="H39">
            <v>7.7035467903506643</v>
          </cell>
        </row>
        <row r="40">
          <cell r="C40" t="str">
            <v>2002-2018 Late Cycle</v>
          </cell>
          <cell r="D40"/>
          <cell r="E40">
            <v>26.940327540795085</v>
          </cell>
          <cell r="F40">
            <v>21.478063172950975</v>
          </cell>
          <cell r="G40">
            <v>10.918281569823044</v>
          </cell>
          <cell r="H40">
            <v>8.2211305895486859</v>
          </cell>
        </row>
        <row r="41">
          <cell r="C41" t="str">
            <v>2002-2008 Full Cycle</v>
          </cell>
          <cell r="D41"/>
          <cell r="E41">
            <v>20.255465760579177</v>
          </cell>
          <cell r="F41">
            <v>21.31317889161188</v>
          </cell>
          <cell r="G41">
            <v>9.1534450379630528</v>
          </cell>
          <cell r="H41">
            <v>7.9483918337634245</v>
          </cell>
        </row>
        <row r="42">
          <cell r="C42" t="str">
            <v>2002-2008 Early Cycle</v>
          </cell>
          <cell r="D42"/>
          <cell r="E42">
            <v>18.198782411247478</v>
          </cell>
          <cell r="F42">
            <v>16.297524839559937</v>
          </cell>
          <cell r="G42">
            <v>7.6015561158213041</v>
          </cell>
          <cell r="H42" t="e">
            <v>#DIV/0!</v>
          </cell>
        </row>
        <row r="43">
          <cell r="C43" t="str">
            <v>2002-2008 Mid Cycle</v>
          </cell>
          <cell r="D43"/>
          <cell r="E43">
            <v>21.941880465375629</v>
          </cell>
          <cell r="F43">
            <v>15.863134957078572</v>
          </cell>
          <cell r="G43">
            <v>9.2477638484750244</v>
          </cell>
          <cell r="H43">
            <v>8.2231007097959399</v>
          </cell>
        </row>
        <row r="44">
          <cell r="C44" t="str">
            <v>2002-2008 Late Cycle</v>
          </cell>
          <cell r="D44"/>
          <cell r="E44">
            <v>23.644373208869958</v>
          </cell>
          <cell r="F44">
            <v>24.783418033166104</v>
          </cell>
          <cell r="G44">
            <v>10.546863511930287</v>
          </cell>
          <cell r="H44">
            <v>7.8442993922775894</v>
          </cell>
        </row>
        <row r="45">
          <cell r="C45" t="str">
            <v>2009-2018 Full Cycle</v>
          </cell>
          <cell r="D45"/>
          <cell r="E45">
            <v>22.027168047407443</v>
          </cell>
          <cell r="F45">
            <v>16.38109119198457</v>
          </cell>
          <cell r="G45">
            <v>9.4041056715640821</v>
          </cell>
          <cell r="H45">
            <v>7.3480074672926108</v>
          </cell>
        </row>
        <row r="46">
          <cell r="C46" t="str">
            <v>2009-2018 Early Cycle</v>
          </cell>
          <cell r="D46"/>
          <cell r="E46">
            <v>15.331280298755098</v>
          </cell>
          <cell r="F46">
            <v>13.843995728947338</v>
          </cell>
          <cell r="G46">
            <v>6.789763867914802</v>
          </cell>
          <cell r="H46">
            <v>6.0055133144661292</v>
          </cell>
        </row>
        <row r="47">
          <cell r="C47" t="str">
            <v>2009-2018 Mid Cycle</v>
          </cell>
          <cell r="D47"/>
          <cell r="E47">
            <v>23.882392232479543</v>
          </cell>
          <cell r="F47">
            <v>15.961069825694764</v>
          </cell>
          <cell r="G47">
            <v>9.9342102470577522</v>
          </cell>
          <cell r="H47">
            <v>7.1839928709053877</v>
          </cell>
        </row>
        <row r="48">
          <cell r="C48" t="str">
            <v>2009-2018 Late Cycle</v>
          </cell>
          <cell r="D48"/>
          <cell r="E48">
            <v>30.236281872720213</v>
          </cell>
          <cell r="F48">
            <v>18.172708312735843</v>
          </cell>
          <cell r="G48">
            <v>11.2896996277158</v>
          </cell>
          <cell r="H48">
            <v>8.5979617868197806</v>
          </cell>
        </row>
        <row r="58">
          <cell r="C58"/>
          <cell r="D58"/>
          <cell r="E58" t="str">
            <v>LTM P/E</v>
          </cell>
          <cell r="F58" t="str">
            <v>NTM P/E</v>
          </cell>
          <cell r="G58" t="str">
            <v>LTM EV/EBITDA</v>
          </cell>
          <cell r="H58" t="str">
            <v>NTM EV/EBITDA</v>
          </cell>
        </row>
        <row r="59">
          <cell r="C59" t="str">
            <v>2002-2018 Full Cycle</v>
          </cell>
          <cell r="D59"/>
          <cell r="E59">
            <v>17.451844369442512</v>
          </cell>
          <cell r="F59">
            <v>14.789390590177238</v>
          </cell>
          <cell r="G59">
            <v>9.0736330644380931</v>
          </cell>
          <cell r="H59">
            <v>8.2467031760817928</v>
          </cell>
        </row>
        <row r="60">
          <cell r="C60" t="str">
            <v>2002-2018 Early Cycle</v>
          </cell>
          <cell r="D60"/>
          <cell r="E60">
            <v>16.511356338309774</v>
          </cell>
          <cell r="F60">
            <v>14.249403727801335</v>
          </cell>
          <cell r="G60">
            <v>8.0081879799852764</v>
          </cell>
          <cell r="H60" t="e">
            <v>#DIV/0!</v>
          </cell>
        </row>
        <row r="61">
          <cell r="C61" t="str">
            <v>2002-2018 Mid Cycle</v>
          </cell>
          <cell r="D61"/>
          <cell r="E61">
            <v>18.174451528888053</v>
          </cell>
          <cell r="F61">
            <v>15.177675768515218</v>
          </cell>
          <cell r="G61">
            <v>9.1033872247162755</v>
          </cell>
          <cell r="H61">
            <v>8.1673101789748106</v>
          </cell>
        </row>
        <row r="62">
          <cell r="C62" t="str">
            <v>2002-2018 Late Cycle</v>
          </cell>
          <cell r="D62"/>
          <cell r="E62">
            <v>18.375615705208343</v>
          </cell>
          <cell r="F62">
            <v>16.379830180926785</v>
          </cell>
          <cell r="G62">
            <v>10.316037257276058</v>
          </cell>
          <cell r="H62">
            <v>9.7916138824697967</v>
          </cell>
        </row>
        <row r="63">
          <cell r="C63" t="str">
            <v>2002-2008 Full Cycle</v>
          </cell>
          <cell r="D63"/>
          <cell r="E63">
            <v>19.372174186392851</v>
          </cell>
          <cell r="F63">
            <v>16.698670553729919</v>
          </cell>
          <cell r="G63">
            <v>9.6234398026286101</v>
          </cell>
          <cell r="H63">
            <v>8.299118515323439</v>
          </cell>
        </row>
        <row r="64">
          <cell r="C64" t="str">
            <v>2002-2008 Early Cycle</v>
          </cell>
          <cell r="D64"/>
          <cell r="E64">
            <v>22.394953041679578</v>
          </cell>
          <cell r="F64">
            <v>19.063007806196822</v>
          </cell>
          <cell r="G64">
            <v>10.384988120065191</v>
          </cell>
          <cell r="H64" t="e">
            <v>#DIV/0!</v>
          </cell>
        </row>
        <row r="65">
          <cell r="C65" t="str">
            <v>2002-2008 Mid Cycle</v>
          </cell>
          <cell r="D65"/>
          <cell r="E65">
            <v>19.262472338714346</v>
          </cell>
          <cell r="F65">
            <v>17.294949146403418</v>
          </cell>
          <cell r="G65">
            <v>9.8177655309079377</v>
          </cell>
          <cell r="H65">
            <v>8.656236152701716</v>
          </cell>
        </row>
        <row r="66">
          <cell r="C66" t="str">
            <v>2002-2008 Late Cycle</v>
          </cell>
          <cell r="D66"/>
          <cell r="E66">
            <v>17.224511078395345</v>
          </cell>
          <cell r="F66">
            <v>14.896640295870613</v>
          </cell>
          <cell r="G66">
            <v>8.9307838896084188</v>
          </cell>
          <cell r="H66">
            <v>8.2881320038219322</v>
          </cell>
        </row>
        <row r="67">
          <cell r="C67" t="str">
            <v>2009-2018 Full Cycle</v>
          </cell>
          <cell r="D67"/>
          <cell r="E67">
            <v>16.187707655771675</v>
          </cell>
          <cell r="F67">
            <v>13.567451413503498</v>
          </cell>
          <cell r="G67">
            <v>8.6942664150866467</v>
          </cell>
          <cell r="H67">
            <v>8.2278336539548018</v>
          </cell>
        </row>
        <row r="68">
          <cell r="C68" t="str">
            <v>2009-2018 Early Cycle</v>
          </cell>
          <cell r="D68"/>
          <cell r="E68">
            <v>10.627759634939974</v>
          </cell>
          <cell r="F68">
            <v>9.4357996494058476</v>
          </cell>
          <cell r="G68">
            <v>5.6313878399053614</v>
          </cell>
          <cell r="H68">
            <v>5.4314602700251715</v>
          </cell>
        </row>
        <row r="69">
          <cell r="C69" t="str">
            <v>2009-2018 Mid Cycle</v>
          </cell>
          <cell r="D69"/>
          <cell r="E69">
            <v>17.086430719061759</v>
          </cell>
          <cell r="F69">
            <v>13.060402390627019</v>
          </cell>
          <cell r="G69">
            <v>8.3890089185246133</v>
          </cell>
          <cell r="H69">
            <v>7.6783842052479061</v>
          </cell>
        </row>
        <row r="70">
          <cell r="C70" t="str">
            <v>2009-2018 Late Cycle</v>
          </cell>
          <cell r="D70"/>
          <cell r="E70">
            <v>19.526720332021341</v>
          </cell>
          <cell r="F70">
            <v>17.863020065982958</v>
          </cell>
          <cell r="G70">
            <v>11.701290624943695</v>
          </cell>
          <cell r="H70">
            <v>11.295095761117661</v>
          </cell>
        </row>
        <row r="80">
          <cell r="C80"/>
          <cell r="D80"/>
          <cell r="E80" t="str">
            <v>LTM P/E</v>
          </cell>
          <cell r="F80" t="str">
            <v>NTM P/E</v>
          </cell>
          <cell r="G80" t="str">
            <v>LTM EV/EBITDA</v>
          </cell>
          <cell r="H80" t="str">
            <v>NTM EV/EBITDA</v>
          </cell>
        </row>
        <row r="81">
          <cell r="C81" t="str">
            <v>2002-2018 Full Cycle</v>
          </cell>
          <cell r="D81"/>
          <cell r="E81">
            <v>23.989111745649577</v>
          </cell>
          <cell r="F81">
            <v>16.203546988432574</v>
          </cell>
          <cell r="G81">
            <v>9.8661131234978807</v>
          </cell>
          <cell r="H81">
            <v>9.2441464344112774</v>
          </cell>
        </row>
        <row r="82">
          <cell r="C82" t="str">
            <v>2002-2018 Early Cycle</v>
          </cell>
          <cell r="D82"/>
          <cell r="E82">
            <v>16.283161986472258</v>
          </cell>
          <cell r="F82">
            <v>15.362904308645149</v>
          </cell>
          <cell r="G82">
            <v>9.8819850551453499</v>
          </cell>
          <cell r="H82">
            <v>9.2905553065414104</v>
          </cell>
        </row>
        <row r="83">
          <cell r="C83" t="str">
            <v>2002-2018 Mid Cycle</v>
          </cell>
          <cell r="D83"/>
          <cell r="E83">
            <v>30.517340865834477</v>
          </cell>
          <cell r="F83">
            <v>16.5008457582353</v>
          </cell>
          <cell r="G83">
            <v>10.780763119234088</v>
          </cell>
          <cell r="H83">
            <v>10.071622690062998</v>
          </cell>
        </row>
        <row r="84">
          <cell r="C84" t="str">
            <v>2002-2018 Late Cycle</v>
          </cell>
          <cell r="D84"/>
          <cell r="E84">
            <v>27.069477185753225</v>
          </cell>
          <cell r="F84">
            <v>15.714148641486672</v>
          </cell>
          <cell r="G84">
            <v>9.9615819121752605</v>
          </cell>
          <cell r="H84">
            <v>9.1156722981071887</v>
          </cell>
        </row>
        <row r="85">
          <cell r="C85" t="str">
            <v>2002-2008 Full Cycle</v>
          </cell>
          <cell r="D85"/>
          <cell r="E85" t="e">
            <v>#REF!</v>
          </cell>
          <cell r="F85" t="e">
            <v>#REF!</v>
          </cell>
          <cell r="G85" t="e">
            <v>#REF!</v>
          </cell>
          <cell r="H85" t="e">
            <v>#REF!</v>
          </cell>
        </row>
        <row r="86">
          <cell r="C86" t="str">
            <v>2002-2008 Early Cycle</v>
          </cell>
          <cell r="D86"/>
          <cell r="E86" t="e">
            <v>#REF!</v>
          </cell>
          <cell r="F86" t="e">
            <v>#REF!</v>
          </cell>
          <cell r="G86" t="e">
            <v>#REF!</v>
          </cell>
          <cell r="H86" t="e">
            <v>#REF!</v>
          </cell>
        </row>
        <row r="87">
          <cell r="C87" t="str">
            <v>2002-2008 Mid Cycle</v>
          </cell>
          <cell r="D87"/>
          <cell r="E87">
            <v>17.392478722963279</v>
          </cell>
          <cell r="F87">
            <v>16.634595658438169</v>
          </cell>
          <cell r="G87">
            <v>10.588664830685548</v>
          </cell>
          <cell r="H87">
            <v>10.397760806394952</v>
          </cell>
        </row>
        <row r="88">
          <cell r="C88" t="str">
            <v>2002-2008 Late Cycle</v>
          </cell>
          <cell r="D88"/>
          <cell r="E88">
            <v>15.514922285786557</v>
          </cell>
          <cell r="F88">
            <v>15.144611461447708</v>
          </cell>
          <cell r="G88">
            <v>9.2118889612689792</v>
          </cell>
          <cell r="H88">
            <v>9.1385054997468451</v>
          </cell>
        </row>
        <row r="89">
          <cell r="C89" t="str">
            <v>2009-2018 Full Cycle</v>
          </cell>
          <cell r="D89"/>
          <cell r="E89">
            <v>27.069477185753225</v>
          </cell>
          <cell r="F89">
            <v>15.714148641486672</v>
          </cell>
          <cell r="G89">
            <v>9.9615819121752605</v>
          </cell>
          <cell r="H89">
            <v>9.1156722981071887</v>
          </cell>
        </row>
        <row r="90">
          <cell r="C90" t="str">
            <v>2009-2018 Early Cycle</v>
          </cell>
          <cell r="D90"/>
          <cell r="E90">
            <v>14.82226101462237</v>
          </cell>
          <cell r="F90">
            <v>14.365408382331177</v>
          </cell>
          <cell r="G90">
            <v>8.0232548958417986</v>
          </cell>
          <cell r="H90">
            <v>7.6333590435799241</v>
          </cell>
        </row>
        <row r="91">
          <cell r="C91" t="str">
            <v>2009-2018 Mid Cycle</v>
          </cell>
          <cell r="D91"/>
          <cell r="E91">
            <v>15.173845249981238</v>
          </cell>
          <cell r="F91">
            <v>14.091212958852129</v>
          </cell>
          <cell r="G91">
            <v>9.1753052796051513</v>
          </cell>
          <cell r="H91">
            <v>8.1833498066878683</v>
          </cell>
        </row>
        <row r="92">
          <cell r="C92" t="str">
            <v>2009-2018 Late Cycle</v>
          </cell>
          <cell r="D92"/>
          <cell r="E92">
            <v>45.5197594458824</v>
          </cell>
          <cell r="F92">
            <v>17.857080055022895</v>
          </cell>
          <cell r="G92">
            <v>12.349637277199196</v>
          </cell>
          <cell r="H92">
            <v>11.004739880379152</v>
          </cell>
        </row>
        <row r="93">
          <cell r="C93"/>
          <cell r="D93"/>
          <cell r="E93"/>
          <cell r="F93"/>
          <cell r="G93"/>
          <cell r="H93"/>
        </row>
      </sheetData>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B Pipeline Schedule"/>
      <sheetName val="Financial Model"/>
      <sheetName val="Revenue Waterfall - Final"/>
      <sheetName val="2013 CRS"/>
      <sheetName val="2013 Monthly P&amp;L"/>
      <sheetName val="2012 Monthly P&amp;L"/>
      <sheetName val="2012 CRS"/>
      <sheetName val="Earnings Adj."/>
      <sheetName val="Fringe Adjustments"/>
      <sheetName val="Monthly Balance Sheets"/>
      <sheetName val="WC Schedule"/>
      <sheetName val="Jan 2013"/>
      <sheetName val="Feb 2013"/>
      <sheetName val="Mar 2013"/>
      <sheetName val="Jan"/>
      <sheetName val="Feb"/>
      <sheetName val="Mar"/>
      <sheetName val="Apr"/>
      <sheetName val="May"/>
      <sheetName val="June"/>
      <sheetName val="July"/>
      <sheetName val="Aug"/>
      <sheetName val="Sept"/>
      <sheetName val="Oct"/>
      <sheetName val="Nov"/>
      <sheetName val="Dec"/>
      <sheetName val="Valuation"/>
      <sheetName val="Financial Chart"/>
      <sheetName val="Pro Forma EBITDA"/>
      <sheetName val="Earnings Adjustments"/>
      <sheetName val="Balance Sheets-Mar-13"/>
      <sheetName val="Balance Sheets"/>
      <sheetName val="Chart Data"/>
      <sheetName val="Revenue Waterfall"/>
      <sheetName val="Staffing Forecast 2013"/>
      <sheetName val="P&amp;L Trend Mar-13"/>
      <sheetName val="Total Inc by Project Mar-13"/>
      <sheetName val="Backlog Schedule"/>
      <sheetName val="P&amp;L - Actual vs Budget (Feb 13)"/>
      <sheetName val="P&amp;L Trend (Feb 13)"/>
      <sheetName val="Invoice Schedule"/>
      <sheetName val="Wage Forecast"/>
      <sheetName val="Indirect Forecast"/>
      <sheetName val="Planning Worksheet"/>
      <sheetName val="2013 Forecast"/>
      <sheetName val="P&amp;L Trend (2)"/>
      <sheetName val="Total Inc by Project by Mon (2)"/>
      <sheetName val="Billiability Trend (2)"/>
      <sheetName val="P&amp;L Trend"/>
      <sheetName val="Total Inc by Project by Month"/>
      <sheetName val="Billability by Employee"/>
      <sheetName val="Employee Hours"/>
      <sheetName val="Sheet2"/>
      <sheetName val="Billiability Trend"/>
      <sheetName val="VV Proj Detail"/>
      <sheetName val="VV Sub Time Detail"/>
      <sheetName val="Staffing Forecast 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1">
          <cell r="C1" t="str">
            <v>Level</v>
          </cell>
          <cell r="P1" t="str">
            <v>Gender</v>
          </cell>
        </row>
        <row r="2">
          <cell r="C2" t="str">
            <v>3 - Jr. Analyst</v>
          </cell>
          <cell r="P2" t="str">
            <v>=F</v>
          </cell>
        </row>
        <row r="6">
          <cell r="C6" t="str">
            <v>Annual Salary</v>
          </cell>
          <cell r="P6" t="str">
            <v>Gender</v>
          </cell>
        </row>
        <row r="7">
          <cell r="C7">
            <v>72000</v>
          </cell>
          <cell r="P7" t="str">
            <v>M</v>
          </cell>
        </row>
        <row r="8">
          <cell r="C8">
            <v>62000</v>
          </cell>
          <cell r="P8" t="str">
            <v>F</v>
          </cell>
        </row>
        <row r="9">
          <cell r="C9">
            <v>135000</v>
          </cell>
          <cell r="P9" t="str">
            <v>M</v>
          </cell>
        </row>
        <row r="10">
          <cell r="C10">
            <v>83000</v>
          </cell>
          <cell r="P10" t="str">
            <v>M</v>
          </cell>
        </row>
        <row r="11">
          <cell r="C11">
            <v>130000</v>
          </cell>
          <cell r="P11" t="str">
            <v>M</v>
          </cell>
        </row>
        <row r="12">
          <cell r="C12">
            <v>130000</v>
          </cell>
          <cell r="P12" t="str">
            <v>M</v>
          </cell>
        </row>
        <row r="13">
          <cell r="C13">
            <v>85000</v>
          </cell>
          <cell r="P13" t="str">
            <v>M</v>
          </cell>
        </row>
        <row r="14">
          <cell r="C14">
            <v>120000</v>
          </cell>
          <cell r="P14" t="str">
            <v>F</v>
          </cell>
        </row>
        <row r="15">
          <cell r="C15">
            <v>200000</v>
          </cell>
          <cell r="P15" t="str">
            <v>M</v>
          </cell>
        </row>
        <row r="16">
          <cell r="C16">
            <v>200000</v>
          </cell>
          <cell r="P16" t="str">
            <v>M</v>
          </cell>
        </row>
        <row r="17">
          <cell r="C17">
            <v>100800</v>
          </cell>
          <cell r="P17" t="str">
            <v>F</v>
          </cell>
        </row>
        <row r="18">
          <cell r="C18">
            <v>155000</v>
          </cell>
          <cell r="P18" t="str">
            <v>M</v>
          </cell>
        </row>
        <row r="19">
          <cell r="C19">
            <v>70000</v>
          </cell>
        </row>
        <row r="21">
          <cell r="C21" t="str">
            <v>Salary</v>
          </cell>
          <cell r="P21" t="str">
            <v>Gender</v>
          </cell>
        </row>
        <row r="22">
          <cell r="C22">
            <v>118000</v>
          </cell>
          <cell r="P22" t="str">
            <v>F</v>
          </cell>
        </row>
        <row r="23">
          <cell r="C23">
            <v>135000</v>
          </cell>
          <cell r="P23" t="str">
            <v>F</v>
          </cell>
        </row>
        <row r="25">
          <cell r="C25" t="str">
            <v>IAT Pay Rate Per Hour</v>
          </cell>
          <cell r="P25" t="str">
            <v>Gender</v>
          </cell>
        </row>
        <row r="26">
          <cell r="C26">
            <v>156</v>
          </cell>
          <cell r="P26" t="str">
            <v>M</v>
          </cell>
        </row>
        <row r="27">
          <cell r="C27">
            <v>152.5</v>
          </cell>
        </row>
        <row r="28">
          <cell r="C28">
            <v>156</v>
          </cell>
        </row>
        <row r="29">
          <cell r="C29">
            <v>156</v>
          </cell>
          <cell r="P29" t="str">
            <v>M</v>
          </cell>
        </row>
        <row r="30">
          <cell r="C30">
            <v>90</v>
          </cell>
          <cell r="P30" t="str">
            <v>F</v>
          </cell>
        </row>
        <row r="33">
          <cell r="P33" t="str">
            <v>M</v>
          </cell>
        </row>
        <row r="34">
          <cell r="C34">
            <v>102.84</v>
          </cell>
          <cell r="P34" t="str">
            <v>F</v>
          </cell>
        </row>
        <row r="35">
          <cell r="C35">
            <v>150</v>
          </cell>
          <cell r="P35" t="str">
            <v>M</v>
          </cell>
        </row>
        <row r="36">
          <cell r="C36">
            <v>125</v>
          </cell>
          <cell r="P36" t="str">
            <v>F</v>
          </cell>
        </row>
        <row r="37">
          <cell r="C37">
            <v>125</v>
          </cell>
        </row>
        <row r="38">
          <cell r="C38">
            <v>197.16</v>
          </cell>
          <cell r="P38" t="str">
            <v>M</v>
          </cell>
        </row>
        <row r="39">
          <cell r="C39">
            <v>125</v>
          </cell>
          <cell r="P39" t="str">
            <v>M</v>
          </cell>
        </row>
        <row r="43">
          <cell r="C43">
            <v>124.5</v>
          </cell>
          <cell r="P43" t="str">
            <v>M</v>
          </cell>
        </row>
        <row r="44">
          <cell r="C44">
            <v>125</v>
          </cell>
          <cell r="P44" t="str">
            <v>M</v>
          </cell>
        </row>
        <row r="46">
          <cell r="C46">
            <v>125</v>
          </cell>
          <cell r="P46" t="str">
            <v>M</v>
          </cell>
        </row>
        <row r="47">
          <cell r="C47">
            <v>130</v>
          </cell>
          <cell r="P47" t="str">
            <v>M</v>
          </cell>
        </row>
        <row r="48">
          <cell r="C48">
            <v>100</v>
          </cell>
          <cell r="P48" t="str">
            <v>M</v>
          </cell>
        </row>
      </sheetData>
      <sheetData sheetId="44"/>
      <sheetData sheetId="45"/>
      <sheetData sheetId="46"/>
      <sheetData sheetId="47"/>
      <sheetData sheetId="48"/>
      <sheetData sheetId="49"/>
      <sheetData sheetId="50"/>
      <sheetData sheetId="51"/>
      <sheetData sheetId="52">
        <row r="6">
          <cell r="D6" t="str">
            <v>Yes</v>
          </cell>
        </row>
        <row r="7">
          <cell r="D7" t="str">
            <v>No</v>
          </cell>
        </row>
      </sheetData>
      <sheetData sheetId="53"/>
      <sheetData sheetId="54"/>
      <sheetData sheetId="55"/>
      <sheetData sheetId="5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1 budget assumptions"/>
      <sheetName val="Summary Balance Sheet"/>
      <sheetName val="Summary Cash Flow Statement"/>
      <sheetName val="Profit &amp; Loss"/>
      <sheetName val="Labor budget"/>
      <sheetName val="labor rates"/>
      <sheetName val="Rate Rec"/>
      <sheetName val="Fringe Benefits Pool"/>
      <sheetName val="Overhead Pool"/>
      <sheetName val="G &amp; A Pool"/>
      <sheetName val="P&amp;L Assumptions"/>
      <sheetName val="SMH"/>
      <sheetName val="Facility SC"/>
      <sheetName val="Salaries"/>
      <sheetName val="2010 Labor Rates 091130"/>
      <sheetName val="Vacation"/>
    </sheetNames>
    <sheetDataSet>
      <sheetData sheetId="0"/>
      <sheetData sheetId="1"/>
      <sheetData sheetId="2"/>
      <sheetData sheetId="3">
        <row r="20">
          <cell r="Z20">
            <v>0</v>
          </cell>
        </row>
      </sheetData>
      <sheetData sheetId="4"/>
      <sheetData sheetId="5"/>
      <sheetData sheetId="6"/>
      <sheetData sheetId="7"/>
      <sheetData sheetId="8"/>
      <sheetData sheetId="9"/>
      <sheetData sheetId="10">
        <row r="47">
          <cell r="M47">
            <v>0.21970000000000001</v>
          </cell>
        </row>
      </sheetData>
      <sheetData sheetId="11"/>
      <sheetData sheetId="12"/>
      <sheetData sheetId="13">
        <row r="2">
          <cell r="A2" t="str">
            <v>001000 Velez Carlos</v>
          </cell>
        </row>
        <row r="17">
          <cell r="G17">
            <v>98820.800000000003</v>
          </cell>
        </row>
        <row r="26">
          <cell r="A26" t="str">
            <v>001028 Mooradian Deborah</v>
          </cell>
        </row>
      </sheetData>
      <sheetData sheetId="14">
        <row r="5">
          <cell r="A5" t="str">
            <v>Velez Carlos</v>
          </cell>
        </row>
        <row r="226">
          <cell r="A226" t="str">
            <v>Caruso Natalie</v>
          </cell>
        </row>
        <row r="233">
          <cell r="E233" t="str">
            <v>001020</v>
          </cell>
        </row>
        <row r="513">
          <cell r="A513" t="str">
            <v>New Employee 1</v>
          </cell>
        </row>
        <row r="520">
          <cell r="E520" t="str">
            <v>001044</v>
          </cell>
        </row>
        <row r="526">
          <cell r="A526" t="str">
            <v>New Employee 2</v>
          </cell>
        </row>
        <row r="533">
          <cell r="E533" t="str">
            <v>001045</v>
          </cell>
        </row>
        <row r="539">
          <cell r="A539" t="str">
            <v>New Employee 3</v>
          </cell>
        </row>
        <row r="546">
          <cell r="E546" t="str">
            <v>001046</v>
          </cell>
        </row>
        <row r="552">
          <cell r="A552" t="str">
            <v>New Employee 4</v>
          </cell>
        </row>
        <row r="565">
          <cell r="A565" t="str">
            <v>New Employee 5</v>
          </cell>
        </row>
        <row r="591">
          <cell r="A591" t="str">
            <v>New Employee 7</v>
          </cell>
        </row>
        <row r="604">
          <cell r="A604" t="str">
            <v>New Employee 8</v>
          </cell>
        </row>
        <row r="617">
          <cell r="A617" t="str">
            <v>New Employee 9</v>
          </cell>
        </row>
        <row r="630">
          <cell r="A630" t="str">
            <v>New Employee 10</v>
          </cell>
        </row>
        <row r="643">
          <cell r="A643" t="str">
            <v>New Employee 11</v>
          </cell>
        </row>
        <row r="656">
          <cell r="A656" t="str">
            <v>New Employee 12</v>
          </cell>
        </row>
      </sheetData>
      <sheetData sheetId="1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11 CFF &amp; ACTUALS"/>
      <sheetName val="FY11 CFF - the PLAN"/>
      <sheetName val="Pay Roll &amp; Taxes"/>
      <sheetName val="Fringe"/>
      <sheetName val="Overhead"/>
      <sheetName val="G&amp;A"/>
      <sheetName val="Wrap Rate Calculation 2011"/>
      <sheetName val="Rate Rec"/>
      <sheetName val="The Utilization model"/>
      <sheetName val="FY11 Sales Forecast"/>
      <sheetName val="2011 Chart of Accounts "/>
      <sheetName val="Sheet1"/>
    </sheetNames>
    <sheetDataSet>
      <sheetData sheetId="0">
        <row r="23">
          <cell r="K23">
            <v>23018.74</v>
          </cell>
        </row>
      </sheetData>
      <sheetData sheetId="1">
        <row r="14">
          <cell r="X14">
            <v>0.91541666666666655</v>
          </cell>
        </row>
      </sheetData>
      <sheetData sheetId="2">
        <row r="4">
          <cell r="E4">
            <v>7295.833333333333</v>
          </cell>
        </row>
        <row r="66">
          <cell r="R66">
            <v>2128637.1996029248</v>
          </cell>
        </row>
        <row r="67">
          <cell r="R67">
            <v>318935.37512193271</v>
          </cell>
        </row>
        <row r="68">
          <cell r="R68">
            <v>117259.65928155277</v>
          </cell>
        </row>
        <row r="69">
          <cell r="R69">
            <v>419406</v>
          </cell>
        </row>
        <row r="70">
          <cell r="R70">
            <v>2984238.2340064105</v>
          </cell>
        </row>
        <row r="76">
          <cell r="B76">
            <v>6621.6</v>
          </cell>
        </row>
        <row r="123">
          <cell r="R123">
            <v>169589.76609182372</v>
          </cell>
        </row>
      </sheetData>
      <sheetData sheetId="3">
        <row r="22">
          <cell r="Q22">
            <v>408.6716369047619</v>
          </cell>
        </row>
      </sheetData>
      <sheetData sheetId="4">
        <row r="4">
          <cell r="D4">
            <v>0</v>
          </cell>
        </row>
      </sheetData>
      <sheetData sheetId="5">
        <row r="4">
          <cell r="E4">
            <v>24513</v>
          </cell>
        </row>
      </sheetData>
      <sheetData sheetId="6"/>
      <sheetData sheetId="7"/>
      <sheetData sheetId="8">
        <row r="4">
          <cell r="B4">
            <v>0.8347457627118644</v>
          </cell>
        </row>
      </sheetData>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Key Assumptions"/>
      <sheetName val="P &amp; L updates"/>
      <sheetName val="Summary Balance Sheet"/>
      <sheetName val="Summary Cash Flow Statement"/>
      <sheetName val="Labor budget"/>
      <sheetName val="Capital Budget"/>
      <sheetName val="Billing Projections Wksht"/>
      <sheetName val="Labor categories &amp; bill rates"/>
      <sheetName val="Benefits"/>
      <sheetName val="Deltek SC assumptions"/>
      <sheetName val="B&amp;C allocations"/>
      <sheetName val="Assumptions"/>
      <sheetName val="Start up costs"/>
      <sheetName val="Loan Amortization Schedule"/>
      <sheetName val="Loan Amortization Schedule (2)"/>
      <sheetName val="Summary Statement of Income"/>
      <sheetName val="Statement of Incom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Loan Amortization Schedule</v>
          </cell>
        </row>
        <row r="4">
          <cell r="B4" t="str">
            <v>Enter values</v>
          </cell>
          <cell r="F4" t="str">
            <v>Loan summary</v>
          </cell>
        </row>
        <row r="5">
          <cell r="C5" t="str">
            <v>Loan amount</v>
          </cell>
          <cell r="D5">
            <v>71900</v>
          </cell>
          <cell r="G5" t="str">
            <v>Scheduled payment</v>
          </cell>
          <cell r="H5">
            <v>1440.7285040253385</v>
          </cell>
        </row>
        <row r="6">
          <cell r="C6" t="str">
            <v>Annual interest rate</v>
          </cell>
          <cell r="D6">
            <v>7.4999999999999997E-2</v>
          </cell>
          <cell r="G6" t="str">
            <v>Scheduled number of payments</v>
          </cell>
          <cell r="H6">
            <v>60</v>
          </cell>
        </row>
        <row r="7">
          <cell r="C7" t="str">
            <v>Loan period in years</v>
          </cell>
          <cell r="D7">
            <v>5</v>
          </cell>
          <cell r="G7" t="str">
            <v>Actual number of payments</v>
          </cell>
          <cell r="H7">
            <v>50</v>
          </cell>
        </row>
        <row r="8">
          <cell r="C8" t="str">
            <v>Number of payments per year</v>
          </cell>
          <cell r="D8">
            <v>12</v>
          </cell>
          <cell r="G8" t="str">
            <v>Total early payments</v>
          </cell>
          <cell r="H8">
            <v>0</v>
          </cell>
        </row>
        <row r="9">
          <cell r="C9" t="str">
            <v>Start date of loan</v>
          </cell>
          <cell r="D9">
            <v>38961</v>
          </cell>
          <cell r="G9" t="str">
            <v>Total interest</v>
          </cell>
          <cell r="H9">
            <v>14060.593917840954</v>
          </cell>
        </row>
        <row r="10">
          <cell r="C10" t="str">
            <v>Optional extra payments</v>
          </cell>
          <cell r="D10">
            <v>0</v>
          </cell>
        </row>
        <row r="12">
          <cell r="B12" t="str">
            <v>Lender name:</v>
          </cell>
          <cell r="C12" t="str">
            <v>HP Lease Agreement # 50024446</v>
          </cell>
        </row>
        <row r="16">
          <cell r="A16" t="str">
            <v>PmtNo.</v>
          </cell>
          <cell r="B16" t="str">
            <v>Payment Date</v>
          </cell>
          <cell r="C16" t="str">
            <v>Beginning Balance</v>
          </cell>
          <cell r="D16" t="str">
            <v>Scheduled Payment</v>
          </cell>
          <cell r="E16" t="str">
            <v>Extra Payment</v>
          </cell>
          <cell r="F16" t="str">
            <v>Total Payment</v>
          </cell>
          <cell r="G16" t="str">
            <v>Principal</v>
          </cell>
          <cell r="H16" t="str">
            <v>Interest</v>
          </cell>
          <cell r="I16" t="str">
            <v>Ending Balance</v>
          </cell>
          <cell r="J16" t="str">
            <v>Cumulative Interest</v>
          </cell>
        </row>
        <row r="18">
          <cell r="A18">
            <v>1</v>
          </cell>
          <cell r="B18">
            <v>38991</v>
          </cell>
          <cell r="C18">
            <v>71900</v>
          </cell>
          <cell r="D18">
            <v>1440.7285040253385</v>
          </cell>
          <cell r="E18">
            <v>0</v>
          </cell>
          <cell r="F18">
            <v>1440.7285040253385</v>
          </cell>
          <cell r="G18">
            <v>991.35350402533845</v>
          </cell>
          <cell r="H18">
            <v>449.37499999999994</v>
          </cell>
          <cell r="I18">
            <v>70908.646495974666</v>
          </cell>
          <cell r="J18">
            <v>449.37499999999994</v>
          </cell>
        </row>
        <row r="19">
          <cell r="A19">
            <v>2</v>
          </cell>
          <cell r="B19">
            <v>39022</v>
          </cell>
          <cell r="C19">
            <v>70908.646495974666</v>
          </cell>
          <cell r="D19">
            <v>1440.7285040253385</v>
          </cell>
          <cell r="E19">
            <v>0</v>
          </cell>
          <cell r="F19">
            <v>1440.7285040253385</v>
          </cell>
          <cell r="G19">
            <v>997.5494634254967</v>
          </cell>
          <cell r="H19">
            <v>443.1790405998417</v>
          </cell>
          <cell r="I19">
            <v>69911.097032549165</v>
          </cell>
          <cell r="J19">
            <v>892.55404059984164</v>
          </cell>
        </row>
        <row r="20">
          <cell r="A20">
            <v>3</v>
          </cell>
          <cell r="B20">
            <v>39052</v>
          </cell>
          <cell r="C20">
            <v>69911.097032549165</v>
          </cell>
          <cell r="D20">
            <v>1440.7285040253385</v>
          </cell>
          <cell r="E20">
            <v>0</v>
          </cell>
          <cell r="F20">
            <v>1440.7285040253385</v>
          </cell>
          <cell r="G20">
            <v>1003.7841475719063</v>
          </cell>
          <cell r="H20">
            <v>436.94435645343225</v>
          </cell>
          <cell r="I20">
            <v>68907.312884977262</v>
          </cell>
          <cell r="J20">
            <v>1329.4983970532739</v>
          </cell>
        </row>
        <row r="21">
          <cell r="A21">
            <v>4</v>
          </cell>
          <cell r="B21">
            <v>39083</v>
          </cell>
          <cell r="C21">
            <v>68907.312884977262</v>
          </cell>
          <cell r="D21">
            <v>1440.7285040253385</v>
          </cell>
          <cell r="E21">
            <v>0</v>
          </cell>
          <cell r="F21">
            <v>1440.7285040253385</v>
          </cell>
          <cell r="G21">
            <v>1010.0577984942306</v>
          </cell>
          <cell r="H21">
            <v>430.67070553110784</v>
          </cell>
          <cell r="I21">
            <v>67897.255086483026</v>
          </cell>
          <cell r="J21">
            <v>1760.1691025843818</v>
          </cell>
        </row>
        <row r="22">
          <cell r="A22">
            <v>5</v>
          </cell>
          <cell r="B22">
            <v>39114</v>
          </cell>
          <cell r="C22">
            <v>67897.255086483026</v>
          </cell>
          <cell r="D22">
            <v>1440.7285040253385</v>
          </cell>
          <cell r="E22">
            <v>0</v>
          </cell>
          <cell r="F22">
            <v>1440.7285040253385</v>
          </cell>
          <cell r="G22">
            <v>1016.3706597348196</v>
          </cell>
          <cell r="H22">
            <v>424.35784429051887</v>
          </cell>
          <cell r="I22">
            <v>66880.884426748205</v>
          </cell>
          <cell r="J22">
            <v>2184.5269468749007</v>
          </cell>
        </row>
        <row r="23">
          <cell r="A23">
            <v>6</v>
          </cell>
          <cell r="B23">
            <v>39142</v>
          </cell>
          <cell r="C23">
            <v>66880.884426748205</v>
          </cell>
          <cell r="D23">
            <v>1440.7285040253385</v>
          </cell>
          <cell r="E23">
            <v>0</v>
          </cell>
          <cell r="F23">
            <v>1440.7285040253385</v>
          </cell>
          <cell r="G23">
            <v>1022.7229763581622</v>
          </cell>
          <cell r="H23">
            <v>418.00552766717624</v>
          </cell>
          <cell r="I23">
            <v>65858.161450390049</v>
          </cell>
          <cell r="J23">
            <v>2602.5324745420767</v>
          </cell>
        </row>
        <row r="24">
          <cell r="A24">
            <v>7</v>
          </cell>
          <cell r="B24">
            <v>39173</v>
          </cell>
          <cell r="C24">
            <v>65858.161450390049</v>
          </cell>
          <cell r="D24">
            <v>1440.7285040253385</v>
          </cell>
          <cell r="E24">
            <v>0</v>
          </cell>
          <cell r="F24">
            <v>1440.7285040253385</v>
          </cell>
          <cell r="G24">
            <v>1029.1149949604007</v>
          </cell>
          <cell r="H24">
            <v>411.61350906493777</v>
          </cell>
          <cell r="I24">
            <v>64829.046455429649</v>
          </cell>
          <cell r="J24">
            <v>3014.1459836070144</v>
          </cell>
        </row>
        <row r="25">
          <cell r="A25">
            <v>8</v>
          </cell>
          <cell r="B25">
            <v>39203</v>
          </cell>
          <cell r="C25">
            <v>64829.046455429649</v>
          </cell>
          <cell r="D25">
            <v>1440.7285040253385</v>
          </cell>
          <cell r="E25">
            <v>0</v>
          </cell>
          <cell r="F25">
            <v>1440.7285040253385</v>
          </cell>
          <cell r="G25">
            <v>1035.5469636789032</v>
          </cell>
          <cell r="H25">
            <v>405.18154034643527</v>
          </cell>
          <cell r="I25">
            <v>63793.499491750743</v>
          </cell>
          <cell r="J25">
            <v>3419.3275239534496</v>
          </cell>
        </row>
        <row r="26">
          <cell r="A26">
            <v>9</v>
          </cell>
          <cell r="B26">
            <v>39234</v>
          </cell>
          <cell r="C26">
            <v>63793.499491750743</v>
          </cell>
          <cell r="D26">
            <v>1440.7285040253385</v>
          </cell>
          <cell r="E26">
            <v>0</v>
          </cell>
          <cell r="F26">
            <v>1440.7285040253385</v>
          </cell>
          <cell r="G26">
            <v>1042.0191322018964</v>
          </cell>
          <cell r="H26">
            <v>398.7093718234421</v>
          </cell>
          <cell r="I26">
            <v>62751.480359548848</v>
          </cell>
          <cell r="J26">
            <v>3818.0368957768915</v>
          </cell>
        </row>
        <row r="27">
          <cell r="A27">
            <v>10</v>
          </cell>
          <cell r="B27">
            <v>39264</v>
          </cell>
          <cell r="C27">
            <v>62751.480359548848</v>
          </cell>
          <cell r="D27">
            <v>1440.7285040253385</v>
          </cell>
          <cell r="E27">
            <v>0</v>
          </cell>
          <cell r="F27">
            <v>1440.7285040253385</v>
          </cell>
          <cell r="G27">
            <v>1048.5317517781582</v>
          </cell>
          <cell r="H27">
            <v>392.19675224718026</v>
          </cell>
          <cell r="I27">
            <v>61702.94860777069</v>
          </cell>
          <cell r="J27">
            <v>4210.233648024072</v>
          </cell>
        </row>
        <row r="28">
          <cell r="A28">
            <v>11</v>
          </cell>
          <cell r="B28">
            <v>39295</v>
          </cell>
          <cell r="C28">
            <v>61702.94860777069</v>
          </cell>
          <cell r="D28">
            <v>1440.7285040253385</v>
          </cell>
          <cell r="E28">
            <v>0</v>
          </cell>
          <cell r="F28">
            <v>1440.7285040253385</v>
          </cell>
          <cell r="G28">
            <v>1055.0850752267716</v>
          </cell>
          <cell r="H28">
            <v>385.64342879856684</v>
          </cell>
          <cell r="I28">
            <v>60647.863532543917</v>
          </cell>
          <cell r="J28">
            <v>4595.8770768226386</v>
          </cell>
        </row>
        <row r="29">
          <cell r="A29">
            <v>12</v>
          </cell>
          <cell r="B29">
            <v>39326</v>
          </cell>
          <cell r="C29">
            <v>60647.863532543917</v>
          </cell>
          <cell r="D29">
            <v>1440.7285040253385</v>
          </cell>
          <cell r="E29">
            <v>0</v>
          </cell>
          <cell r="F29">
            <v>1440.7285040253385</v>
          </cell>
          <cell r="G29">
            <v>1061.6793569469389</v>
          </cell>
          <cell r="H29">
            <v>379.04914707839947</v>
          </cell>
          <cell r="I29">
            <v>59586.18417559698</v>
          </cell>
          <cell r="J29">
            <v>4974.9262239010377</v>
          </cell>
        </row>
        <row r="30">
          <cell r="A30">
            <v>13</v>
          </cell>
          <cell r="B30">
            <v>39356</v>
          </cell>
          <cell r="C30">
            <v>59586.18417559698</v>
          </cell>
          <cell r="D30">
            <v>1440.7285040253385</v>
          </cell>
          <cell r="E30">
            <v>0</v>
          </cell>
          <cell r="F30">
            <v>1440.7285040253385</v>
          </cell>
          <cell r="G30">
            <v>1068.3148529278574</v>
          </cell>
          <cell r="H30">
            <v>372.41365109748108</v>
          </cell>
          <cell r="I30">
            <v>58517.869322669125</v>
          </cell>
          <cell r="J30">
            <v>5347.339874998519</v>
          </cell>
        </row>
        <row r="31">
          <cell r="A31">
            <v>14</v>
          </cell>
          <cell r="B31">
            <v>39387</v>
          </cell>
          <cell r="C31">
            <v>58517.869322669125</v>
          </cell>
          <cell r="D31">
            <v>1440.7285040253385</v>
          </cell>
          <cell r="E31">
            <v>0</v>
          </cell>
          <cell r="F31">
            <v>1440.7285040253385</v>
          </cell>
          <cell r="G31">
            <v>1074.9918207586563</v>
          </cell>
          <cell r="H31">
            <v>365.73668326668206</v>
          </cell>
          <cell r="I31">
            <v>57442.877501910465</v>
          </cell>
          <cell r="J31">
            <v>5713.0765582652011</v>
          </cell>
        </row>
        <row r="32">
          <cell r="A32">
            <v>15</v>
          </cell>
          <cell r="B32">
            <v>39417</v>
          </cell>
          <cell r="C32">
            <v>57442.877501910465</v>
          </cell>
          <cell r="D32">
            <v>1440.7285040253385</v>
          </cell>
          <cell r="E32">
            <v>0</v>
          </cell>
          <cell r="F32">
            <v>1440.7285040253385</v>
          </cell>
          <cell r="G32">
            <v>1081.710519638398</v>
          </cell>
          <cell r="H32">
            <v>359.01798438694044</v>
          </cell>
          <cell r="I32">
            <v>56361.166982272065</v>
          </cell>
          <cell r="J32">
            <v>6072.0945426521412</v>
          </cell>
        </row>
        <row r="33">
          <cell r="A33">
            <v>16</v>
          </cell>
          <cell r="B33">
            <v>39448</v>
          </cell>
          <cell r="C33">
            <v>56361.166982272065</v>
          </cell>
          <cell r="D33">
            <v>1440.7285040253385</v>
          </cell>
          <cell r="E33">
            <v>0</v>
          </cell>
          <cell r="F33">
            <v>1440.7285040253385</v>
          </cell>
          <cell r="G33">
            <v>1088.471210386138</v>
          </cell>
          <cell r="H33">
            <v>352.25729363920044</v>
          </cell>
          <cell r="I33">
            <v>55272.695771885927</v>
          </cell>
          <cell r="J33">
            <v>6424.3518362913419</v>
          </cell>
        </row>
        <row r="34">
          <cell r="A34">
            <v>17</v>
          </cell>
          <cell r="B34">
            <v>39479</v>
          </cell>
          <cell r="C34">
            <v>55272.695771885927</v>
          </cell>
          <cell r="D34">
            <v>1440.7285040253385</v>
          </cell>
          <cell r="E34">
            <v>0</v>
          </cell>
          <cell r="F34">
            <v>1440.7285040253385</v>
          </cell>
          <cell r="G34">
            <v>1095.2741554510515</v>
          </cell>
          <cell r="H34">
            <v>345.454348574287</v>
          </cell>
          <cell r="I34">
            <v>54177.421616434876</v>
          </cell>
          <cell r="J34">
            <v>6769.8061848656289</v>
          </cell>
        </row>
        <row r="35">
          <cell r="A35">
            <v>18</v>
          </cell>
          <cell r="B35">
            <v>39508</v>
          </cell>
          <cell r="C35">
            <v>54177.421616434876</v>
          </cell>
          <cell r="D35">
            <v>1440.7285040253385</v>
          </cell>
          <cell r="E35">
            <v>0</v>
          </cell>
          <cell r="F35">
            <v>1440.7285040253385</v>
          </cell>
          <cell r="G35">
            <v>1102.1196189226205</v>
          </cell>
          <cell r="H35">
            <v>338.60888510271798</v>
          </cell>
          <cell r="I35">
            <v>53075.301997512259</v>
          </cell>
          <cell r="J35">
            <v>7108.4150699683469</v>
          </cell>
        </row>
        <row r="36">
          <cell r="A36">
            <v>19</v>
          </cell>
          <cell r="B36">
            <v>39539</v>
          </cell>
          <cell r="C36">
            <v>53075.301997512259</v>
          </cell>
          <cell r="D36">
            <v>1440.7285040253385</v>
          </cell>
          <cell r="E36">
            <v>0</v>
          </cell>
          <cell r="F36">
            <v>1440.7285040253385</v>
          </cell>
          <cell r="G36">
            <v>1109.0078665408869</v>
          </cell>
          <cell r="H36">
            <v>331.72063748445163</v>
          </cell>
          <cell r="I36">
            <v>51966.294130971371</v>
          </cell>
          <cell r="J36">
            <v>7440.1357074527987</v>
          </cell>
        </row>
        <row r="37">
          <cell r="A37">
            <v>20</v>
          </cell>
          <cell r="B37">
            <v>39569</v>
          </cell>
          <cell r="C37">
            <v>51966.294130971371</v>
          </cell>
          <cell r="D37">
            <v>1440.7285040253385</v>
          </cell>
          <cell r="E37">
            <v>0</v>
          </cell>
          <cell r="F37">
            <v>1440.7285040253385</v>
          </cell>
          <cell r="G37">
            <v>1115.9391657067674</v>
          </cell>
          <cell r="H37">
            <v>324.78933831857108</v>
          </cell>
          <cell r="I37">
            <v>50850.354965264603</v>
          </cell>
          <cell r="J37">
            <v>7764.9250457713697</v>
          </cell>
        </row>
        <row r="38">
          <cell r="A38">
            <v>21</v>
          </cell>
          <cell r="B38">
            <v>39600</v>
          </cell>
          <cell r="C38">
            <v>50850.354965264603</v>
          </cell>
          <cell r="D38">
            <v>1440.7285040253385</v>
          </cell>
          <cell r="E38">
            <v>0</v>
          </cell>
          <cell r="F38">
            <v>1440.7285040253385</v>
          </cell>
          <cell r="G38">
            <v>1122.9137854924347</v>
          </cell>
          <cell r="H38">
            <v>317.81471853290378</v>
          </cell>
          <cell r="I38">
            <v>49727.44117977217</v>
          </cell>
          <cell r="J38">
            <v>8082.7397643042732</v>
          </cell>
        </row>
        <row r="39">
          <cell r="A39">
            <v>22</v>
          </cell>
          <cell r="B39">
            <v>39630</v>
          </cell>
          <cell r="C39">
            <v>49727.44117977217</v>
          </cell>
          <cell r="D39">
            <v>1440.7285040253385</v>
          </cell>
          <cell r="E39">
            <v>0</v>
          </cell>
          <cell r="F39">
            <v>1440.7285040253385</v>
          </cell>
          <cell r="G39">
            <v>1129.9319966517623</v>
          </cell>
          <cell r="H39">
            <v>310.79650737357605</v>
          </cell>
          <cell r="I39">
            <v>48597.509183120404</v>
          </cell>
          <cell r="J39">
            <v>8393.5362716778491</v>
          </cell>
        </row>
        <row r="40">
          <cell r="A40">
            <v>23</v>
          </cell>
          <cell r="B40">
            <v>39661</v>
          </cell>
          <cell r="C40">
            <v>48597.509183120404</v>
          </cell>
          <cell r="D40">
            <v>1440.7285040253385</v>
          </cell>
          <cell r="E40">
            <v>0</v>
          </cell>
          <cell r="F40">
            <v>1440.7285040253385</v>
          </cell>
          <cell r="G40">
            <v>1136.9940716308361</v>
          </cell>
          <cell r="H40">
            <v>303.73443239450251</v>
          </cell>
          <cell r="I40">
            <v>47460.515111489571</v>
          </cell>
          <cell r="J40">
            <v>8697.2707040723508</v>
          </cell>
        </row>
        <row r="41">
          <cell r="A41">
            <v>24</v>
          </cell>
          <cell r="B41">
            <v>39692</v>
          </cell>
          <cell r="C41">
            <v>47460.515111489571</v>
          </cell>
          <cell r="D41">
            <v>1440.7285040253385</v>
          </cell>
          <cell r="E41">
            <v>0</v>
          </cell>
          <cell r="F41">
            <v>1440.7285040253385</v>
          </cell>
          <cell r="G41">
            <v>1144.1002845785288</v>
          </cell>
          <cell r="H41">
            <v>296.62821944680979</v>
          </cell>
          <cell r="I41">
            <v>46316.414826911045</v>
          </cell>
          <cell r="J41">
            <v>8993.8989235191602</v>
          </cell>
        </row>
        <row r="42">
          <cell r="A42">
            <v>25</v>
          </cell>
          <cell r="B42">
            <v>39722</v>
          </cell>
          <cell r="C42">
            <v>46316.414826911045</v>
          </cell>
          <cell r="D42">
            <v>1440.7285040253385</v>
          </cell>
          <cell r="E42">
            <v>0</v>
          </cell>
          <cell r="F42">
            <v>1440.7285040253385</v>
          </cell>
          <cell r="G42">
            <v>1151.2509113571446</v>
          </cell>
          <cell r="H42">
            <v>289.47759266819401</v>
          </cell>
          <cell r="I42">
            <v>45165.163915553901</v>
          </cell>
          <cell r="J42">
            <v>9283.3765161873544</v>
          </cell>
        </row>
        <row r="43">
          <cell r="A43">
            <v>26</v>
          </cell>
          <cell r="B43">
            <v>39753</v>
          </cell>
          <cell r="C43">
            <v>45165.163915553901</v>
          </cell>
          <cell r="D43">
            <v>1440.7285040253385</v>
          </cell>
          <cell r="E43">
            <v>0</v>
          </cell>
          <cell r="F43">
            <v>1440.7285040253385</v>
          </cell>
          <cell r="G43">
            <v>1158.4462295531266</v>
          </cell>
          <cell r="H43">
            <v>282.2822744722119</v>
          </cell>
          <cell r="I43">
            <v>44006.717686000775</v>
          </cell>
          <cell r="J43">
            <v>9565.6587906595669</v>
          </cell>
        </row>
        <row r="44">
          <cell r="A44">
            <v>27</v>
          </cell>
          <cell r="B44">
            <v>39783</v>
          </cell>
          <cell r="C44">
            <v>44006.717686000775</v>
          </cell>
          <cell r="D44">
            <v>1440.7285040253385</v>
          </cell>
          <cell r="E44">
            <v>0</v>
          </cell>
          <cell r="F44">
            <v>1440.7285040253385</v>
          </cell>
          <cell r="G44">
            <v>1165.6865184878336</v>
          </cell>
          <cell r="H44">
            <v>275.04198553750484</v>
          </cell>
          <cell r="I44">
            <v>42841.031167512941</v>
          </cell>
          <cell r="J44">
            <v>9840.7007761970708</v>
          </cell>
        </row>
        <row r="45">
          <cell r="A45">
            <v>28</v>
          </cell>
          <cell r="B45">
            <v>39814</v>
          </cell>
          <cell r="C45">
            <v>42841.031167512941</v>
          </cell>
          <cell r="D45">
            <v>1440.7285040253385</v>
          </cell>
          <cell r="E45">
            <v>0</v>
          </cell>
          <cell r="F45">
            <v>1440.7285040253385</v>
          </cell>
          <cell r="G45">
            <v>1172.9720592283825</v>
          </cell>
          <cell r="H45">
            <v>267.75644479695586</v>
          </cell>
          <cell r="I45">
            <v>41668.059108284557</v>
          </cell>
          <cell r="J45">
            <v>10108.457220994027</v>
          </cell>
        </row>
        <row r="46">
          <cell r="A46">
            <v>29</v>
          </cell>
          <cell r="B46">
            <v>39845</v>
          </cell>
          <cell r="C46">
            <v>41668.059108284557</v>
          </cell>
          <cell r="D46">
            <v>1440.7285040253385</v>
          </cell>
          <cell r="E46">
            <v>0</v>
          </cell>
          <cell r="F46">
            <v>1440.7285040253385</v>
          </cell>
          <cell r="G46">
            <v>1180.3031345985601</v>
          </cell>
          <cell r="H46">
            <v>260.42536942677845</v>
          </cell>
          <cell r="I46">
            <v>40487.755973685998</v>
          </cell>
          <cell r="J46">
            <v>10368.882590420806</v>
          </cell>
        </row>
        <row r="47">
          <cell r="A47">
            <v>30</v>
          </cell>
          <cell r="B47">
            <v>39873</v>
          </cell>
          <cell r="C47">
            <v>40487.755973685998</v>
          </cell>
          <cell r="D47">
            <v>1440.7285040253385</v>
          </cell>
          <cell r="E47">
            <v>0</v>
          </cell>
          <cell r="F47">
            <v>1440.7285040253385</v>
          </cell>
          <cell r="G47">
            <v>1187.680029189801</v>
          </cell>
          <cell r="H47">
            <v>253.04847483553749</v>
          </cell>
          <cell r="I47">
            <v>39300.075944496195</v>
          </cell>
          <cell r="J47">
            <v>10621.931065256344</v>
          </cell>
        </row>
        <row r="48">
          <cell r="A48">
            <v>31</v>
          </cell>
          <cell r="B48">
            <v>39904</v>
          </cell>
          <cell r="C48">
            <v>39300.075944496195</v>
          </cell>
          <cell r="D48">
            <v>1440.7285040253385</v>
          </cell>
          <cell r="E48">
            <v>0</v>
          </cell>
          <cell r="F48">
            <v>1440.7285040253385</v>
          </cell>
          <cell r="G48">
            <v>1195.1030293722372</v>
          </cell>
          <cell r="H48">
            <v>245.62547465310124</v>
          </cell>
          <cell r="I48">
            <v>38104.972915123959</v>
          </cell>
          <cell r="J48">
            <v>10867.556539909445</v>
          </cell>
        </row>
        <row r="49">
          <cell r="A49">
            <v>32</v>
          </cell>
          <cell r="B49">
            <v>39934</v>
          </cell>
          <cell r="C49">
            <v>38104.972915123959</v>
          </cell>
          <cell r="D49">
            <v>1440.7285040253385</v>
          </cell>
          <cell r="E49">
            <v>0</v>
          </cell>
          <cell r="F49">
            <v>1440.7285040253385</v>
          </cell>
          <cell r="G49">
            <v>1202.5724233058138</v>
          </cell>
          <cell r="H49">
            <v>238.15608071952474</v>
          </cell>
          <cell r="I49">
            <v>36902.400491818145</v>
          </cell>
          <cell r="J49">
            <v>11105.71262062897</v>
          </cell>
        </row>
        <row r="50">
          <cell r="A50">
            <v>33</v>
          </cell>
          <cell r="B50">
            <v>39965</v>
          </cell>
          <cell r="C50">
            <v>36902.400491818145</v>
          </cell>
          <cell r="D50">
            <v>1440.7285040253385</v>
          </cell>
          <cell r="E50">
            <v>0</v>
          </cell>
          <cell r="F50">
            <v>1440.7285040253385</v>
          </cell>
          <cell r="G50">
            <v>1210.088500951475</v>
          </cell>
          <cell r="H50">
            <v>230.64000307386343</v>
          </cell>
          <cell r="I50">
            <v>35692.31199086667</v>
          </cell>
          <cell r="J50">
            <v>11336.352623702835</v>
          </cell>
        </row>
        <row r="51">
          <cell r="A51">
            <v>34</v>
          </cell>
          <cell r="B51">
            <v>39995</v>
          </cell>
          <cell r="C51">
            <v>35692.31199086667</v>
          </cell>
          <cell r="D51">
            <v>1440.7285040253385</v>
          </cell>
          <cell r="E51">
            <v>0</v>
          </cell>
          <cell r="F51">
            <v>1440.7285040253385</v>
          </cell>
          <cell r="G51">
            <v>1217.6515540824219</v>
          </cell>
          <cell r="H51">
            <v>223.07694994291668</v>
          </cell>
          <cell r="I51">
            <v>34474.660436784252</v>
          </cell>
          <cell r="J51">
            <v>11559.429573645752</v>
          </cell>
        </row>
        <row r="52">
          <cell r="A52">
            <v>35</v>
          </cell>
          <cell r="B52">
            <v>40026</v>
          </cell>
          <cell r="C52">
            <v>34474.660436784252</v>
          </cell>
          <cell r="D52">
            <v>1440.7285040253385</v>
          </cell>
          <cell r="E52">
            <v>0</v>
          </cell>
          <cell r="F52">
            <v>1440.7285040253385</v>
          </cell>
          <cell r="G52">
            <v>1225.2618762954369</v>
          </cell>
          <cell r="H52">
            <v>215.46662772990157</v>
          </cell>
          <cell r="I52">
            <v>33249.398560488815</v>
          </cell>
          <cell r="J52">
            <v>11774.896201375654</v>
          </cell>
        </row>
        <row r="53">
          <cell r="A53">
            <v>36</v>
          </cell>
          <cell r="B53">
            <v>40057</v>
          </cell>
          <cell r="C53">
            <v>33249.398560488815</v>
          </cell>
          <cell r="D53">
            <v>1440.7285040253385</v>
          </cell>
          <cell r="E53">
            <v>0</v>
          </cell>
          <cell r="F53">
            <v>1440.7285040253385</v>
          </cell>
          <cell r="G53">
            <v>1232.9197630222834</v>
          </cell>
          <cell r="H53">
            <v>207.80874100305508</v>
          </cell>
          <cell r="I53">
            <v>32016.478797466531</v>
          </cell>
          <cell r="J53">
            <v>11982.704942378708</v>
          </cell>
        </row>
        <row r="54">
          <cell r="A54">
            <v>37</v>
          </cell>
          <cell r="B54">
            <v>40087</v>
          </cell>
          <cell r="C54">
            <v>32016.478797466531</v>
          </cell>
          <cell r="D54">
            <v>1440.7285040253385</v>
          </cell>
          <cell r="E54">
            <v>0</v>
          </cell>
          <cell r="F54">
            <v>1440.7285040253385</v>
          </cell>
          <cell r="G54">
            <v>1240.6255115411727</v>
          </cell>
          <cell r="H54">
            <v>200.10299248416581</v>
          </cell>
          <cell r="I54">
            <v>30775.853285925357</v>
          </cell>
          <cell r="J54">
            <v>12182.807934862874</v>
          </cell>
        </row>
        <row r="55">
          <cell r="A55">
            <v>38</v>
          </cell>
          <cell r="B55">
            <v>40118</v>
          </cell>
          <cell r="C55">
            <v>30775.853285925357</v>
          </cell>
          <cell r="D55">
            <v>1440.7285040253385</v>
          </cell>
          <cell r="E55">
            <v>0</v>
          </cell>
          <cell r="F55">
            <v>1440.7285040253385</v>
          </cell>
          <cell r="G55">
            <v>1248.3794209883049</v>
          </cell>
          <cell r="H55">
            <v>192.34908303703347</v>
          </cell>
          <cell r="I55">
            <v>29527.473864937052</v>
          </cell>
          <cell r="J55">
            <v>12375.157017899908</v>
          </cell>
        </row>
        <row r="56">
          <cell r="A56">
            <v>39</v>
          </cell>
          <cell r="B56">
            <v>40148</v>
          </cell>
          <cell r="C56">
            <v>29527.473864937052</v>
          </cell>
          <cell r="D56">
            <v>1440.7285040253385</v>
          </cell>
          <cell r="E56">
            <v>0</v>
          </cell>
          <cell r="F56">
            <v>1440.7285040253385</v>
          </cell>
          <cell r="G56">
            <v>1256.1817923694819</v>
          </cell>
          <cell r="H56">
            <v>184.54671165585657</v>
          </cell>
          <cell r="I56">
            <v>28271.292072567569</v>
          </cell>
          <cell r="J56">
            <v>12559.703729555764</v>
          </cell>
        </row>
        <row r="57">
          <cell r="A57">
            <v>40</v>
          </cell>
          <cell r="B57">
            <v>40179</v>
          </cell>
          <cell r="C57">
            <v>28271.292072567569</v>
          </cell>
          <cell r="D57">
            <v>1440.7285040253385</v>
          </cell>
          <cell r="E57">
            <v>0</v>
          </cell>
          <cell r="F57">
            <v>1440.7285040253385</v>
          </cell>
          <cell r="G57">
            <v>1264.0329285717912</v>
          </cell>
          <cell r="H57">
            <v>176.69557545354732</v>
          </cell>
          <cell r="I57">
            <v>27007.259143995776</v>
          </cell>
          <cell r="J57">
            <v>12736.39930500931</v>
          </cell>
        </row>
        <row r="58">
          <cell r="A58">
            <v>41</v>
          </cell>
          <cell r="B58">
            <v>40210</v>
          </cell>
          <cell r="C58">
            <v>27007.259143995776</v>
          </cell>
          <cell r="D58">
            <v>1440.7285040253385</v>
          </cell>
          <cell r="E58">
            <v>0</v>
          </cell>
          <cell r="F58">
            <v>1440.7285040253385</v>
          </cell>
          <cell r="G58">
            <v>1271.9331343753649</v>
          </cell>
          <cell r="H58">
            <v>168.79536964997359</v>
          </cell>
          <cell r="I58">
            <v>25735.32600962041</v>
          </cell>
          <cell r="J58">
            <v>12905.194674659284</v>
          </cell>
        </row>
        <row r="59">
          <cell r="A59">
            <v>42</v>
          </cell>
          <cell r="B59">
            <v>40238</v>
          </cell>
          <cell r="C59">
            <v>25735.32600962041</v>
          </cell>
          <cell r="D59">
            <v>1440.7285040253385</v>
          </cell>
          <cell r="E59">
            <v>0</v>
          </cell>
          <cell r="F59">
            <v>1440.7285040253385</v>
          </cell>
          <cell r="G59">
            <v>1279.8827164652109</v>
          </cell>
          <cell r="H59">
            <v>160.84578756012755</v>
          </cell>
          <cell r="I59">
            <v>24455.4432931552</v>
          </cell>
          <cell r="J59">
            <v>13066.040462219411</v>
          </cell>
        </row>
        <row r="60">
          <cell r="A60">
            <v>43</v>
          </cell>
          <cell r="B60">
            <v>40269</v>
          </cell>
          <cell r="C60">
            <v>24455.4432931552</v>
          </cell>
          <cell r="D60">
            <v>1440.7285040253385</v>
          </cell>
          <cell r="E60">
            <v>0</v>
          </cell>
          <cell r="F60">
            <v>1440.7285040253385</v>
          </cell>
          <cell r="G60">
            <v>1287.8819834431185</v>
          </cell>
          <cell r="H60">
            <v>152.84652058221999</v>
          </cell>
          <cell r="I60">
            <v>23167.56130971208</v>
          </cell>
          <cell r="J60">
            <v>13218.88698280163</v>
          </cell>
        </row>
        <row r="61">
          <cell r="A61">
            <v>44</v>
          </cell>
          <cell r="B61">
            <v>40299</v>
          </cell>
          <cell r="C61">
            <v>23167.56130971208</v>
          </cell>
          <cell r="D61">
            <v>1440.7285040253385</v>
          </cell>
          <cell r="E61">
            <v>0</v>
          </cell>
          <cell r="F61">
            <v>1440.7285040253385</v>
          </cell>
          <cell r="G61">
            <v>1295.931245839638</v>
          </cell>
          <cell r="H61">
            <v>144.79725818570049</v>
          </cell>
          <cell r="I61">
            <v>21871.630063872442</v>
          </cell>
          <cell r="J61">
            <v>13363.684240987332</v>
          </cell>
        </row>
        <row r="62">
          <cell r="A62">
            <v>45</v>
          </cell>
          <cell r="B62">
            <v>40330</v>
          </cell>
          <cell r="C62">
            <v>21871.630063872442</v>
          </cell>
          <cell r="D62">
            <v>1440.7285040253385</v>
          </cell>
          <cell r="E62">
            <v>0</v>
          </cell>
          <cell r="F62">
            <v>1440.7285040253385</v>
          </cell>
          <cell r="G62">
            <v>1304.0308161261357</v>
          </cell>
          <cell r="H62">
            <v>136.69768789920275</v>
          </cell>
          <cell r="I62">
            <v>20567.599247746308</v>
          </cell>
          <cell r="J62">
            <v>13500.381928886534</v>
          </cell>
        </row>
        <row r="63">
          <cell r="A63">
            <v>46</v>
          </cell>
          <cell r="B63">
            <v>40360</v>
          </cell>
          <cell r="C63">
            <v>20567.599247746308</v>
          </cell>
          <cell r="D63">
            <v>1440.7285040253385</v>
          </cell>
          <cell r="E63">
            <v>0</v>
          </cell>
          <cell r="F63">
            <v>1440.7285040253385</v>
          </cell>
          <cell r="G63">
            <v>1312.1810087269241</v>
          </cell>
          <cell r="H63">
            <v>128.54749529841442</v>
          </cell>
          <cell r="I63">
            <v>19255.418239019382</v>
          </cell>
          <cell r="J63">
            <v>13628.929424184949</v>
          </cell>
        </row>
        <row r="64">
          <cell r="A64">
            <v>47</v>
          </cell>
          <cell r="B64">
            <v>40391</v>
          </cell>
          <cell r="C64">
            <v>19255.418239019382</v>
          </cell>
          <cell r="D64">
            <v>1440.7285040253385</v>
          </cell>
          <cell r="E64">
            <v>0</v>
          </cell>
          <cell r="F64">
            <v>1440.7285040253385</v>
          </cell>
          <cell r="G64">
            <v>1320.3821400314673</v>
          </cell>
          <cell r="H64">
            <v>120.34636399387114</v>
          </cell>
          <cell r="I64">
            <v>17935.036098987915</v>
          </cell>
          <cell r="J64">
            <v>13749.27578817882</v>
          </cell>
        </row>
        <row r="65">
          <cell r="A65">
            <v>48</v>
          </cell>
          <cell r="B65">
            <v>40422</v>
          </cell>
          <cell r="C65">
            <v>17935.036098987915</v>
          </cell>
          <cell r="D65">
            <v>1440.7285040253385</v>
          </cell>
          <cell r="E65">
            <v>0</v>
          </cell>
          <cell r="F65">
            <v>1440.7285040253385</v>
          </cell>
          <cell r="G65">
            <v>1328.634528406664</v>
          </cell>
          <cell r="H65">
            <v>112.09397561867446</v>
          </cell>
          <cell r="I65">
            <v>16606.401570581253</v>
          </cell>
          <cell r="J65">
            <v>13861.369763797495</v>
          </cell>
        </row>
        <row r="66">
          <cell r="A66">
            <v>49</v>
          </cell>
          <cell r="B66">
            <v>40452</v>
          </cell>
          <cell r="C66">
            <v>16606.401570581253</v>
          </cell>
          <cell r="D66">
            <v>1440.7285040253385</v>
          </cell>
          <cell r="E66">
            <v>0</v>
          </cell>
          <cell r="F66">
            <v>1440.7285040253385</v>
          </cell>
          <cell r="G66">
            <v>1336.9384942092056</v>
          </cell>
          <cell r="H66">
            <v>103.79000981613284</v>
          </cell>
          <cell r="I66">
            <v>15269.463076372047</v>
          </cell>
          <cell r="J66">
            <v>13965.159773613628</v>
          </cell>
        </row>
        <row r="67">
          <cell r="A67">
            <v>50</v>
          </cell>
          <cell r="B67">
            <v>40483</v>
          </cell>
          <cell r="C67">
            <v>15269.463076372047</v>
          </cell>
          <cell r="D67">
            <v>70595.696697241612</v>
          </cell>
          <cell r="E67">
            <v>0</v>
          </cell>
          <cell r="F67">
            <v>15269.463076372047</v>
          </cell>
          <cell r="G67">
            <v>15174.028932144722</v>
          </cell>
          <cell r="H67">
            <v>95.434144227325291</v>
          </cell>
          <cell r="I67">
            <v>0</v>
          </cell>
          <cell r="J67">
            <v>14060.593917840954</v>
          </cell>
        </row>
        <row r="68">
          <cell r="A68">
            <v>51</v>
          </cell>
          <cell r="B68">
            <v>40513</v>
          </cell>
          <cell r="C68">
            <v>0</v>
          </cell>
          <cell r="D68">
            <v>1440.7285040253385</v>
          </cell>
          <cell r="E68">
            <v>0</v>
          </cell>
          <cell r="F68">
            <v>0</v>
          </cell>
          <cell r="G68">
            <v>0</v>
          </cell>
          <cell r="H68">
            <v>0</v>
          </cell>
          <cell r="I68">
            <v>0</v>
          </cell>
          <cell r="J68">
            <v>14060.593917840954</v>
          </cell>
        </row>
        <row r="69">
          <cell r="A69">
            <v>52</v>
          </cell>
          <cell r="B69">
            <v>40544</v>
          </cell>
          <cell r="C69">
            <v>0</v>
          </cell>
          <cell r="D69">
            <v>1440.7285040253385</v>
          </cell>
          <cell r="E69">
            <v>0</v>
          </cell>
          <cell r="F69">
            <v>0</v>
          </cell>
          <cell r="G69">
            <v>0</v>
          </cell>
          <cell r="H69">
            <v>0</v>
          </cell>
          <cell r="I69">
            <v>0</v>
          </cell>
          <cell r="J69">
            <v>14060.593917840954</v>
          </cell>
        </row>
        <row r="70">
          <cell r="A70">
            <v>53</v>
          </cell>
          <cell r="B70">
            <v>40575</v>
          </cell>
          <cell r="C70">
            <v>0</v>
          </cell>
          <cell r="D70">
            <v>1440.7285040253385</v>
          </cell>
          <cell r="E70">
            <v>0</v>
          </cell>
          <cell r="F70">
            <v>0</v>
          </cell>
          <cell r="G70">
            <v>0</v>
          </cell>
          <cell r="H70">
            <v>0</v>
          </cell>
          <cell r="I70">
            <v>0</v>
          </cell>
          <cell r="J70">
            <v>14060.593917840954</v>
          </cell>
        </row>
        <row r="71">
          <cell r="A71">
            <v>54</v>
          </cell>
          <cell r="B71">
            <v>40603</v>
          </cell>
          <cell r="C71">
            <v>0</v>
          </cell>
          <cell r="D71">
            <v>1440.7285040253385</v>
          </cell>
          <cell r="E71">
            <v>0</v>
          </cell>
          <cell r="F71">
            <v>0</v>
          </cell>
          <cell r="G71">
            <v>0</v>
          </cell>
          <cell r="H71">
            <v>0</v>
          </cell>
          <cell r="I71">
            <v>0</v>
          </cell>
          <cell r="J71">
            <v>14060.593917840954</v>
          </cell>
        </row>
        <row r="72">
          <cell r="A72">
            <v>55</v>
          </cell>
          <cell r="B72">
            <v>40634</v>
          </cell>
          <cell r="C72">
            <v>0</v>
          </cell>
          <cell r="D72">
            <v>1440.7285040253385</v>
          </cell>
          <cell r="E72">
            <v>0</v>
          </cell>
          <cell r="F72">
            <v>0</v>
          </cell>
          <cell r="G72">
            <v>0</v>
          </cell>
          <cell r="H72">
            <v>0</v>
          </cell>
          <cell r="I72">
            <v>0</v>
          </cell>
          <cell r="J72">
            <v>14060.593917840954</v>
          </cell>
        </row>
        <row r="73">
          <cell r="A73">
            <v>56</v>
          </cell>
          <cell r="B73">
            <v>40664</v>
          </cell>
          <cell r="C73">
            <v>0</v>
          </cell>
          <cell r="D73">
            <v>1440.7285040253385</v>
          </cell>
          <cell r="E73">
            <v>0</v>
          </cell>
          <cell r="F73">
            <v>0</v>
          </cell>
          <cell r="G73">
            <v>0</v>
          </cell>
          <cell r="H73">
            <v>0</v>
          </cell>
          <cell r="I73">
            <v>0</v>
          </cell>
          <cell r="J73">
            <v>14060.593917840954</v>
          </cell>
        </row>
        <row r="74">
          <cell r="A74">
            <v>57</v>
          </cell>
          <cell r="B74">
            <v>40695</v>
          </cell>
          <cell r="C74">
            <v>0</v>
          </cell>
          <cell r="D74">
            <v>1440.7285040253385</v>
          </cell>
          <cell r="E74">
            <v>0</v>
          </cell>
          <cell r="F74">
            <v>0</v>
          </cell>
          <cell r="G74">
            <v>0</v>
          </cell>
          <cell r="H74">
            <v>0</v>
          </cell>
          <cell r="I74">
            <v>0</v>
          </cell>
          <cell r="J74">
            <v>14060.593917840954</v>
          </cell>
        </row>
        <row r="75">
          <cell r="A75">
            <v>58</v>
          </cell>
          <cell r="B75">
            <v>40725</v>
          </cell>
          <cell r="C75">
            <v>0</v>
          </cell>
          <cell r="D75">
            <v>1440.7285040253385</v>
          </cell>
          <cell r="E75">
            <v>0</v>
          </cell>
          <cell r="F75">
            <v>0</v>
          </cell>
          <cell r="G75">
            <v>0</v>
          </cell>
          <cell r="H75">
            <v>0</v>
          </cell>
          <cell r="I75">
            <v>0</v>
          </cell>
          <cell r="J75">
            <v>14060.593917840954</v>
          </cell>
        </row>
        <row r="76">
          <cell r="A76">
            <v>59</v>
          </cell>
          <cell r="B76">
            <v>40756</v>
          </cell>
          <cell r="C76">
            <v>0</v>
          </cell>
          <cell r="D76">
            <v>1440.7285040253385</v>
          </cell>
          <cell r="E76">
            <v>0</v>
          </cell>
          <cell r="F76">
            <v>0</v>
          </cell>
          <cell r="G76">
            <v>0</v>
          </cell>
          <cell r="H76">
            <v>0</v>
          </cell>
          <cell r="I76">
            <v>0</v>
          </cell>
          <cell r="J76">
            <v>14060.593917840954</v>
          </cell>
        </row>
        <row r="77">
          <cell r="A77">
            <v>60</v>
          </cell>
          <cell r="B77">
            <v>40787</v>
          </cell>
          <cell r="C77">
            <v>0</v>
          </cell>
          <cell r="D77">
            <v>1440.7285040253385</v>
          </cell>
          <cell r="E77">
            <v>0</v>
          </cell>
          <cell r="F77">
            <v>0</v>
          </cell>
          <cell r="G77">
            <v>0</v>
          </cell>
          <cell r="H77">
            <v>0</v>
          </cell>
          <cell r="I77">
            <v>0</v>
          </cell>
          <cell r="J77">
            <v>14060.593917840954</v>
          </cell>
        </row>
        <row r="78">
          <cell r="A78">
            <v>61</v>
          </cell>
          <cell r="B78">
            <v>40817</v>
          </cell>
          <cell r="C78">
            <v>0</v>
          </cell>
          <cell r="D78">
            <v>1440.7285040253385</v>
          </cell>
          <cell r="E78">
            <v>0</v>
          </cell>
          <cell r="F78">
            <v>0</v>
          </cell>
          <cell r="G78">
            <v>0</v>
          </cell>
          <cell r="H78">
            <v>0</v>
          </cell>
          <cell r="I78">
            <v>0</v>
          </cell>
          <cell r="J78">
            <v>14060.593917840954</v>
          </cell>
        </row>
        <row r="79">
          <cell r="A79">
            <v>62</v>
          </cell>
          <cell r="B79">
            <v>40848</v>
          </cell>
          <cell r="C79">
            <v>0</v>
          </cell>
          <cell r="D79">
            <v>1440.7285040253385</v>
          </cell>
          <cell r="E79">
            <v>0</v>
          </cell>
          <cell r="F79">
            <v>0</v>
          </cell>
          <cell r="G79">
            <v>0</v>
          </cell>
          <cell r="H79">
            <v>0</v>
          </cell>
          <cell r="I79">
            <v>0</v>
          </cell>
          <cell r="J79">
            <v>14060.593917840954</v>
          </cell>
        </row>
        <row r="80">
          <cell r="A80">
            <v>63</v>
          </cell>
          <cell r="B80">
            <v>40878</v>
          </cell>
          <cell r="C80">
            <v>0</v>
          </cell>
          <cell r="D80">
            <v>1440.7285040253385</v>
          </cell>
          <cell r="E80">
            <v>0</v>
          </cell>
          <cell r="F80">
            <v>0</v>
          </cell>
          <cell r="G80">
            <v>0</v>
          </cell>
          <cell r="H80">
            <v>0</v>
          </cell>
          <cell r="I80">
            <v>0</v>
          </cell>
          <cell r="J80">
            <v>14060.593917840954</v>
          </cell>
        </row>
        <row r="81">
          <cell r="A81">
            <v>64</v>
          </cell>
          <cell r="B81">
            <v>40909</v>
          </cell>
          <cell r="C81">
            <v>0</v>
          </cell>
          <cell r="D81">
            <v>1440.7285040253385</v>
          </cell>
          <cell r="E81">
            <v>0</v>
          </cell>
          <cell r="F81">
            <v>0</v>
          </cell>
          <cell r="G81">
            <v>0</v>
          </cell>
          <cell r="H81">
            <v>0</v>
          </cell>
          <cell r="I81">
            <v>0</v>
          </cell>
          <cell r="J81">
            <v>14060.593917840954</v>
          </cell>
        </row>
        <row r="82">
          <cell r="A82">
            <v>65</v>
          </cell>
          <cell r="B82">
            <v>40940</v>
          </cell>
          <cell r="C82">
            <v>0</v>
          </cell>
          <cell r="D82">
            <v>1440.7285040253385</v>
          </cell>
          <cell r="E82">
            <v>0</v>
          </cell>
          <cell r="F82">
            <v>0</v>
          </cell>
          <cell r="G82">
            <v>0</v>
          </cell>
          <cell r="H82">
            <v>0</v>
          </cell>
          <cell r="I82">
            <v>0</v>
          </cell>
          <cell r="J82">
            <v>14060.593917840954</v>
          </cell>
        </row>
        <row r="83">
          <cell r="A83">
            <v>66</v>
          </cell>
          <cell r="B83">
            <v>40969</v>
          </cell>
          <cell r="C83">
            <v>0</v>
          </cell>
          <cell r="D83">
            <v>1440.7285040253385</v>
          </cell>
          <cell r="E83">
            <v>0</v>
          </cell>
          <cell r="F83">
            <v>0</v>
          </cell>
          <cell r="G83">
            <v>0</v>
          </cell>
          <cell r="H83">
            <v>0</v>
          </cell>
          <cell r="I83">
            <v>0</v>
          </cell>
          <cell r="J83">
            <v>14060.593917840954</v>
          </cell>
        </row>
        <row r="84">
          <cell r="A84">
            <v>67</v>
          </cell>
          <cell r="B84">
            <v>41000</v>
          </cell>
          <cell r="C84">
            <v>0</v>
          </cell>
          <cell r="D84">
            <v>1440.7285040253385</v>
          </cell>
          <cell r="E84">
            <v>0</v>
          </cell>
          <cell r="F84">
            <v>0</v>
          </cell>
          <cell r="G84">
            <v>0</v>
          </cell>
          <cell r="H84">
            <v>0</v>
          </cell>
          <cell r="I84">
            <v>0</v>
          </cell>
          <cell r="J84">
            <v>14060.593917840954</v>
          </cell>
        </row>
        <row r="85">
          <cell r="A85">
            <v>68</v>
          </cell>
          <cell r="B85">
            <v>41030</v>
          </cell>
          <cell r="C85">
            <v>0</v>
          </cell>
          <cell r="D85">
            <v>1440.7285040253385</v>
          </cell>
          <cell r="E85">
            <v>0</v>
          </cell>
          <cell r="F85">
            <v>0</v>
          </cell>
          <cell r="G85">
            <v>0</v>
          </cell>
          <cell r="H85">
            <v>0</v>
          </cell>
          <cell r="I85">
            <v>0</v>
          </cell>
          <cell r="J85">
            <v>14060.593917840954</v>
          </cell>
        </row>
        <row r="86">
          <cell r="A86">
            <v>69</v>
          </cell>
          <cell r="B86">
            <v>41061</v>
          </cell>
          <cell r="C86">
            <v>0</v>
          </cell>
          <cell r="D86">
            <v>1440.7285040253385</v>
          </cell>
          <cell r="E86">
            <v>0</v>
          </cell>
          <cell r="F86">
            <v>0</v>
          </cell>
          <cell r="G86">
            <v>0</v>
          </cell>
          <cell r="H86">
            <v>0</v>
          </cell>
          <cell r="I86">
            <v>0</v>
          </cell>
          <cell r="J86">
            <v>14060.593917840954</v>
          </cell>
        </row>
        <row r="87">
          <cell r="A87">
            <v>70</v>
          </cell>
          <cell r="B87">
            <v>41091</v>
          </cell>
          <cell r="C87">
            <v>0</v>
          </cell>
          <cell r="D87">
            <v>1440.7285040253385</v>
          </cell>
          <cell r="E87">
            <v>0</v>
          </cell>
          <cell r="F87">
            <v>0</v>
          </cell>
          <cell r="G87">
            <v>0</v>
          </cell>
          <cell r="H87">
            <v>0</v>
          </cell>
          <cell r="I87">
            <v>0</v>
          </cell>
          <cell r="J87">
            <v>14060.593917840954</v>
          </cell>
        </row>
        <row r="88">
          <cell r="A88">
            <v>71</v>
          </cell>
          <cell r="B88">
            <v>41122</v>
          </cell>
          <cell r="C88">
            <v>0</v>
          </cell>
          <cell r="D88">
            <v>1440.7285040253385</v>
          </cell>
          <cell r="E88">
            <v>0</v>
          </cell>
          <cell r="F88">
            <v>0</v>
          </cell>
          <cell r="G88">
            <v>0</v>
          </cell>
          <cell r="H88">
            <v>0</v>
          </cell>
          <cell r="I88">
            <v>0</v>
          </cell>
          <cell r="J88">
            <v>14060.593917840954</v>
          </cell>
        </row>
        <row r="89">
          <cell r="A89">
            <v>72</v>
          </cell>
          <cell r="B89">
            <v>41153</v>
          </cell>
          <cell r="C89">
            <v>0</v>
          </cell>
          <cell r="D89">
            <v>1440.7285040253385</v>
          </cell>
          <cell r="E89">
            <v>0</v>
          </cell>
          <cell r="F89">
            <v>0</v>
          </cell>
          <cell r="G89">
            <v>0</v>
          </cell>
          <cell r="H89">
            <v>0</v>
          </cell>
          <cell r="I89">
            <v>0</v>
          </cell>
          <cell r="J89">
            <v>14060.593917840954</v>
          </cell>
        </row>
        <row r="90">
          <cell r="A90">
            <v>73</v>
          </cell>
          <cell r="B90">
            <v>41183</v>
          </cell>
          <cell r="C90">
            <v>0</v>
          </cell>
          <cell r="D90">
            <v>1440.7285040253385</v>
          </cell>
          <cell r="E90">
            <v>0</v>
          </cell>
          <cell r="F90">
            <v>0</v>
          </cell>
          <cell r="G90">
            <v>0</v>
          </cell>
          <cell r="H90">
            <v>0</v>
          </cell>
          <cell r="I90">
            <v>0</v>
          </cell>
          <cell r="J90">
            <v>14060.593917840954</v>
          </cell>
        </row>
        <row r="91">
          <cell r="A91">
            <v>74</v>
          </cell>
          <cell r="B91">
            <v>41214</v>
          </cell>
          <cell r="C91">
            <v>0</v>
          </cell>
          <cell r="D91">
            <v>1440.7285040253385</v>
          </cell>
          <cell r="E91">
            <v>0</v>
          </cell>
          <cell r="F91">
            <v>0</v>
          </cell>
          <cell r="G91">
            <v>0</v>
          </cell>
          <cell r="H91">
            <v>0</v>
          </cell>
          <cell r="I91">
            <v>0</v>
          </cell>
          <cell r="J91">
            <v>14060.593917840954</v>
          </cell>
        </row>
        <row r="92">
          <cell r="A92">
            <v>75</v>
          </cell>
          <cell r="B92">
            <v>41244</v>
          </cell>
          <cell r="C92">
            <v>0</v>
          </cell>
          <cell r="D92">
            <v>1440.7285040253385</v>
          </cell>
          <cell r="E92">
            <v>0</v>
          </cell>
          <cell r="F92">
            <v>0</v>
          </cell>
          <cell r="G92">
            <v>0</v>
          </cell>
          <cell r="H92">
            <v>0</v>
          </cell>
          <cell r="I92">
            <v>0</v>
          </cell>
          <cell r="J92">
            <v>14060.593917840954</v>
          </cell>
        </row>
        <row r="93">
          <cell r="A93">
            <v>76</v>
          </cell>
          <cell r="B93">
            <v>41275</v>
          </cell>
          <cell r="C93">
            <v>0</v>
          </cell>
          <cell r="D93">
            <v>1440.7285040253385</v>
          </cell>
          <cell r="E93">
            <v>0</v>
          </cell>
          <cell r="F93">
            <v>0</v>
          </cell>
          <cell r="G93">
            <v>0</v>
          </cell>
          <cell r="H93">
            <v>0</v>
          </cell>
          <cell r="I93">
            <v>0</v>
          </cell>
          <cell r="J93">
            <v>14060.593917840954</v>
          </cell>
        </row>
        <row r="94">
          <cell r="A94">
            <v>77</v>
          </cell>
          <cell r="B94">
            <v>41306</v>
          </cell>
          <cell r="C94">
            <v>0</v>
          </cell>
          <cell r="D94">
            <v>1440.7285040253385</v>
          </cell>
          <cell r="E94">
            <v>0</v>
          </cell>
          <cell r="F94">
            <v>0</v>
          </cell>
          <cell r="G94">
            <v>0</v>
          </cell>
          <cell r="H94">
            <v>0</v>
          </cell>
          <cell r="I94">
            <v>0</v>
          </cell>
          <cell r="J94">
            <v>14060.593917840954</v>
          </cell>
        </row>
        <row r="95">
          <cell r="A95">
            <v>78</v>
          </cell>
          <cell r="B95">
            <v>41334</v>
          </cell>
          <cell r="C95">
            <v>0</v>
          </cell>
          <cell r="D95">
            <v>1440.7285040253385</v>
          </cell>
          <cell r="E95">
            <v>0</v>
          </cell>
          <cell r="F95">
            <v>0</v>
          </cell>
          <cell r="G95">
            <v>0</v>
          </cell>
          <cell r="H95">
            <v>0</v>
          </cell>
          <cell r="I95">
            <v>0</v>
          </cell>
          <cell r="J95">
            <v>14060.593917840954</v>
          </cell>
        </row>
        <row r="96">
          <cell r="A96">
            <v>79</v>
          </cell>
          <cell r="B96">
            <v>41365</v>
          </cell>
          <cell r="C96">
            <v>0</v>
          </cell>
          <cell r="D96">
            <v>1440.7285040253385</v>
          </cell>
          <cell r="E96">
            <v>0</v>
          </cell>
          <cell r="F96">
            <v>0</v>
          </cell>
          <cell r="G96">
            <v>0</v>
          </cell>
          <cell r="H96">
            <v>0</v>
          </cell>
          <cell r="I96">
            <v>0</v>
          </cell>
          <cell r="J96">
            <v>14060.593917840954</v>
          </cell>
        </row>
        <row r="97">
          <cell r="A97">
            <v>80</v>
          </cell>
          <cell r="B97">
            <v>41395</v>
          </cell>
          <cell r="C97">
            <v>0</v>
          </cell>
          <cell r="D97">
            <v>1440.7285040253385</v>
          </cell>
          <cell r="E97">
            <v>0</v>
          </cell>
          <cell r="F97">
            <v>0</v>
          </cell>
          <cell r="G97">
            <v>0</v>
          </cell>
          <cell r="H97">
            <v>0</v>
          </cell>
          <cell r="I97">
            <v>0</v>
          </cell>
          <cell r="J97">
            <v>14060.593917840954</v>
          </cell>
        </row>
        <row r="98">
          <cell r="A98">
            <v>81</v>
          </cell>
          <cell r="B98">
            <v>41426</v>
          </cell>
          <cell r="C98">
            <v>0</v>
          </cell>
          <cell r="D98">
            <v>1440.7285040253385</v>
          </cell>
          <cell r="E98">
            <v>0</v>
          </cell>
          <cell r="F98">
            <v>0</v>
          </cell>
          <cell r="G98">
            <v>0</v>
          </cell>
          <cell r="H98">
            <v>0</v>
          </cell>
          <cell r="I98">
            <v>0</v>
          </cell>
          <cell r="J98">
            <v>14060.593917840954</v>
          </cell>
        </row>
        <row r="99">
          <cell r="A99">
            <v>82</v>
          </cell>
          <cell r="B99">
            <v>41456</v>
          </cell>
          <cell r="C99">
            <v>0</v>
          </cell>
          <cell r="D99">
            <v>1440.7285040253385</v>
          </cell>
          <cell r="E99">
            <v>0</v>
          </cell>
          <cell r="F99">
            <v>0</v>
          </cell>
          <cell r="G99">
            <v>0</v>
          </cell>
          <cell r="H99">
            <v>0</v>
          </cell>
          <cell r="I99">
            <v>0</v>
          </cell>
          <cell r="J99">
            <v>14060.593917840954</v>
          </cell>
        </row>
        <row r="100">
          <cell r="A100">
            <v>83</v>
          </cell>
          <cell r="B100">
            <v>41487</v>
          </cell>
          <cell r="C100">
            <v>0</v>
          </cell>
          <cell r="D100">
            <v>1440.7285040253385</v>
          </cell>
          <cell r="E100">
            <v>0</v>
          </cell>
          <cell r="F100">
            <v>0</v>
          </cell>
          <cell r="G100">
            <v>0</v>
          </cell>
          <cell r="H100">
            <v>0</v>
          </cell>
          <cell r="I100">
            <v>0</v>
          </cell>
          <cell r="J100">
            <v>14060.593917840954</v>
          </cell>
        </row>
        <row r="101">
          <cell r="A101">
            <v>84</v>
          </cell>
          <cell r="B101">
            <v>41518</v>
          </cell>
          <cell r="C101">
            <v>0</v>
          </cell>
          <cell r="D101">
            <v>1440.7285040253385</v>
          </cell>
          <cell r="E101">
            <v>0</v>
          </cell>
          <cell r="F101">
            <v>0</v>
          </cell>
          <cell r="G101">
            <v>0</v>
          </cell>
          <cell r="H101">
            <v>0</v>
          </cell>
          <cell r="I101">
            <v>0</v>
          </cell>
          <cell r="J101">
            <v>14060.593917840954</v>
          </cell>
        </row>
        <row r="102">
          <cell r="A102">
            <v>85</v>
          </cell>
          <cell r="B102">
            <v>41548</v>
          </cell>
          <cell r="C102">
            <v>0</v>
          </cell>
          <cell r="D102">
            <v>1440.7285040253385</v>
          </cell>
          <cell r="E102">
            <v>0</v>
          </cell>
          <cell r="F102">
            <v>0</v>
          </cell>
          <cell r="G102">
            <v>0</v>
          </cell>
          <cell r="H102">
            <v>0</v>
          </cell>
          <cell r="I102">
            <v>0</v>
          </cell>
          <cell r="J102">
            <v>14060.593917840954</v>
          </cell>
        </row>
        <row r="103">
          <cell r="A103">
            <v>86</v>
          </cell>
          <cell r="B103">
            <v>41579</v>
          </cell>
          <cell r="C103">
            <v>0</v>
          </cell>
          <cell r="D103">
            <v>1440.7285040253385</v>
          </cell>
          <cell r="E103">
            <v>0</v>
          </cell>
          <cell r="F103">
            <v>0</v>
          </cell>
          <cell r="G103">
            <v>0</v>
          </cell>
          <cell r="H103">
            <v>0</v>
          </cell>
          <cell r="I103">
            <v>0</v>
          </cell>
          <cell r="J103">
            <v>14060.593917840954</v>
          </cell>
        </row>
        <row r="104">
          <cell r="A104">
            <v>87</v>
          </cell>
          <cell r="B104">
            <v>41609</v>
          </cell>
          <cell r="C104">
            <v>0</v>
          </cell>
          <cell r="D104">
            <v>1440.7285040253385</v>
          </cell>
          <cell r="E104">
            <v>0</v>
          </cell>
          <cell r="F104">
            <v>0</v>
          </cell>
          <cell r="G104">
            <v>0</v>
          </cell>
          <cell r="H104">
            <v>0</v>
          </cell>
          <cell r="I104">
            <v>0</v>
          </cell>
          <cell r="J104">
            <v>14060.593917840954</v>
          </cell>
        </row>
        <row r="105">
          <cell r="A105">
            <v>88</v>
          </cell>
          <cell r="B105">
            <v>41640</v>
          </cell>
          <cell r="C105">
            <v>0</v>
          </cell>
          <cell r="D105">
            <v>1440.7285040253385</v>
          </cell>
          <cell r="E105">
            <v>0</v>
          </cell>
          <cell r="F105">
            <v>0</v>
          </cell>
          <cell r="G105">
            <v>0</v>
          </cell>
          <cell r="H105">
            <v>0</v>
          </cell>
          <cell r="I105">
            <v>0</v>
          </cell>
          <cell r="J105">
            <v>14060.593917840954</v>
          </cell>
        </row>
        <row r="106">
          <cell r="A106">
            <v>89</v>
          </cell>
          <cell r="B106">
            <v>41671</v>
          </cell>
          <cell r="C106">
            <v>0</v>
          </cell>
          <cell r="D106">
            <v>1440.7285040253385</v>
          </cell>
          <cell r="E106">
            <v>0</v>
          </cell>
          <cell r="F106">
            <v>0</v>
          </cell>
          <cell r="G106">
            <v>0</v>
          </cell>
          <cell r="H106">
            <v>0</v>
          </cell>
          <cell r="I106">
            <v>0</v>
          </cell>
          <cell r="J106">
            <v>14060.593917840954</v>
          </cell>
        </row>
        <row r="107">
          <cell r="A107">
            <v>90</v>
          </cell>
          <cell r="B107">
            <v>41699</v>
          </cell>
          <cell r="C107">
            <v>0</v>
          </cell>
          <cell r="D107">
            <v>1440.7285040253385</v>
          </cell>
          <cell r="E107">
            <v>0</v>
          </cell>
          <cell r="F107">
            <v>0</v>
          </cell>
          <cell r="G107">
            <v>0</v>
          </cell>
          <cell r="H107">
            <v>0</v>
          </cell>
          <cell r="I107">
            <v>0</v>
          </cell>
          <cell r="J107">
            <v>14060.593917840954</v>
          </cell>
        </row>
        <row r="108">
          <cell r="A108">
            <v>91</v>
          </cell>
          <cell r="B108">
            <v>41730</v>
          </cell>
          <cell r="C108">
            <v>0</v>
          </cell>
          <cell r="D108">
            <v>1440.7285040253385</v>
          </cell>
          <cell r="E108">
            <v>0</v>
          </cell>
          <cell r="F108">
            <v>0</v>
          </cell>
          <cell r="G108">
            <v>0</v>
          </cell>
          <cell r="H108">
            <v>0</v>
          </cell>
          <cell r="I108">
            <v>0</v>
          </cell>
          <cell r="J108">
            <v>14060.593917840954</v>
          </cell>
        </row>
        <row r="109">
          <cell r="A109">
            <v>92</v>
          </cell>
          <cell r="B109">
            <v>41760</v>
          </cell>
          <cell r="C109">
            <v>0</v>
          </cell>
          <cell r="D109">
            <v>1440.7285040253385</v>
          </cell>
          <cell r="E109">
            <v>0</v>
          </cell>
          <cell r="F109">
            <v>0</v>
          </cell>
          <cell r="G109">
            <v>0</v>
          </cell>
          <cell r="H109">
            <v>0</v>
          </cell>
          <cell r="I109">
            <v>0</v>
          </cell>
          <cell r="J109">
            <v>14060.593917840954</v>
          </cell>
        </row>
        <row r="110">
          <cell r="A110">
            <v>93</v>
          </cell>
          <cell r="B110">
            <v>41791</v>
          </cell>
          <cell r="C110">
            <v>0</v>
          </cell>
          <cell r="D110">
            <v>1440.7285040253385</v>
          </cell>
          <cell r="E110">
            <v>0</v>
          </cell>
          <cell r="F110">
            <v>0</v>
          </cell>
          <cell r="G110">
            <v>0</v>
          </cell>
          <cell r="H110">
            <v>0</v>
          </cell>
          <cell r="I110">
            <v>0</v>
          </cell>
          <cell r="J110">
            <v>14060.593917840954</v>
          </cell>
        </row>
        <row r="111">
          <cell r="A111">
            <v>94</v>
          </cell>
          <cell r="B111">
            <v>41821</v>
          </cell>
          <cell r="C111">
            <v>0</v>
          </cell>
          <cell r="D111">
            <v>1440.7285040253385</v>
          </cell>
          <cell r="E111">
            <v>0</v>
          </cell>
          <cell r="F111">
            <v>0</v>
          </cell>
          <cell r="G111">
            <v>0</v>
          </cell>
          <cell r="H111">
            <v>0</v>
          </cell>
          <cell r="I111">
            <v>0</v>
          </cell>
          <cell r="J111">
            <v>14060.593917840954</v>
          </cell>
        </row>
        <row r="112">
          <cell r="A112">
            <v>95</v>
          </cell>
          <cell r="B112">
            <v>41852</v>
          </cell>
          <cell r="C112">
            <v>0</v>
          </cell>
          <cell r="D112">
            <v>1440.7285040253385</v>
          </cell>
          <cell r="E112">
            <v>0</v>
          </cell>
          <cell r="F112">
            <v>0</v>
          </cell>
          <cell r="G112">
            <v>0</v>
          </cell>
          <cell r="H112">
            <v>0</v>
          </cell>
          <cell r="I112">
            <v>0</v>
          </cell>
          <cell r="J112">
            <v>14060.593917840954</v>
          </cell>
        </row>
        <row r="113">
          <cell r="A113">
            <v>96</v>
          </cell>
          <cell r="B113">
            <v>41883</v>
          </cell>
          <cell r="C113">
            <v>0</v>
          </cell>
          <cell r="D113">
            <v>1440.7285040253385</v>
          </cell>
          <cell r="E113">
            <v>0</v>
          </cell>
          <cell r="F113">
            <v>0</v>
          </cell>
          <cell r="G113">
            <v>0</v>
          </cell>
          <cell r="H113">
            <v>0</v>
          </cell>
          <cell r="I113">
            <v>0</v>
          </cell>
          <cell r="J113">
            <v>14060.593917840954</v>
          </cell>
        </row>
        <row r="114">
          <cell r="A114">
            <v>97</v>
          </cell>
          <cell r="B114">
            <v>41913</v>
          </cell>
          <cell r="C114">
            <v>0</v>
          </cell>
          <cell r="D114">
            <v>1440.7285040253385</v>
          </cell>
          <cell r="E114">
            <v>0</v>
          </cell>
          <cell r="F114">
            <v>0</v>
          </cell>
          <cell r="G114">
            <v>0</v>
          </cell>
          <cell r="H114">
            <v>0</v>
          </cell>
          <cell r="I114">
            <v>0</v>
          </cell>
          <cell r="J114">
            <v>14060.593917840954</v>
          </cell>
        </row>
        <row r="115">
          <cell r="A115">
            <v>98</v>
          </cell>
          <cell r="B115">
            <v>41944</v>
          </cell>
          <cell r="C115">
            <v>0</v>
          </cell>
          <cell r="D115">
            <v>1440.7285040253385</v>
          </cell>
          <cell r="E115">
            <v>0</v>
          </cell>
          <cell r="F115">
            <v>0</v>
          </cell>
          <cell r="G115">
            <v>0</v>
          </cell>
          <cell r="H115">
            <v>0</v>
          </cell>
          <cell r="I115">
            <v>0</v>
          </cell>
          <cell r="J115">
            <v>14060.593917840954</v>
          </cell>
        </row>
        <row r="116">
          <cell r="A116">
            <v>99</v>
          </cell>
          <cell r="B116">
            <v>41974</v>
          </cell>
          <cell r="C116">
            <v>0</v>
          </cell>
          <cell r="D116">
            <v>1440.7285040253385</v>
          </cell>
          <cell r="E116">
            <v>0</v>
          </cell>
          <cell r="F116">
            <v>0</v>
          </cell>
          <cell r="G116">
            <v>0</v>
          </cell>
          <cell r="H116">
            <v>0</v>
          </cell>
          <cell r="I116">
            <v>0</v>
          </cell>
          <cell r="J116">
            <v>14060.593917840954</v>
          </cell>
        </row>
        <row r="117">
          <cell r="A117">
            <v>100</v>
          </cell>
          <cell r="B117">
            <v>42005</v>
          </cell>
          <cell r="C117">
            <v>0</v>
          </cell>
          <cell r="D117">
            <v>1440.7285040253385</v>
          </cell>
          <cell r="E117">
            <v>0</v>
          </cell>
          <cell r="F117">
            <v>0</v>
          </cell>
          <cell r="G117">
            <v>0</v>
          </cell>
          <cell r="H117">
            <v>0</v>
          </cell>
          <cell r="I117">
            <v>0</v>
          </cell>
          <cell r="J117">
            <v>14060.593917840954</v>
          </cell>
        </row>
        <row r="118">
          <cell r="A118">
            <v>101</v>
          </cell>
          <cell r="B118">
            <v>42036</v>
          </cell>
          <cell r="C118">
            <v>0</v>
          </cell>
          <cell r="D118">
            <v>1440.7285040253385</v>
          </cell>
          <cell r="E118">
            <v>0</v>
          </cell>
          <cell r="F118">
            <v>0</v>
          </cell>
          <cell r="G118">
            <v>0</v>
          </cell>
          <cell r="H118">
            <v>0</v>
          </cell>
          <cell r="I118">
            <v>0</v>
          </cell>
          <cell r="J118">
            <v>14060.593917840954</v>
          </cell>
        </row>
        <row r="119">
          <cell r="A119">
            <v>102</v>
          </cell>
          <cell r="B119">
            <v>42064</v>
          </cell>
          <cell r="C119">
            <v>0</v>
          </cell>
          <cell r="D119">
            <v>1440.7285040253385</v>
          </cell>
          <cell r="E119">
            <v>0</v>
          </cell>
          <cell r="F119">
            <v>0</v>
          </cell>
          <cell r="G119">
            <v>0</v>
          </cell>
          <cell r="H119">
            <v>0</v>
          </cell>
          <cell r="I119">
            <v>0</v>
          </cell>
          <cell r="J119">
            <v>14060.593917840954</v>
          </cell>
        </row>
        <row r="120">
          <cell r="A120">
            <v>103</v>
          </cell>
          <cell r="B120">
            <v>42095</v>
          </cell>
          <cell r="C120">
            <v>0</v>
          </cell>
          <cell r="D120">
            <v>1440.7285040253385</v>
          </cell>
          <cell r="E120">
            <v>0</v>
          </cell>
          <cell r="F120">
            <v>0</v>
          </cell>
          <cell r="G120">
            <v>0</v>
          </cell>
          <cell r="H120">
            <v>0</v>
          </cell>
          <cell r="I120">
            <v>0</v>
          </cell>
          <cell r="J120">
            <v>14060.593917840954</v>
          </cell>
        </row>
        <row r="121">
          <cell r="A121">
            <v>104</v>
          </cell>
          <cell r="B121">
            <v>42125</v>
          </cell>
          <cell r="C121">
            <v>0</v>
          </cell>
          <cell r="D121">
            <v>1440.7285040253385</v>
          </cell>
          <cell r="E121">
            <v>0</v>
          </cell>
          <cell r="F121">
            <v>0</v>
          </cell>
          <cell r="G121">
            <v>0</v>
          </cell>
          <cell r="H121">
            <v>0</v>
          </cell>
          <cell r="I121">
            <v>0</v>
          </cell>
          <cell r="J121">
            <v>14060.593917840954</v>
          </cell>
        </row>
        <row r="122">
          <cell r="A122">
            <v>105</v>
          </cell>
          <cell r="B122">
            <v>42156</v>
          </cell>
          <cell r="C122">
            <v>0</v>
          </cell>
          <cell r="D122">
            <v>1440.7285040253385</v>
          </cell>
          <cell r="E122">
            <v>0</v>
          </cell>
          <cell r="F122">
            <v>0</v>
          </cell>
          <cell r="G122">
            <v>0</v>
          </cell>
          <cell r="H122">
            <v>0</v>
          </cell>
          <cell r="I122">
            <v>0</v>
          </cell>
          <cell r="J122">
            <v>14060.593917840954</v>
          </cell>
        </row>
        <row r="123">
          <cell r="A123">
            <v>106</v>
          </cell>
          <cell r="B123">
            <v>42186</v>
          </cell>
          <cell r="C123">
            <v>0</v>
          </cell>
          <cell r="D123">
            <v>1440.7285040253385</v>
          </cell>
          <cell r="E123">
            <v>0</v>
          </cell>
          <cell r="F123">
            <v>0</v>
          </cell>
          <cell r="G123">
            <v>0</v>
          </cell>
          <cell r="H123">
            <v>0</v>
          </cell>
          <cell r="I123">
            <v>0</v>
          </cell>
          <cell r="J123">
            <v>14060.593917840954</v>
          </cell>
        </row>
        <row r="124">
          <cell r="A124">
            <v>107</v>
          </cell>
          <cell r="B124">
            <v>42217</v>
          </cell>
          <cell r="C124">
            <v>0</v>
          </cell>
          <cell r="D124">
            <v>1440.7285040253385</v>
          </cell>
          <cell r="E124">
            <v>0</v>
          </cell>
          <cell r="F124">
            <v>0</v>
          </cell>
          <cell r="G124">
            <v>0</v>
          </cell>
          <cell r="H124">
            <v>0</v>
          </cell>
          <cell r="I124">
            <v>0</v>
          </cell>
          <cell r="J124">
            <v>14060.593917840954</v>
          </cell>
        </row>
        <row r="125">
          <cell r="A125">
            <v>108</v>
          </cell>
          <cell r="B125">
            <v>42248</v>
          </cell>
          <cell r="C125">
            <v>0</v>
          </cell>
          <cell r="D125">
            <v>1440.7285040253385</v>
          </cell>
          <cell r="E125">
            <v>0</v>
          </cell>
          <cell r="F125">
            <v>0</v>
          </cell>
          <cell r="G125">
            <v>0</v>
          </cell>
          <cell r="H125">
            <v>0</v>
          </cell>
          <cell r="I125">
            <v>0</v>
          </cell>
          <cell r="J125">
            <v>14060.593917840954</v>
          </cell>
        </row>
        <row r="126">
          <cell r="A126">
            <v>109</v>
          </cell>
          <cell r="B126">
            <v>42278</v>
          </cell>
          <cell r="C126">
            <v>0</v>
          </cell>
          <cell r="D126">
            <v>1440.7285040253385</v>
          </cell>
          <cell r="E126">
            <v>0</v>
          </cell>
          <cell r="F126">
            <v>0</v>
          </cell>
          <cell r="G126">
            <v>0</v>
          </cell>
          <cell r="H126">
            <v>0</v>
          </cell>
          <cell r="I126">
            <v>0</v>
          </cell>
          <cell r="J126">
            <v>14060.593917840954</v>
          </cell>
        </row>
        <row r="127">
          <cell r="A127">
            <v>110</v>
          </cell>
          <cell r="B127">
            <v>42309</v>
          </cell>
          <cell r="C127">
            <v>0</v>
          </cell>
          <cell r="D127">
            <v>1440.7285040253385</v>
          </cell>
          <cell r="E127">
            <v>0</v>
          </cell>
          <cell r="F127">
            <v>0</v>
          </cell>
          <cell r="G127">
            <v>0</v>
          </cell>
          <cell r="H127">
            <v>0</v>
          </cell>
          <cell r="I127">
            <v>0</v>
          </cell>
          <cell r="J127">
            <v>14060.593917840954</v>
          </cell>
        </row>
        <row r="128">
          <cell r="A128">
            <v>111</v>
          </cell>
          <cell r="B128">
            <v>42339</v>
          </cell>
          <cell r="C128">
            <v>0</v>
          </cell>
          <cell r="D128">
            <v>1440.7285040253385</v>
          </cell>
          <cell r="E128">
            <v>0</v>
          </cell>
          <cell r="F128">
            <v>0</v>
          </cell>
          <cell r="G128">
            <v>0</v>
          </cell>
          <cell r="H128">
            <v>0</v>
          </cell>
          <cell r="I128">
            <v>0</v>
          </cell>
          <cell r="J128">
            <v>14060.593917840954</v>
          </cell>
        </row>
        <row r="129">
          <cell r="A129">
            <v>112</v>
          </cell>
          <cell r="B129">
            <v>42370</v>
          </cell>
          <cell r="C129">
            <v>0</v>
          </cell>
          <cell r="D129">
            <v>1440.7285040253385</v>
          </cell>
          <cell r="E129">
            <v>0</v>
          </cell>
          <cell r="F129">
            <v>0</v>
          </cell>
          <cell r="G129">
            <v>0</v>
          </cell>
          <cell r="H129">
            <v>0</v>
          </cell>
          <cell r="I129">
            <v>0</v>
          </cell>
          <cell r="J129">
            <v>14060.593917840954</v>
          </cell>
        </row>
        <row r="130">
          <cell r="A130">
            <v>113</v>
          </cell>
          <cell r="B130">
            <v>42401</v>
          </cell>
          <cell r="C130">
            <v>0</v>
          </cell>
          <cell r="D130">
            <v>1440.7285040253385</v>
          </cell>
          <cell r="E130">
            <v>0</v>
          </cell>
          <cell r="F130">
            <v>0</v>
          </cell>
          <cell r="G130">
            <v>0</v>
          </cell>
          <cell r="H130">
            <v>0</v>
          </cell>
          <cell r="I130">
            <v>0</v>
          </cell>
          <cell r="J130">
            <v>14060.593917840954</v>
          </cell>
        </row>
        <row r="131">
          <cell r="A131">
            <v>114</v>
          </cell>
          <cell r="B131">
            <v>42430</v>
          </cell>
          <cell r="C131">
            <v>0</v>
          </cell>
          <cell r="D131">
            <v>1440.7285040253385</v>
          </cell>
          <cell r="E131">
            <v>0</v>
          </cell>
          <cell r="F131">
            <v>0</v>
          </cell>
          <cell r="G131">
            <v>0</v>
          </cell>
          <cell r="H131">
            <v>0</v>
          </cell>
          <cell r="I131">
            <v>0</v>
          </cell>
          <cell r="J131">
            <v>14060.593917840954</v>
          </cell>
        </row>
        <row r="132">
          <cell r="A132">
            <v>115</v>
          </cell>
          <cell r="B132">
            <v>42461</v>
          </cell>
          <cell r="C132">
            <v>0</v>
          </cell>
          <cell r="D132">
            <v>1440.7285040253385</v>
          </cell>
          <cell r="E132">
            <v>0</v>
          </cell>
          <cell r="F132">
            <v>0</v>
          </cell>
          <cell r="G132">
            <v>0</v>
          </cell>
          <cell r="H132">
            <v>0</v>
          </cell>
          <cell r="I132">
            <v>0</v>
          </cell>
          <cell r="J132">
            <v>14060.593917840954</v>
          </cell>
        </row>
        <row r="133">
          <cell r="A133">
            <v>116</v>
          </cell>
          <cell r="B133">
            <v>42491</v>
          </cell>
          <cell r="C133">
            <v>0</v>
          </cell>
          <cell r="D133">
            <v>1440.7285040253385</v>
          </cell>
          <cell r="E133">
            <v>0</v>
          </cell>
          <cell r="F133">
            <v>0</v>
          </cell>
          <cell r="G133">
            <v>0</v>
          </cell>
          <cell r="H133">
            <v>0</v>
          </cell>
          <cell r="I133">
            <v>0</v>
          </cell>
          <cell r="J133">
            <v>14060.593917840954</v>
          </cell>
        </row>
        <row r="134">
          <cell r="A134">
            <v>117</v>
          </cell>
          <cell r="B134">
            <v>42522</v>
          </cell>
          <cell r="C134">
            <v>0</v>
          </cell>
          <cell r="D134">
            <v>1440.7285040253385</v>
          </cell>
          <cell r="E134">
            <v>0</v>
          </cell>
          <cell r="F134">
            <v>0</v>
          </cell>
          <cell r="G134">
            <v>0</v>
          </cell>
          <cell r="H134">
            <v>0</v>
          </cell>
          <cell r="I134">
            <v>0</v>
          </cell>
          <cell r="J134">
            <v>14060.593917840954</v>
          </cell>
        </row>
        <row r="135">
          <cell r="A135">
            <v>118</v>
          </cell>
          <cell r="B135">
            <v>42552</v>
          </cell>
          <cell r="C135">
            <v>0</v>
          </cell>
          <cell r="D135">
            <v>1440.7285040253385</v>
          </cell>
          <cell r="E135">
            <v>0</v>
          </cell>
          <cell r="F135">
            <v>0</v>
          </cell>
          <cell r="G135">
            <v>0</v>
          </cell>
          <cell r="H135">
            <v>0</v>
          </cell>
          <cell r="I135">
            <v>0</v>
          </cell>
          <cell r="J135">
            <v>14060.593917840954</v>
          </cell>
        </row>
        <row r="136">
          <cell r="A136">
            <v>119</v>
          </cell>
          <cell r="B136">
            <v>42583</v>
          </cell>
          <cell r="C136">
            <v>0</v>
          </cell>
          <cell r="D136">
            <v>1440.7285040253385</v>
          </cell>
          <cell r="E136">
            <v>0</v>
          </cell>
          <cell r="F136">
            <v>0</v>
          </cell>
          <cell r="G136">
            <v>0</v>
          </cell>
          <cell r="H136">
            <v>0</v>
          </cell>
          <cell r="I136">
            <v>0</v>
          </cell>
          <cell r="J136">
            <v>14060.593917840954</v>
          </cell>
        </row>
        <row r="137">
          <cell r="A137">
            <v>120</v>
          </cell>
          <cell r="B137">
            <v>42614</v>
          </cell>
          <cell r="C137">
            <v>0</v>
          </cell>
          <cell r="D137">
            <v>1440.7285040253385</v>
          </cell>
          <cell r="E137">
            <v>0</v>
          </cell>
          <cell r="F137">
            <v>0</v>
          </cell>
          <cell r="G137">
            <v>0</v>
          </cell>
          <cell r="H137">
            <v>0</v>
          </cell>
          <cell r="I137">
            <v>0</v>
          </cell>
          <cell r="J137">
            <v>14060.593917840954</v>
          </cell>
        </row>
        <row r="138">
          <cell r="A138">
            <v>121</v>
          </cell>
          <cell r="B138">
            <v>42644</v>
          </cell>
          <cell r="C138">
            <v>0</v>
          </cell>
          <cell r="D138">
            <v>1440.7285040253385</v>
          </cell>
          <cell r="E138">
            <v>0</v>
          </cell>
          <cell r="F138">
            <v>0</v>
          </cell>
          <cell r="G138">
            <v>0</v>
          </cell>
          <cell r="H138">
            <v>0</v>
          </cell>
          <cell r="I138">
            <v>0</v>
          </cell>
          <cell r="J138">
            <v>14060.593917840954</v>
          </cell>
        </row>
        <row r="139">
          <cell r="A139">
            <v>122</v>
          </cell>
          <cell r="B139">
            <v>42675</v>
          </cell>
          <cell r="C139">
            <v>0</v>
          </cell>
          <cell r="D139">
            <v>1440.7285040253385</v>
          </cell>
          <cell r="E139">
            <v>0</v>
          </cell>
          <cell r="F139">
            <v>0</v>
          </cell>
          <cell r="G139">
            <v>0</v>
          </cell>
          <cell r="H139">
            <v>0</v>
          </cell>
          <cell r="I139">
            <v>0</v>
          </cell>
          <cell r="J139">
            <v>14060.593917840954</v>
          </cell>
        </row>
        <row r="140">
          <cell r="A140">
            <v>123</v>
          </cell>
          <cell r="B140">
            <v>42705</v>
          </cell>
          <cell r="C140">
            <v>0</v>
          </cell>
          <cell r="D140">
            <v>1440.7285040253385</v>
          </cell>
          <cell r="E140">
            <v>0</v>
          </cell>
          <cell r="F140">
            <v>0</v>
          </cell>
          <cell r="G140">
            <v>0</v>
          </cell>
          <cell r="H140">
            <v>0</v>
          </cell>
          <cell r="I140">
            <v>0</v>
          </cell>
          <cell r="J140">
            <v>14060.593917840954</v>
          </cell>
        </row>
        <row r="141">
          <cell r="A141">
            <v>124</v>
          </cell>
          <cell r="B141">
            <v>42736</v>
          </cell>
          <cell r="C141">
            <v>0</v>
          </cell>
          <cell r="D141">
            <v>1440.7285040253385</v>
          </cell>
          <cell r="E141">
            <v>0</v>
          </cell>
          <cell r="F141">
            <v>0</v>
          </cell>
          <cell r="G141">
            <v>0</v>
          </cell>
          <cell r="H141">
            <v>0</v>
          </cell>
          <cell r="I141">
            <v>0</v>
          </cell>
          <cell r="J141">
            <v>14060.593917840954</v>
          </cell>
        </row>
        <row r="142">
          <cell r="A142">
            <v>125</v>
          </cell>
          <cell r="B142">
            <v>42767</v>
          </cell>
          <cell r="C142">
            <v>0</v>
          </cell>
          <cell r="D142">
            <v>1440.7285040253385</v>
          </cell>
          <cell r="E142">
            <v>0</v>
          </cell>
          <cell r="F142">
            <v>0</v>
          </cell>
          <cell r="G142">
            <v>0</v>
          </cell>
          <cell r="H142">
            <v>0</v>
          </cell>
          <cell r="I142">
            <v>0</v>
          </cell>
          <cell r="J142">
            <v>14060.593917840954</v>
          </cell>
        </row>
        <row r="143">
          <cell r="A143">
            <v>126</v>
          </cell>
          <cell r="B143">
            <v>42795</v>
          </cell>
          <cell r="C143">
            <v>0</v>
          </cell>
          <cell r="D143">
            <v>1440.7285040253385</v>
          </cell>
          <cell r="E143">
            <v>0</v>
          </cell>
          <cell r="F143">
            <v>0</v>
          </cell>
          <cell r="G143">
            <v>0</v>
          </cell>
          <cell r="H143">
            <v>0</v>
          </cell>
          <cell r="I143">
            <v>0</v>
          </cell>
          <cell r="J143">
            <v>14060.593917840954</v>
          </cell>
        </row>
        <row r="144">
          <cell r="A144">
            <v>127</v>
          </cell>
          <cell r="B144">
            <v>42826</v>
          </cell>
          <cell r="C144">
            <v>0</v>
          </cell>
          <cell r="D144">
            <v>1440.7285040253385</v>
          </cell>
          <cell r="E144">
            <v>0</v>
          </cell>
          <cell r="F144">
            <v>0</v>
          </cell>
          <cell r="G144">
            <v>0</v>
          </cell>
          <cell r="H144">
            <v>0</v>
          </cell>
          <cell r="I144">
            <v>0</v>
          </cell>
          <cell r="J144">
            <v>14060.593917840954</v>
          </cell>
        </row>
        <row r="145">
          <cell r="A145">
            <v>128</v>
          </cell>
          <cell r="B145">
            <v>42856</v>
          </cell>
          <cell r="C145">
            <v>0</v>
          </cell>
          <cell r="D145">
            <v>1440.7285040253385</v>
          </cell>
          <cell r="E145">
            <v>0</v>
          </cell>
          <cell r="F145">
            <v>0</v>
          </cell>
          <cell r="G145">
            <v>0</v>
          </cell>
          <cell r="H145">
            <v>0</v>
          </cell>
          <cell r="I145">
            <v>0</v>
          </cell>
          <cell r="J145">
            <v>14060.593917840954</v>
          </cell>
        </row>
        <row r="146">
          <cell r="A146">
            <v>129</v>
          </cell>
          <cell r="B146">
            <v>42887</v>
          </cell>
          <cell r="C146">
            <v>0</v>
          </cell>
          <cell r="D146">
            <v>1440.7285040253385</v>
          </cell>
          <cell r="E146">
            <v>0</v>
          </cell>
          <cell r="F146">
            <v>0</v>
          </cell>
          <cell r="G146">
            <v>0</v>
          </cell>
          <cell r="H146">
            <v>0</v>
          </cell>
          <cell r="I146">
            <v>0</v>
          </cell>
          <cell r="J146">
            <v>14060.593917840954</v>
          </cell>
        </row>
        <row r="147">
          <cell r="A147">
            <v>130</v>
          </cell>
          <cell r="B147">
            <v>42917</v>
          </cell>
          <cell r="C147">
            <v>0</v>
          </cell>
          <cell r="D147">
            <v>1440.7285040253385</v>
          </cell>
          <cell r="E147">
            <v>0</v>
          </cell>
          <cell r="F147">
            <v>0</v>
          </cell>
          <cell r="G147">
            <v>0</v>
          </cell>
          <cell r="H147">
            <v>0</v>
          </cell>
          <cell r="I147">
            <v>0</v>
          </cell>
          <cell r="J147">
            <v>14060.593917840954</v>
          </cell>
        </row>
        <row r="148">
          <cell r="A148">
            <v>131</v>
          </cell>
          <cell r="B148">
            <v>42948</v>
          </cell>
          <cell r="C148">
            <v>0</v>
          </cell>
          <cell r="D148">
            <v>1440.7285040253385</v>
          </cell>
          <cell r="E148">
            <v>0</v>
          </cell>
          <cell r="F148">
            <v>0</v>
          </cell>
          <cell r="G148">
            <v>0</v>
          </cell>
          <cell r="H148">
            <v>0</v>
          </cell>
          <cell r="I148">
            <v>0</v>
          </cell>
          <cell r="J148">
            <v>14060.593917840954</v>
          </cell>
        </row>
        <row r="149">
          <cell r="A149">
            <v>132</v>
          </cell>
          <cell r="B149">
            <v>42979</v>
          </cell>
          <cell r="C149">
            <v>0</v>
          </cell>
          <cell r="D149">
            <v>1440.7285040253385</v>
          </cell>
          <cell r="E149">
            <v>0</v>
          </cell>
          <cell r="F149">
            <v>0</v>
          </cell>
          <cell r="G149">
            <v>0</v>
          </cell>
          <cell r="H149">
            <v>0</v>
          </cell>
          <cell r="I149">
            <v>0</v>
          </cell>
          <cell r="J149">
            <v>14060.593917840954</v>
          </cell>
        </row>
        <row r="150">
          <cell r="A150">
            <v>133</v>
          </cell>
          <cell r="B150">
            <v>43009</v>
          </cell>
          <cell r="C150">
            <v>0</v>
          </cell>
          <cell r="D150">
            <v>1440.7285040253385</v>
          </cell>
          <cell r="E150">
            <v>0</v>
          </cell>
          <cell r="F150">
            <v>0</v>
          </cell>
          <cell r="G150">
            <v>0</v>
          </cell>
          <cell r="H150">
            <v>0</v>
          </cell>
          <cell r="I150">
            <v>0</v>
          </cell>
          <cell r="J150">
            <v>14060.593917840954</v>
          </cell>
        </row>
        <row r="151">
          <cell r="A151">
            <v>134</v>
          </cell>
          <cell r="B151">
            <v>43040</v>
          </cell>
          <cell r="C151">
            <v>0</v>
          </cell>
          <cell r="D151">
            <v>1440.7285040253385</v>
          </cell>
          <cell r="E151">
            <v>0</v>
          </cell>
          <cell r="F151">
            <v>0</v>
          </cell>
          <cell r="G151">
            <v>0</v>
          </cell>
          <cell r="H151">
            <v>0</v>
          </cell>
          <cell r="I151">
            <v>0</v>
          </cell>
          <cell r="J151">
            <v>14060.593917840954</v>
          </cell>
        </row>
        <row r="152">
          <cell r="A152">
            <v>135</v>
          </cell>
          <cell r="B152">
            <v>43070</v>
          </cell>
          <cell r="C152">
            <v>0</v>
          </cell>
          <cell r="D152">
            <v>1440.7285040253385</v>
          </cell>
          <cell r="E152">
            <v>0</v>
          </cell>
          <cell r="F152">
            <v>0</v>
          </cell>
          <cell r="G152">
            <v>0</v>
          </cell>
          <cell r="H152">
            <v>0</v>
          </cell>
          <cell r="I152">
            <v>0</v>
          </cell>
          <cell r="J152">
            <v>14060.593917840954</v>
          </cell>
        </row>
        <row r="153">
          <cell r="A153">
            <v>136</v>
          </cell>
          <cell r="B153">
            <v>43101</v>
          </cell>
          <cell r="C153">
            <v>0</v>
          </cell>
          <cell r="D153">
            <v>1440.7285040253385</v>
          </cell>
          <cell r="E153">
            <v>0</v>
          </cell>
          <cell r="F153">
            <v>0</v>
          </cell>
          <cell r="G153">
            <v>0</v>
          </cell>
          <cell r="H153">
            <v>0</v>
          </cell>
          <cell r="I153">
            <v>0</v>
          </cell>
          <cell r="J153">
            <v>14060.593917840954</v>
          </cell>
        </row>
        <row r="154">
          <cell r="A154">
            <v>137</v>
          </cell>
          <cell r="B154">
            <v>43132</v>
          </cell>
          <cell r="C154">
            <v>0</v>
          </cell>
          <cell r="D154">
            <v>1440.7285040253385</v>
          </cell>
          <cell r="E154">
            <v>0</v>
          </cell>
          <cell r="F154">
            <v>0</v>
          </cell>
          <cell r="G154">
            <v>0</v>
          </cell>
          <cell r="H154">
            <v>0</v>
          </cell>
          <cell r="I154">
            <v>0</v>
          </cell>
          <cell r="J154">
            <v>14060.593917840954</v>
          </cell>
        </row>
        <row r="155">
          <cell r="A155">
            <v>138</v>
          </cell>
          <cell r="B155">
            <v>43160</v>
          </cell>
          <cell r="C155">
            <v>0</v>
          </cell>
          <cell r="D155">
            <v>1440.7285040253385</v>
          </cell>
          <cell r="E155">
            <v>0</v>
          </cell>
          <cell r="F155">
            <v>0</v>
          </cell>
          <cell r="G155">
            <v>0</v>
          </cell>
          <cell r="H155">
            <v>0</v>
          </cell>
          <cell r="I155">
            <v>0</v>
          </cell>
          <cell r="J155">
            <v>14060.593917840954</v>
          </cell>
        </row>
        <row r="156">
          <cell r="A156">
            <v>139</v>
          </cell>
          <cell r="B156">
            <v>43191</v>
          </cell>
          <cell r="C156">
            <v>0</v>
          </cell>
          <cell r="D156">
            <v>1440.7285040253385</v>
          </cell>
          <cell r="E156">
            <v>0</v>
          </cell>
          <cell r="F156">
            <v>0</v>
          </cell>
          <cell r="G156">
            <v>0</v>
          </cell>
          <cell r="H156">
            <v>0</v>
          </cell>
          <cell r="I156">
            <v>0</v>
          </cell>
          <cell r="J156">
            <v>14060.593917840954</v>
          </cell>
        </row>
        <row r="157">
          <cell r="A157">
            <v>140</v>
          </cell>
          <cell r="B157">
            <v>43221</v>
          </cell>
          <cell r="C157">
            <v>0</v>
          </cell>
          <cell r="D157">
            <v>1440.7285040253385</v>
          </cell>
          <cell r="E157">
            <v>0</v>
          </cell>
          <cell r="F157">
            <v>0</v>
          </cell>
          <cell r="G157">
            <v>0</v>
          </cell>
          <cell r="H157">
            <v>0</v>
          </cell>
          <cell r="I157">
            <v>0</v>
          </cell>
          <cell r="J157">
            <v>14060.593917840954</v>
          </cell>
        </row>
        <row r="158">
          <cell r="A158">
            <v>141</v>
          </cell>
          <cell r="B158">
            <v>43252</v>
          </cell>
          <cell r="C158">
            <v>0</v>
          </cell>
          <cell r="D158">
            <v>1440.7285040253385</v>
          </cell>
          <cell r="E158">
            <v>0</v>
          </cell>
          <cell r="F158">
            <v>0</v>
          </cell>
          <cell r="G158">
            <v>0</v>
          </cell>
          <cell r="H158">
            <v>0</v>
          </cell>
          <cell r="I158">
            <v>0</v>
          </cell>
          <cell r="J158">
            <v>14060.593917840954</v>
          </cell>
        </row>
        <row r="159">
          <cell r="A159">
            <v>142</v>
          </cell>
          <cell r="B159">
            <v>43282</v>
          </cell>
          <cell r="C159">
            <v>0</v>
          </cell>
          <cell r="D159">
            <v>1440.7285040253385</v>
          </cell>
          <cell r="E159">
            <v>0</v>
          </cell>
          <cell r="F159">
            <v>0</v>
          </cell>
          <cell r="G159">
            <v>0</v>
          </cell>
          <cell r="H159">
            <v>0</v>
          </cell>
          <cell r="I159">
            <v>0</v>
          </cell>
          <cell r="J159">
            <v>14060.593917840954</v>
          </cell>
        </row>
        <row r="160">
          <cell r="A160">
            <v>143</v>
          </cell>
          <cell r="B160">
            <v>43313</v>
          </cell>
          <cell r="C160">
            <v>0</v>
          </cell>
          <cell r="D160">
            <v>1440.7285040253385</v>
          </cell>
          <cell r="E160">
            <v>0</v>
          </cell>
          <cell r="F160">
            <v>0</v>
          </cell>
          <cell r="G160">
            <v>0</v>
          </cell>
          <cell r="H160">
            <v>0</v>
          </cell>
          <cell r="I160">
            <v>0</v>
          </cell>
          <cell r="J160">
            <v>14060.593917840954</v>
          </cell>
        </row>
        <row r="161">
          <cell r="A161">
            <v>144</v>
          </cell>
          <cell r="B161">
            <v>43344</v>
          </cell>
          <cell r="C161">
            <v>0</v>
          </cell>
          <cell r="D161">
            <v>1440.7285040253385</v>
          </cell>
          <cell r="E161">
            <v>0</v>
          </cell>
          <cell r="F161">
            <v>0</v>
          </cell>
          <cell r="G161">
            <v>0</v>
          </cell>
          <cell r="H161">
            <v>0</v>
          </cell>
          <cell r="I161">
            <v>0</v>
          </cell>
          <cell r="J161">
            <v>14060.593917840954</v>
          </cell>
        </row>
        <row r="162">
          <cell r="A162">
            <v>145</v>
          </cell>
          <cell r="B162">
            <v>43374</v>
          </cell>
          <cell r="C162">
            <v>0</v>
          </cell>
          <cell r="D162">
            <v>1440.7285040253385</v>
          </cell>
          <cell r="E162">
            <v>0</v>
          </cell>
          <cell r="F162">
            <v>0</v>
          </cell>
          <cell r="G162">
            <v>0</v>
          </cell>
          <cell r="H162">
            <v>0</v>
          </cell>
          <cell r="I162">
            <v>0</v>
          </cell>
          <cell r="J162">
            <v>14060.593917840954</v>
          </cell>
        </row>
        <row r="163">
          <cell r="A163">
            <v>146</v>
          </cell>
          <cell r="B163">
            <v>43405</v>
          </cell>
          <cell r="C163">
            <v>0</v>
          </cell>
          <cell r="D163">
            <v>1440.7285040253385</v>
          </cell>
          <cell r="E163">
            <v>0</v>
          </cell>
          <cell r="F163">
            <v>0</v>
          </cell>
          <cell r="G163">
            <v>0</v>
          </cell>
          <cell r="H163">
            <v>0</v>
          </cell>
          <cell r="I163">
            <v>0</v>
          </cell>
          <cell r="J163">
            <v>14060.593917840954</v>
          </cell>
        </row>
        <row r="164">
          <cell r="A164">
            <v>147</v>
          </cell>
          <cell r="B164">
            <v>43435</v>
          </cell>
          <cell r="C164">
            <v>0</v>
          </cell>
          <cell r="D164">
            <v>1440.7285040253385</v>
          </cell>
          <cell r="E164">
            <v>0</v>
          </cell>
          <cell r="F164">
            <v>0</v>
          </cell>
          <cell r="G164">
            <v>0</v>
          </cell>
          <cell r="H164">
            <v>0</v>
          </cell>
          <cell r="I164">
            <v>0</v>
          </cell>
          <cell r="J164">
            <v>14060.593917840954</v>
          </cell>
        </row>
        <row r="165">
          <cell r="A165">
            <v>148</v>
          </cell>
          <cell r="B165">
            <v>43466</v>
          </cell>
          <cell r="C165">
            <v>0</v>
          </cell>
          <cell r="D165">
            <v>1440.7285040253385</v>
          </cell>
          <cell r="E165">
            <v>0</v>
          </cell>
          <cell r="F165">
            <v>0</v>
          </cell>
          <cell r="G165">
            <v>0</v>
          </cell>
          <cell r="H165">
            <v>0</v>
          </cell>
          <cell r="I165">
            <v>0</v>
          </cell>
          <cell r="J165">
            <v>14060.593917840954</v>
          </cell>
        </row>
        <row r="166">
          <cell r="A166">
            <v>149</v>
          </cell>
          <cell r="B166">
            <v>43497</v>
          </cell>
          <cell r="C166">
            <v>0</v>
          </cell>
          <cell r="D166">
            <v>1440.7285040253385</v>
          </cell>
          <cell r="E166">
            <v>0</v>
          </cell>
          <cell r="F166">
            <v>0</v>
          </cell>
          <cell r="G166">
            <v>0</v>
          </cell>
          <cell r="H166">
            <v>0</v>
          </cell>
          <cell r="I166">
            <v>0</v>
          </cell>
          <cell r="J166">
            <v>14060.593917840954</v>
          </cell>
        </row>
        <row r="167">
          <cell r="A167">
            <v>150</v>
          </cell>
          <cell r="B167">
            <v>43525</v>
          </cell>
          <cell r="C167">
            <v>0</v>
          </cell>
          <cell r="D167">
            <v>1440.7285040253385</v>
          </cell>
          <cell r="E167">
            <v>0</v>
          </cell>
          <cell r="F167">
            <v>0</v>
          </cell>
          <cell r="G167">
            <v>0</v>
          </cell>
          <cell r="H167">
            <v>0</v>
          </cell>
          <cell r="I167">
            <v>0</v>
          </cell>
          <cell r="J167">
            <v>14060.593917840954</v>
          </cell>
        </row>
        <row r="168">
          <cell r="A168">
            <v>151</v>
          </cell>
          <cell r="B168">
            <v>43556</v>
          </cell>
          <cell r="C168">
            <v>0</v>
          </cell>
          <cell r="D168">
            <v>1440.7285040253385</v>
          </cell>
          <cell r="E168">
            <v>0</v>
          </cell>
          <cell r="F168">
            <v>0</v>
          </cell>
          <cell r="G168">
            <v>0</v>
          </cell>
          <cell r="H168">
            <v>0</v>
          </cell>
          <cell r="I168">
            <v>0</v>
          </cell>
          <cell r="J168">
            <v>14060.593917840954</v>
          </cell>
        </row>
        <row r="169">
          <cell r="A169">
            <v>152</v>
          </cell>
          <cell r="B169">
            <v>43586</v>
          </cell>
          <cell r="C169">
            <v>0</v>
          </cell>
          <cell r="D169">
            <v>1440.7285040253385</v>
          </cell>
          <cell r="E169">
            <v>0</v>
          </cell>
          <cell r="F169">
            <v>0</v>
          </cell>
          <cell r="G169">
            <v>0</v>
          </cell>
          <cell r="H169">
            <v>0</v>
          </cell>
          <cell r="I169">
            <v>0</v>
          </cell>
          <cell r="J169">
            <v>14060.593917840954</v>
          </cell>
        </row>
        <row r="170">
          <cell r="A170">
            <v>153</v>
          </cell>
          <cell r="B170">
            <v>43617</v>
          </cell>
          <cell r="C170">
            <v>0</v>
          </cell>
          <cell r="D170">
            <v>1440.7285040253385</v>
          </cell>
          <cell r="E170">
            <v>0</v>
          </cell>
          <cell r="F170">
            <v>0</v>
          </cell>
          <cell r="G170">
            <v>0</v>
          </cell>
          <cell r="H170">
            <v>0</v>
          </cell>
          <cell r="I170">
            <v>0</v>
          </cell>
          <cell r="J170">
            <v>14060.593917840954</v>
          </cell>
        </row>
        <row r="171">
          <cell r="A171">
            <v>154</v>
          </cell>
          <cell r="B171">
            <v>43647</v>
          </cell>
          <cell r="C171">
            <v>0</v>
          </cell>
          <cell r="D171">
            <v>1440.7285040253385</v>
          </cell>
          <cell r="E171">
            <v>0</v>
          </cell>
          <cell r="F171">
            <v>0</v>
          </cell>
          <cell r="G171">
            <v>0</v>
          </cell>
          <cell r="H171">
            <v>0</v>
          </cell>
          <cell r="I171">
            <v>0</v>
          </cell>
          <cell r="J171">
            <v>14060.593917840954</v>
          </cell>
        </row>
        <row r="172">
          <cell r="A172">
            <v>155</v>
          </cell>
          <cell r="B172">
            <v>43678</v>
          </cell>
          <cell r="C172">
            <v>0</v>
          </cell>
          <cell r="D172">
            <v>1440.7285040253385</v>
          </cell>
          <cell r="E172">
            <v>0</v>
          </cell>
          <cell r="F172">
            <v>0</v>
          </cell>
          <cell r="G172">
            <v>0</v>
          </cell>
          <cell r="H172">
            <v>0</v>
          </cell>
          <cell r="I172">
            <v>0</v>
          </cell>
          <cell r="J172">
            <v>14060.593917840954</v>
          </cell>
        </row>
        <row r="173">
          <cell r="A173">
            <v>156</v>
          </cell>
          <cell r="B173">
            <v>43709</v>
          </cell>
          <cell r="C173">
            <v>0</v>
          </cell>
          <cell r="D173">
            <v>1440.7285040253385</v>
          </cell>
          <cell r="E173">
            <v>0</v>
          </cell>
          <cell r="F173">
            <v>0</v>
          </cell>
          <cell r="G173">
            <v>0</v>
          </cell>
          <cell r="H173">
            <v>0</v>
          </cell>
          <cell r="I173">
            <v>0</v>
          </cell>
          <cell r="J173">
            <v>14060.593917840954</v>
          </cell>
        </row>
        <row r="174">
          <cell r="A174">
            <v>157</v>
          </cell>
          <cell r="B174">
            <v>43739</v>
          </cell>
          <cell r="C174">
            <v>0</v>
          </cell>
          <cell r="D174">
            <v>1440.7285040253385</v>
          </cell>
          <cell r="E174">
            <v>0</v>
          </cell>
          <cell r="F174">
            <v>0</v>
          </cell>
          <cell r="G174">
            <v>0</v>
          </cell>
          <cell r="H174">
            <v>0</v>
          </cell>
          <cell r="I174">
            <v>0</v>
          </cell>
          <cell r="J174">
            <v>14060.593917840954</v>
          </cell>
        </row>
        <row r="175">
          <cell r="A175">
            <v>158</v>
          </cell>
          <cell r="B175">
            <v>43770</v>
          </cell>
          <cell r="C175">
            <v>0</v>
          </cell>
          <cell r="D175">
            <v>1440.7285040253385</v>
          </cell>
          <cell r="E175">
            <v>0</v>
          </cell>
          <cell r="F175">
            <v>0</v>
          </cell>
          <cell r="G175">
            <v>0</v>
          </cell>
          <cell r="H175">
            <v>0</v>
          </cell>
          <cell r="I175">
            <v>0</v>
          </cell>
          <cell r="J175">
            <v>14060.593917840954</v>
          </cell>
        </row>
        <row r="176">
          <cell r="A176">
            <v>159</v>
          </cell>
          <cell r="B176">
            <v>43800</v>
          </cell>
          <cell r="C176">
            <v>0</v>
          </cell>
          <cell r="D176">
            <v>1440.7285040253385</v>
          </cell>
          <cell r="E176">
            <v>0</v>
          </cell>
          <cell r="F176">
            <v>0</v>
          </cell>
          <cell r="G176">
            <v>0</v>
          </cell>
          <cell r="H176">
            <v>0</v>
          </cell>
          <cell r="I176">
            <v>0</v>
          </cell>
          <cell r="J176">
            <v>14060.593917840954</v>
          </cell>
        </row>
        <row r="177">
          <cell r="A177">
            <v>160</v>
          </cell>
          <cell r="B177">
            <v>43831</v>
          </cell>
          <cell r="C177">
            <v>0</v>
          </cell>
          <cell r="D177">
            <v>1440.7285040253385</v>
          </cell>
          <cell r="E177">
            <v>0</v>
          </cell>
          <cell r="F177">
            <v>0</v>
          </cell>
          <cell r="G177">
            <v>0</v>
          </cell>
          <cell r="H177">
            <v>0</v>
          </cell>
          <cell r="I177">
            <v>0</v>
          </cell>
          <cell r="J177">
            <v>14060.593917840954</v>
          </cell>
        </row>
        <row r="178">
          <cell r="A178">
            <v>161</v>
          </cell>
          <cell r="B178">
            <v>43862</v>
          </cell>
          <cell r="C178">
            <v>0</v>
          </cell>
          <cell r="D178">
            <v>1440.7285040253385</v>
          </cell>
          <cell r="E178">
            <v>0</v>
          </cell>
          <cell r="F178">
            <v>0</v>
          </cell>
          <cell r="G178">
            <v>0</v>
          </cell>
          <cell r="H178">
            <v>0</v>
          </cell>
          <cell r="I178">
            <v>0</v>
          </cell>
          <cell r="J178">
            <v>14060.593917840954</v>
          </cell>
        </row>
        <row r="179">
          <cell r="A179">
            <v>162</v>
          </cell>
          <cell r="B179">
            <v>43891</v>
          </cell>
          <cell r="C179">
            <v>0</v>
          </cell>
          <cell r="D179">
            <v>1440.7285040253385</v>
          </cell>
          <cell r="E179">
            <v>0</v>
          </cell>
          <cell r="F179">
            <v>0</v>
          </cell>
          <cell r="G179">
            <v>0</v>
          </cell>
          <cell r="H179">
            <v>0</v>
          </cell>
          <cell r="I179">
            <v>0</v>
          </cell>
          <cell r="J179">
            <v>14060.593917840954</v>
          </cell>
        </row>
        <row r="180">
          <cell r="A180">
            <v>163</v>
          </cell>
          <cell r="B180">
            <v>43922</v>
          </cell>
          <cell r="C180">
            <v>0</v>
          </cell>
          <cell r="D180">
            <v>1440.7285040253385</v>
          </cell>
          <cell r="E180">
            <v>0</v>
          </cell>
          <cell r="F180">
            <v>0</v>
          </cell>
          <cell r="G180">
            <v>0</v>
          </cell>
          <cell r="H180">
            <v>0</v>
          </cell>
          <cell r="I180">
            <v>0</v>
          </cell>
          <cell r="J180">
            <v>14060.593917840954</v>
          </cell>
        </row>
        <row r="181">
          <cell r="A181">
            <v>164</v>
          </cell>
          <cell r="B181">
            <v>43952</v>
          </cell>
          <cell r="C181">
            <v>0</v>
          </cell>
          <cell r="D181">
            <v>1440.7285040253385</v>
          </cell>
          <cell r="E181">
            <v>0</v>
          </cell>
          <cell r="F181">
            <v>0</v>
          </cell>
          <cell r="G181">
            <v>0</v>
          </cell>
          <cell r="H181">
            <v>0</v>
          </cell>
          <cell r="I181">
            <v>0</v>
          </cell>
          <cell r="J181">
            <v>14060.593917840954</v>
          </cell>
        </row>
        <row r="182">
          <cell r="A182">
            <v>165</v>
          </cell>
          <cell r="B182">
            <v>43983</v>
          </cell>
          <cell r="C182">
            <v>0</v>
          </cell>
          <cell r="D182">
            <v>1440.7285040253385</v>
          </cell>
          <cell r="E182">
            <v>0</v>
          </cell>
          <cell r="F182">
            <v>0</v>
          </cell>
          <cell r="G182">
            <v>0</v>
          </cell>
          <cell r="H182">
            <v>0</v>
          </cell>
          <cell r="I182">
            <v>0</v>
          </cell>
          <cell r="J182">
            <v>14060.593917840954</v>
          </cell>
        </row>
        <row r="183">
          <cell r="A183">
            <v>166</v>
          </cell>
          <cell r="B183">
            <v>44013</v>
          </cell>
          <cell r="C183">
            <v>0</v>
          </cell>
          <cell r="D183">
            <v>1440.7285040253385</v>
          </cell>
          <cell r="E183">
            <v>0</v>
          </cell>
          <cell r="F183">
            <v>0</v>
          </cell>
          <cell r="G183">
            <v>0</v>
          </cell>
          <cell r="H183">
            <v>0</v>
          </cell>
          <cell r="I183">
            <v>0</v>
          </cell>
          <cell r="J183">
            <v>14060.593917840954</v>
          </cell>
        </row>
        <row r="184">
          <cell r="A184">
            <v>167</v>
          </cell>
          <cell r="B184">
            <v>44044</v>
          </cell>
          <cell r="C184">
            <v>0</v>
          </cell>
          <cell r="D184">
            <v>1440.7285040253385</v>
          </cell>
          <cell r="E184">
            <v>0</v>
          </cell>
          <cell r="F184">
            <v>0</v>
          </cell>
          <cell r="G184">
            <v>0</v>
          </cell>
          <cell r="H184">
            <v>0</v>
          </cell>
          <cell r="I184">
            <v>0</v>
          </cell>
          <cell r="J184">
            <v>14060.593917840954</v>
          </cell>
        </row>
        <row r="185">
          <cell r="A185">
            <v>168</v>
          </cell>
          <cell r="B185">
            <v>44075</v>
          </cell>
          <cell r="C185">
            <v>0</v>
          </cell>
          <cell r="D185">
            <v>1440.7285040253385</v>
          </cell>
          <cell r="E185">
            <v>0</v>
          </cell>
          <cell r="F185">
            <v>0</v>
          </cell>
          <cell r="G185">
            <v>0</v>
          </cell>
          <cell r="H185">
            <v>0</v>
          </cell>
          <cell r="I185">
            <v>0</v>
          </cell>
          <cell r="J185">
            <v>14060.593917840954</v>
          </cell>
        </row>
        <row r="186">
          <cell r="A186">
            <v>169</v>
          </cell>
          <cell r="B186">
            <v>44105</v>
          </cell>
          <cell r="C186">
            <v>0</v>
          </cell>
          <cell r="D186">
            <v>1440.7285040253385</v>
          </cell>
          <cell r="E186">
            <v>0</v>
          </cell>
          <cell r="F186">
            <v>0</v>
          </cell>
          <cell r="G186">
            <v>0</v>
          </cell>
          <cell r="H186">
            <v>0</v>
          </cell>
          <cell r="I186">
            <v>0</v>
          </cell>
          <cell r="J186">
            <v>14060.593917840954</v>
          </cell>
        </row>
        <row r="187">
          <cell r="A187">
            <v>170</v>
          </cell>
          <cell r="B187">
            <v>44136</v>
          </cell>
          <cell r="C187">
            <v>0</v>
          </cell>
          <cell r="D187">
            <v>1440.7285040253385</v>
          </cell>
          <cell r="E187">
            <v>0</v>
          </cell>
          <cell r="F187">
            <v>0</v>
          </cell>
          <cell r="G187">
            <v>0</v>
          </cell>
          <cell r="H187">
            <v>0</v>
          </cell>
          <cell r="I187">
            <v>0</v>
          </cell>
          <cell r="J187">
            <v>14060.593917840954</v>
          </cell>
        </row>
        <row r="188">
          <cell r="A188">
            <v>171</v>
          </cell>
          <cell r="B188">
            <v>44166</v>
          </cell>
          <cell r="C188">
            <v>0</v>
          </cell>
          <cell r="D188">
            <v>1440.7285040253385</v>
          </cell>
          <cell r="E188">
            <v>0</v>
          </cell>
          <cell r="F188">
            <v>0</v>
          </cell>
          <cell r="G188">
            <v>0</v>
          </cell>
          <cell r="H188">
            <v>0</v>
          </cell>
          <cell r="I188">
            <v>0</v>
          </cell>
          <cell r="J188">
            <v>14060.593917840954</v>
          </cell>
        </row>
        <row r="189">
          <cell r="A189">
            <v>172</v>
          </cell>
          <cell r="B189">
            <v>44197</v>
          </cell>
          <cell r="C189">
            <v>0</v>
          </cell>
          <cell r="D189">
            <v>1440.7285040253385</v>
          </cell>
          <cell r="E189">
            <v>0</v>
          </cell>
          <cell r="F189">
            <v>0</v>
          </cell>
          <cell r="G189">
            <v>0</v>
          </cell>
          <cell r="H189">
            <v>0</v>
          </cell>
          <cell r="I189">
            <v>0</v>
          </cell>
          <cell r="J189">
            <v>14060.593917840954</v>
          </cell>
        </row>
        <row r="190">
          <cell r="A190">
            <v>173</v>
          </cell>
          <cell r="B190">
            <v>44228</v>
          </cell>
          <cell r="C190">
            <v>0</v>
          </cell>
          <cell r="D190">
            <v>1440.7285040253385</v>
          </cell>
          <cell r="E190">
            <v>0</v>
          </cell>
          <cell r="F190">
            <v>0</v>
          </cell>
          <cell r="G190">
            <v>0</v>
          </cell>
          <cell r="H190">
            <v>0</v>
          </cell>
          <cell r="I190">
            <v>0</v>
          </cell>
          <cell r="J190">
            <v>14060.593917840954</v>
          </cell>
        </row>
        <row r="191">
          <cell r="A191">
            <v>174</v>
          </cell>
          <cell r="B191">
            <v>44256</v>
          </cell>
          <cell r="C191">
            <v>0</v>
          </cell>
          <cell r="D191">
            <v>1440.7285040253385</v>
          </cell>
          <cell r="E191">
            <v>0</v>
          </cell>
          <cell r="F191">
            <v>0</v>
          </cell>
          <cell r="G191">
            <v>0</v>
          </cell>
          <cell r="H191">
            <v>0</v>
          </cell>
          <cell r="I191">
            <v>0</v>
          </cell>
          <cell r="J191">
            <v>14060.593917840954</v>
          </cell>
        </row>
        <row r="192">
          <cell r="A192">
            <v>175</v>
          </cell>
          <cell r="B192">
            <v>44287</v>
          </cell>
          <cell r="C192">
            <v>0</v>
          </cell>
          <cell r="D192">
            <v>1440.7285040253385</v>
          </cell>
          <cell r="E192">
            <v>0</v>
          </cell>
          <cell r="F192">
            <v>0</v>
          </cell>
          <cell r="G192">
            <v>0</v>
          </cell>
          <cell r="H192">
            <v>0</v>
          </cell>
          <cell r="I192">
            <v>0</v>
          </cell>
          <cell r="J192">
            <v>14060.593917840954</v>
          </cell>
        </row>
        <row r="193">
          <cell r="A193">
            <v>176</v>
          </cell>
          <cell r="B193">
            <v>44317</v>
          </cell>
          <cell r="C193">
            <v>0</v>
          </cell>
          <cell r="D193">
            <v>1440.7285040253385</v>
          </cell>
          <cell r="E193">
            <v>0</v>
          </cell>
          <cell r="F193">
            <v>0</v>
          </cell>
          <cell r="G193">
            <v>0</v>
          </cell>
          <cell r="H193">
            <v>0</v>
          </cell>
          <cell r="I193">
            <v>0</v>
          </cell>
          <cell r="J193">
            <v>14060.593917840954</v>
          </cell>
        </row>
        <row r="194">
          <cell r="A194">
            <v>177</v>
          </cell>
          <cell r="B194">
            <v>44348</v>
          </cell>
          <cell r="C194">
            <v>0</v>
          </cell>
          <cell r="D194">
            <v>1440.7285040253385</v>
          </cell>
          <cell r="E194">
            <v>0</v>
          </cell>
          <cell r="F194">
            <v>0</v>
          </cell>
          <cell r="G194">
            <v>0</v>
          </cell>
          <cell r="H194">
            <v>0</v>
          </cell>
          <cell r="I194">
            <v>0</v>
          </cell>
          <cell r="J194">
            <v>14060.593917840954</v>
          </cell>
        </row>
        <row r="195">
          <cell r="A195">
            <v>178</v>
          </cell>
          <cell r="B195">
            <v>44378</v>
          </cell>
          <cell r="C195">
            <v>0</v>
          </cell>
          <cell r="D195">
            <v>1440.7285040253385</v>
          </cell>
          <cell r="E195">
            <v>0</v>
          </cell>
          <cell r="F195">
            <v>0</v>
          </cell>
          <cell r="G195">
            <v>0</v>
          </cell>
          <cell r="H195">
            <v>0</v>
          </cell>
          <cell r="I195">
            <v>0</v>
          </cell>
          <cell r="J195">
            <v>14060.593917840954</v>
          </cell>
        </row>
        <row r="196">
          <cell r="A196">
            <v>179</v>
          </cell>
          <cell r="B196">
            <v>44409</v>
          </cell>
          <cell r="C196">
            <v>0</v>
          </cell>
          <cell r="D196">
            <v>1440.7285040253385</v>
          </cell>
          <cell r="E196">
            <v>0</v>
          </cell>
          <cell r="F196">
            <v>0</v>
          </cell>
          <cell r="G196">
            <v>0</v>
          </cell>
          <cell r="H196">
            <v>0</v>
          </cell>
          <cell r="I196">
            <v>0</v>
          </cell>
          <cell r="J196">
            <v>14060.593917840954</v>
          </cell>
        </row>
        <row r="197">
          <cell r="A197">
            <v>180</v>
          </cell>
          <cell r="B197">
            <v>44440</v>
          </cell>
          <cell r="C197">
            <v>0</v>
          </cell>
          <cell r="D197">
            <v>1440.7285040253385</v>
          </cell>
          <cell r="E197">
            <v>0</v>
          </cell>
          <cell r="F197">
            <v>0</v>
          </cell>
          <cell r="G197">
            <v>0</v>
          </cell>
          <cell r="H197">
            <v>0</v>
          </cell>
          <cell r="I197">
            <v>0</v>
          </cell>
          <cell r="J197">
            <v>14060.593917840954</v>
          </cell>
        </row>
        <row r="198">
          <cell r="A198">
            <v>181</v>
          </cell>
          <cell r="B198">
            <v>44470</v>
          </cell>
          <cell r="C198">
            <v>0</v>
          </cell>
          <cell r="D198">
            <v>1440.7285040253385</v>
          </cell>
          <cell r="E198">
            <v>0</v>
          </cell>
          <cell r="F198">
            <v>0</v>
          </cell>
          <cell r="G198">
            <v>0</v>
          </cell>
          <cell r="H198">
            <v>0</v>
          </cell>
          <cell r="I198">
            <v>0</v>
          </cell>
          <cell r="J198">
            <v>14060.593917840954</v>
          </cell>
        </row>
        <row r="199">
          <cell r="A199">
            <v>182</v>
          </cell>
          <cell r="B199">
            <v>44501</v>
          </cell>
          <cell r="C199">
            <v>0</v>
          </cell>
          <cell r="D199">
            <v>1440.7285040253385</v>
          </cell>
          <cell r="E199">
            <v>0</v>
          </cell>
          <cell r="F199">
            <v>0</v>
          </cell>
          <cell r="G199">
            <v>0</v>
          </cell>
          <cell r="H199">
            <v>0</v>
          </cell>
          <cell r="I199">
            <v>0</v>
          </cell>
          <cell r="J199">
            <v>14060.593917840954</v>
          </cell>
        </row>
        <row r="200">
          <cell r="A200">
            <v>183</v>
          </cell>
          <cell r="B200">
            <v>44531</v>
          </cell>
          <cell r="C200">
            <v>0</v>
          </cell>
          <cell r="D200">
            <v>1440.7285040253385</v>
          </cell>
          <cell r="E200">
            <v>0</v>
          </cell>
          <cell r="F200">
            <v>0</v>
          </cell>
          <cell r="G200">
            <v>0</v>
          </cell>
          <cell r="H200">
            <v>0</v>
          </cell>
          <cell r="I200">
            <v>0</v>
          </cell>
          <cell r="J200">
            <v>14060.593917840954</v>
          </cell>
        </row>
        <row r="201">
          <cell r="A201">
            <v>184</v>
          </cell>
          <cell r="B201">
            <v>44562</v>
          </cell>
          <cell r="C201">
            <v>0</v>
          </cell>
          <cell r="D201">
            <v>1440.7285040253385</v>
          </cell>
          <cell r="E201">
            <v>0</v>
          </cell>
          <cell r="F201">
            <v>0</v>
          </cell>
          <cell r="G201">
            <v>0</v>
          </cell>
          <cell r="H201">
            <v>0</v>
          </cell>
          <cell r="I201">
            <v>0</v>
          </cell>
          <cell r="J201">
            <v>14060.593917840954</v>
          </cell>
        </row>
        <row r="202">
          <cell r="A202">
            <v>185</v>
          </cell>
          <cell r="B202">
            <v>44593</v>
          </cell>
          <cell r="C202">
            <v>0</v>
          </cell>
          <cell r="D202">
            <v>1440.7285040253385</v>
          </cell>
          <cell r="E202">
            <v>0</v>
          </cell>
          <cell r="F202">
            <v>0</v>
          </cell>
          <cell r="G202">
            <v>0</v>
          </cell>
          <cell r="H202">
            <v>0</v>
          </cell>
          <cell r="I202">
            <v>0</v>
          </cell>
          <cell r="J202">
            <v>14060.593917840954</v>
          </cell>
        </row>
        <row r="203">
          <cell r="A203">
            <v>186</v>
          </cell>
          <cell r="B203">
            <v>44621</v>
          </cell>
          <cell r="C203">
            <v>0</v>
          </cell>
          <cell r="D203">
            <v>1440.7285040253385</v>
          </cell>
          <cell r="E203">
            <v>0</v>
          </cell>
          <cell r="F203">
            <v>0</v>
          </cell>
          <cell r="G203">
            <v>0</v>
          </cell>
          <cell r="H203">
            <v>0</v>
          </cell>
          <cell r="I203">
            <v>0</v>
          </cell>
          <cell r="J203">
            <v>14060.593917840954</v>
          </cell>
        </row>
        <row r="204">
          <cell r="A204">
            <v>187</v>
          </cell>
          <cell r="B204">
            <v>44652</v>
          </cell>
          <cell r="C204">
            <v>0</v>
          </cell>
          <cell r="D204">
            <v>1440.7285040253385</v>
          </cell>
          <cell r="E204">
            <v>0</v>
          </cell>
          <cell r="F204">
            <v>0</v>
          </cell>
          <cell r="G204">
            <v>0</v>
          </cell>
          <cell r="H204">
            <v>0</v>
          </cell>
          <cell r="I204">
            <v>0</v>
          </cell>
          <cell r="J204">
            <v>14060.593917840954</v>
          </cell>
        </row>
        <row r="205">
          <cell r="A205">
            <v>188</v>
          </cell>
          <cell r="B205">
            <v>44682</v>
          </cell>
          <cell r="C205">
            <v>0</v>
          </cell>
          <cell r="D205">
            <v>1440.7285040253385</v>
          </cell>
          <cell r="E205">
            <v>0</v>
          </cell>
          <cell r="F205">
            <v>0</v>
          </cell>
          <cell r="G205">
            <v>0</v>
          </cell>
          <cell r="H205">
            <v>0</v>
          </cell>
          <cell r="I205">
            <v>0</v>
          </cell>
          <cell r="J205">
            <v>14060.593917840954</v>
          </cell>
        </row>
        <row r="206">
          <cell r="A206">
            <v>189</v>
          </cell>
          <cell r="B206">
            <v>44713</v>
          </cell>
          <cell r="C206">
            <v>0</v>
          </cell>
          <cell r="D206">
            <v>1440.7285040253385</v>
          </cell>
          <cell r="E206">
            <v>0</v>
          </cell>
          <cell r="F206">
            <v>0</v>
          </cell>
          <cell r="G206">
            <v>0</v>
          </cell>
          <cell r="H206">
            <v>0</v>
          </cell>
          <cell r="I206">
            <v>0</v>
          </cell>
          <cell r="J206">
            <v>14060.593917840954</v>
          </cell>
        </row>
        <row r="207">
          <cell r="A207">
            <v>190</v>
          </cell>
          <cell r="B207">
            <v>44743</v>
          </cell>
          <cell r="C207">
            <v>0</v>
          </cell>
          <cell r="D207">
            <v>1440.7285040253385</v>
          </cell>
          <cell r="E207">
            <v>0</v>
          </cell>
          <cell r="F207">
            <v>0</v>
          </cell>
          <cell r="G207">
            <v>0</v>
          </cell>
          <cell r="H207">
            <v>0</v>
          </cell>
          <cell r="I207">
            <v>0</v>
          </cell>
          <cell r="J207">
            <v>14060.593917840954</v>
          </cell>
        </row>
        <row r="208">
          <cell r="A208">
            <v>191</v>
          </cell>
          <cell r="B208">
            <v>44774</v>
          </cell>
          <cell r="C208">
            <v>0</v>
          </cell>
          <cell r="D208">
            <v>1440.7285040253385</v>
          </cell>
          <cell r="E208">
            <v>0</v>
          </cell>
          <cell r="F208">
            <v>0</v>
          </cell>
          <cell r="G208">
            <v>0</v>
          </cell>
          <cell r="H208">
            <v>0</v>
          </cell>
          <cell r="I208">
            <v>0</v>
          </cell>
          <cell r="J208">
            <v>14060.593917840954</v>
          </cell>
        </row>
        <row r="209">
          <cell r="A209">
            <v>192</v>
          </cell>
          <cell r="B209">
            <v>44805</v>
          </cell>
          <cell r="C209">
            <v>0</v>
          </cell>
          <cell r="D209">
            <v>1440.7285040253385</v>
          </cell>
          <cell r="E209">
            <v>0</v>
          </cell>
          <cell r="F209">
            <v>0</v>
          </cell>
          <cell r="G209">
            <v>0</v>
          </cell>
          <cell r="H209">
            <v>0</v>
          </cell>
          <cell r="I209">
            <v>0</v>
          </cell>
          <cell r="J209">
            <v>14060.593917840954</v>
          </cell>
        </row>
        <row r="210">
          <cell r="A210">
            <v>193</v>
          </cell>
          <cell r="B210">
            <v>44835</v>
          </cell>
          <cell r="C210">
            <v>0</v>
          </cell>
          <cell r="D210">
            <v>1440.7285040253385</v>
          </cell>
          <cell r="E210">
            <v>0</v>
          </cell>
          <cell r="F210">
            <v>0</v>
          </cell>
          <cell r="G210">
            <v>0</v>
          </cell>
          <cell r="H210">
            <v>0</v>
          </cell>
          <cell r="I210">
            <v>0</v>
          </cell>
          <cell r="J210">
            <v>14060.593917840954</v>
          </cell>
        </row>
        <row r="211">
          <cell r="A211">
            <v>194</v>
          </cell>
          <cell r="B211">
            <v>44866</v>
          </cell>
          <cell r="C211">
            <v>0</v>
          </cell>
          <cell r="D211">
            <v>1440.7285040253385</v>
          </cell>
          <cell r="E211">
            <v>0</v>
          </cell>
          <cell r="F211">
            <v>0</v>
          </cell>
          <cell r="G211">
            <v>0</v>
          </cell>
          <cell r="H211">
            <v>0</v>
          </cell>
          <cell r="I211">
            <v>0</v>
          </cell>
          <cell r="J211">
            <v>14060.593917840954</v>
          </cell>
        </row>
        <row r="212">
          <cell r="A212">
            <v>195</v>
          </cell>
          <cell r="B212">
            <v>44896</v>
          </cell>
          <cell r="C212">
            <v>0</v>
          </cell>
          <cell r="D212">
            <v>1440.7285040253385</v>
          </cell>
          <cell r="E212">
            <v>0</v>
          </cell>
          <cell r="F212">
            <v>0</v>
          </cell>
          <cell r="G212">
            <v>0</v>
          </cell>
          <cell r="H212">
            <v>0</v>
          </cell>
          <cell r="I212">
            <v>0</v>
          </cell>
          <cell r="J212">
            <v>14060.593917840954</v>
          </cell>
        </row>
        <row r="213">
          <cell r="A213">
            <v>196</v>
          </cell>
          <cell r="B213">
            <v>44927</v>
          </cell>
          <cell r="C213">
            <v>0</v>
          </cell>
          <cell r="D213">
            <v>1440.7285040253385</v>
          </cell>
          <cell r="E213">
            <v>0</v>
          </cell>
          <cell r="F213">
            <v>0</v>
          </cell>
          <cell r="G213">
            <v>0</v>
          </cell>
          <cell r="H213">
            <v>0</v>
          </cell>
          <cell r="I213">
            <v>0</v>
          </cell>
          <cell r="J213">
            <v>14060.593917840954</v>
          </cell>
        </row>
        <row r="214">
          <cell r="A214">
            <v>197</v>
          </cell>
          <cell r="B214">
            <v>44958</v>
          </cell>
          <cell r="C214">
            <v>0</v>
          </cell>
          <cell r="D214">
            <v>1440.7285040253385</v>
          </cell>
          <cell r="E214">
            <v>0</v>
          </cell>
          <cell r="F214">
            <v>0</v>
          </cell>
          <cell r="G214">
            <v>0</v>
          </cell>
          <cell r="H214">
            <v>0</v>
          </cell>
          <cell r="I214">
            <v>0</v>
          </cell>
          <cell r="J214">
            <v>14060.593917840954</v>
          </cell>
        </row>
        <row r="215">
          <cell r="A215">
            <v>198</v>
          </cell>
          <cell r="B215">
            <v>44986</v>
          </cell>
          <cell r="C215">
            <v>0</v>
          </cell>
          <cell r="D215">
            <v>1440.7285040253385</v>
          </cell>
          <cell r="E215">
            <v>0</v>
          </cell>
          <cell r="F215">
            <v>0</v>
          </cell>
          <cell r="G215">
            <v>0</v>
          </cell>
          <cell r="H215">
            <v>0</v>
          </cell>
          <cell r="I215">
            <v>0</v>
          </cell>
          <cell r="J215">
            <v>14060.593917840954</v>
          </cell>
        </row>
        <row r="216">
          <cell r="A216">
            <v>199</v>
          </cell>
          <cell r="B216">
            <v>45017</v>
          </cell>
          <cell r="C216">
            <v>0</v>
          </cell>
          <cell r="D216">
            <v>1440.7285040253385</v>
          </cell>
          <cell r="E216">
            <v>0</v>
          </cell>
          <cell r="F216">
            <v>0</v>
          </cell>
          <cell r="G216">
            <v>0</v>
          </cell>
          <cell r="H216">
            <v>0</v>
          </cell>
          <cell r="I216">
            <v>0</v>
          </cell>
          <cell r="J216">
            <v>14060.593917840954</v>
          </cell>
        </row>
        <row r="217">
          <cell r="A217">
            <v>200</v>
          </cell>
          <cell r="B217">
            <v>45047</v>
          </cell>
          <cell r="C217">
            <v>0</v>
          </cell>
          <cell r="D217">
            <v>1440.7285040253385</v>
          </cell>
          <cell r="E217">
            <v>0</v>
          </cell>
          <cell r="F217">
            <v>0</v>
          </cell>
          <cell r="G217">
            <v>0</v>
          </cell>
          <cell r="H217">
            <v>0</v>
          </cell>
          <cell r="I217">
            <v>0</v>
          </cell>
          <cell r="J217">
            <v>14060.593917840954</v>
          </cell>
        </row>
        <row r="218">
          <cell r="A218">
            <v>201</v>
          </cell>
          <cell r="B218">
            <v>45078</v>
          </cell>
          <cell r="C218">
            <v>0</v>
          </cell>
          <cell r="D218">
            <v>1440.7285040253385</v>
          </cell>
          <cell r="E218">
            <v>0</v>
          </cell>
          <cell r="F218">
            <v>0</v>
          </cell>
          <cell r="G218">
            <v>0</v>
          </cell>
          <cell r="H218">
            <v>0</v>
          </cell>
          <cell r="I218">
            <v>0</v>
          </cell>
          <cell r="J218">
            <v>14060.593917840954</v>
          </cell>
        </row>
        <row r="219">
          <cell r="A219">
            <v>202</v>
          </cell>
          <cell r="B219">
            <v>45108</v>
          </cell>
          <cell r="C219">
            <v>0</v>
          </cell>
          <cell r="D219">
            <v>1440.7285040253385</v>
          </cell>
          <cell r="E219">
            <v>0</v>
          </cell>
          <cell r="F219">
            <v>0</v>
          </cell>
          <cell r="G219">
            <v>0</v>
          </cell>
          <cell r="H219">
            <v>0</v>
          </cell>
          <cell r="I219">
            <v>0</v>
          </cell>
          <cell r="J219">
            <v>14060.593917840954</v>
          </cell>
        </row>
        <row r="220">
          <cell r="A220">
            <v>203</v>
          </cell>
          <cell r="B220">
            <v>45139</v>
          </cell>
          <cell r="C220">
            <v>0</v>
          </cell>
          <cell r="D220">
            <v>1440.7285040253385</v>
          </cell>
          <cell r="E220">
            <v>0</v>
          </cell>
          <cell r="F220">
            <v>0</v>
          </cell>
          <cell r="G220">
            <v>0</v>
          </cell>
          <cell r="H220">
            <v>0</v>
          </cell>
          <cell r="I220">
            <v>0</v>
          </cell>
          <cell r="J220">
            <v>14060.593917840954</v>
          </cell>
        </row>
        <row r="221">
          <cell r="A221">
            <v>204</v>
          </cell>
          <cell r="B221">
            <v>45170</v>
          </cell>
          <cell r="C221">
            <v>0</v>
          </cell>
          <cell r="D221">
            <v>1440.7285040253385</v>
          </cell>
          <cell r="E221">
            <v>0</v>
          </cell>
          <cell r="F221">
            <v>0</v>
          </cell>
          <cell r="G221">
            <v>0</v>
          </cell>
          <cell r="H221">
            <v>0</v>
          </cell>
          <cell r="I221">
            <v>0</v>
          </cell>
          <cell r="J221">
            <v>14060.593917840954</v>
          </cell>
        </row>
        <row r="222">
          <cell r="A222">
            <v>205</v>
          </cell>
          <cell r="B222">
            <v>45200</v>
          </cell>
          <cell r="C222">
            <v>0</v>
          </cell>
          <cell r="D222">
            <v>1440.7285040253385</v>
          </cell>
          <cell r="E222">
            <v>0</v>
          </cell>
          <cell r="F222">
            <v>0</v>
          </cell>
          <cell r="G222">
            <v>0</v>
          </cell>
          <cell r="H222">
            <v>0</v>
          </cell>
          <cell r="I222">
            <v>0</v>
          </cell>
          <cell r="J222">
            <v>14060.593917840954</v>
          </cell>
        </row>
        <row r="223">
          <cell r="A223">
            <v>206</v>
          </cell>
          <cell r="B223">
            <v>45231</v>
          </cell>
          <cell r="C223">
            <v>0</v>
          </cell>
          <cell r="D223">
            <v>1440.7285040253385</v>
          </cell>
          <cell r="E223">
            <v>0</v>
          </cell>
          <cell r="F223">
            <v>0</v>
          </cell>
          <cell r="G223">
            <v>0</v>
          </cell>
          <cell r="H223">
            <v>0</v>
          </cell>
          <cell r="I223">
            <v>0</v>
          </cell>
          <cell r="J223">
            <v>14060.593917840954</v>
          </cell>
        </row>
        <row r="224">
          <cell r="A224">
            <v>207</v>
          </cell>
          <cell r="B224">
            <v>45261</v>
          </cell>
          <cell r="C224">
            <v>0</v>
          </cell>
          <cell r="D224">
            <v>1440.7285040253385</v>
          </cell>
          <cell r="E224">
            <v>0</v>
          </cell>
          <cell r="F224">
            <v>0</v>
          </cell>
          <cell r="G224">
            <v>0</v>
          </cell>
          <cell r="H224">
            <v>0</v>
          </cell>
          <cell r="I224">
            <v>0</v>
          </cell>
          <cell r="J224">
            <v>14060.593917840954</v>
          </cell>
        </row>
        <row r="225">
          <cell r="A225">
            <v>208</v>
          </cell>
          <cell r="B225">
            <v>45292</v>
          </cell>
          <cell r="C225">
            <v>0</v>
          </cell>
          <cell r="D225">
            <v>1440.7285040253385</v>
          </cell>
          <cell r="E225">
            <v>0</v>
          </cell>
          <cell r="F225">
            <v>0</v>
          </cell>
          <cell r="G225">
            <v>0</v>
          </cell>
          <cell r="H225">
            <v>0</v>
          </cell>
          <cell r="I225">
            <v>0</v>
          </cell>
          <cell r="J225">
            <v>14060.593917840954</v>
          </cell>
        </row>
        <row r="226">
          <cell r="A226">
            <v>209</v>
          </cell>
          <cell r="B226">
            <v>45323</v>
          </cell>
          <cell r="C226">
            <v>0</v>
          </cell>
          <cell r="D226">
            <v>1440.7285040253385</v>
          </cell>
          <cell r="E226">
            <v>0</v>
          </cell>
          <cell r="F226">
            <v>0</v>
          </cell>
          <cell r="G226">
            <v>0</v>
          </cell>
          <cell r="H226">
            <v>0</v>
          </cell>
          <cell r="I226">
            <v>0</v>
          </cell>
          <cell r="J226">
            <v>14060.593917840954</v>
          </cell>
        </row>
        <row r="227">
          <cell r="A227">
            <v>210</v>
          </cell>
          <cell r="B227">
            <v>45352</v>
          </cell>
          <cell r="C227">
            <v>0</v>
          </cell>
          <cell r="D227">
            <v>1440.7285040253385</v>
          </cell>
          <cell r="E227">
            <v>0</v>
          </cell>
          <cell r="F227">
            <v>0</v>
          </cell>
          <cell r="G227">
            <v>0</v>
          </cell>
          <cell r="H227">
            <v>0</v>
          </cell>
          <cell r="I227">
            <v>0</v>
          </cell>
          <cell r="J227">
            <v>14060.593917840954</v>
          </cell>
        </row>
        <row r="228">
          <cell r="A228">
            <v>211</v>
          </cell>
          <cell r="B228">
            <v>45383</v>
          </cell>
          <cell r="C228">
            <v>0</v>
          </cell>
          <cell r="D228">
            <v>1440.7285040253385</v>
          </cell>
          <cell r="E228">
            <v>0</v>
          </cell>
          <cell r="F228">
            <v>0</v>
          </cell>
          <cell r="G228">
            <v>0</v>
          </cell>
          <cell r="H228">
            <v>0</v>
          </cell>
          <cell r="I228">
            <v>0</v>
          </cell>
          <cell r="J228">
            <v>14060.593917840954</v>
          </cell>
        </row>
        <row r="229">
          <cell r="A229">
            <v>212</v>
          </cell>
          <cell r="B229">
            <v>45413</v>
          </cell>
          <cell r="C229">
            <v>0</v>
          </cell>
          <cell r="D229">
            <v>1440.7285040253385</v>
          </cell>
          <cell r="E229">
            <v>0</v>
          </cell>
          <cell r="F229">
            <v>0</v>
          </cell>
          <cell r="G229">
            <v>0</v>
          </cell>
          <cell r="H229">
            <v>0</v>
          </cell>
          <cell r="I229">
            <v>0</v>
          </cell>
          <cell r="J229">
            <v>14060.593917840954</v>
          </cell>
        </row>
        <row r="230">
          <cell r="A230">
            <v>213</v>
          </cell>
          <cell r="B230">
            <v>45444</v>
          </cell>
          <cell r="C230">
            <v>0</v>
          </cell>
          <cell r="D230">
            <v>1440.7285040253385</v>
          </cell>
          <cell r="E230">
            <v>0</v>
          </cell>
          <cell r="F230">
            <v>0</v>
          </cell>
          <cell r="G230">
            <v>0</v>
          </cell>
          <cell r="H230">
            <v>0</v>
          </cell>
          <cell r="I230">
            <v>0</v>
          </cell>
          <cell r="J230">
            <v>14060.593917840954</v>
          </cell>
        </row>
        <row r="231">
          <cell r="A231">
            <v>214</v>
          </cell>
          <cell r="B231">
            <v>45474</v>
          </cell>
          <cell r="C231">
            <v>0</v>
          </cell>
          <cell r="D231">
            <v>1440.7285040253385</v>
          </cell>
          <cell r="E231">
            <v>0</v>
          </cell>
          <cell r="F231">
            <v>0</v>
          </cell>
          <cell r="G231">
            <v>0</v>
          </cell>
          <cell r="H231">
            <v>0</v>
          </cell>
          <cell r="I231">
            <v>0</v>
          </cell>
          <cell r="J231">
            <v>14060.593917840954</v>
          </cell>
        </row>
        <row r="232">
          <cell r="A232">
            <v>215</v>
          </cell>
          <cell r="B232">
            <v>45505</v>
          </cell>
          <cell r="C232">
            <v>0</v>
          </cell>
          <cell r="D232">
            <v>1440.7285040253385</v>
          </cell>
          <cell r="E232">
            <v>0</v>
          </cell>
          <cell r="F232">
            <v>0</v>
          </cell>
          <cell r="G232">
            <v>0</v>
          </cell>
          <cell r="H232">
            <v>0</v>
          </cell>
          <cell r="I232">
            <v>0</v>
          </cell>
          <cell r="J232">
            <v>14060.593917840954</v>
          </cell>
        </row>
        <row r="233">
          <cell r="A233">
            <v>216</v>
          </cell>
          <cell r="B233">
            <v>45536</v>
          </cell>
          <cell r="C233">
            <v>0</v>
          </cell>
          <cell r="D233">
            <v>1440.7285040253385</v>
          </cell>
          <cell r="E233">
            <v>0</v>
          </cell>
          <cell r="F233">
            <v>0</v>
          </cell>
          <cell r="G233">
            <v>0</v>
          </cell>
          <cell r="H233">
            <v>0</v>
          </cell>
          <cell r="I233">
            <v>0</v>
          </cell>
          <cell r="J233">
            <v>14060.593917840954</v>
          </cell>
        </row>
        <row r="234">
          <cell r="A234">
            <v>217</v>
          </cell>
          <cell r="B234">
            <v>45566</v>
          </cell>
          <cell r="C234">
            <v>0</v>
          </cell>
          <cell r="D234">
            <v>1440.7285040253385</v>
          </cell>
          <cell r="E234">
            <v>0</v>
          </cell>
          <cell r="F234">
            <v>0</v>
          </cell>
          <cell r="G234">
            <v>0</v>
          </cell>
          <cell r="H234">
            <v>0</v>
          </cell>
          <cell r="I234">
            <v>0</v>
          </cell>
          <cell r="J234">
            <v>14060.593917840954</v>
          </cell>
        </row>
        <row r="235">
          <cell r="A235">
            <v>218</v>
          </cell>
          <cell r="B235">
            <v>45597</v>
          </cell>
          <cell r="C235">
            <v>0</v>
          </cell>
          <cell r="D235">
            <v>1440.7285040253385</v>
          </cell>
          <cell r="E235">
            <v>0</v>
          </cell>
          <cell r="F235">
            <v>0</v>
          </cell>
          <cell r="G235">
            <v>0</v>
          </cell>
          <cell r="H235">
            <v>0</v>
          </cell>
          <cell r="I235">
            <v>0</v>
          </cell>
          <cell r="J235">
            <v>14060.593917840954</v>
          </cell>
        </row>
        <row r="236">
          <cell r="A236">
            <v>219</v>
          </cell>
          <cell r="B236">
            <v>45627</v>
          </cell>
          <cell r="C236">
            <v>0</v>
          </cell>
          <cell r="D236">
            <v>1440.7285040253385</v>
          </cell>
          <cell r="E236">
            <v>0</v>
          </cell>
          <cell r="F236">
            <v>0</v>
          </cell>
          <cell r="G236">
            <v>0</v>
          </cell>
          <cell r="H236">
            <v>0</v>
          </cell>
          <cell r="I236">
            <v>0</v>
          </cell>
          <cell r="J236">
            <v>14060.593917840954</v>
          </cell>
        </row>
        <row r="237">
          <cell r="A237">
            <v>220</v>
          </cell>
          <cell r="B237">
            <v>45658</v>
          </cell>
          <cell r="C237">
            <v>0</v>
          </cell>
          <cell r="D237">
            <v>1440.7285040253385</v>
          </cell>
          <cell r="E237">
            <v>0</v>
          </cell>
          <cell r="F237">
            <v>0</v>
          </cell>
          <cell r="G237">
            <v>0</v>
          </cell>
          <cell r="H237">
            <v>0</v>
          </cell>
          <cell r="I237">
            <v>0</v>
          </cell>
          <cell r="J237">
            <v>14060.593917840954</v>
          </cell>
        </row>
        <row r="238">
          <cell r="A238">
            <v>221</v>
          </cell>
          <cell r="B238">
            <v>45689</v>
          </cell>
          <cell r="C238">
            <v>0</v>
          </cell>
          <cell r="D238">
            <v>1440.7285040253385</v>
          </cell>
          <cell r="E238">
            <v>0</v>
          </cell>
          <cell r="F238">
            <v>0</v>
          </cell>
          <cell r="G238">
            <v>0</v>
          </cell>
          <cell r="H238">
            <v>0</v>
          </cell>
          <cell r="I238">
            <v>0</v>
          </cell>
          <cell r="J238">
            <v>14060.593917840954</v>
          </cell>
        </row>
        <row r="239">
          <cell r="A239">
            <v>222</v>
          </cell>
          <cell r="B239">
            <v>45717</v>
          </cell>
          <cell r="C239">
            <v>0</v>
          </cell>
          <cell r="D239">
            <v>1440.7285040253385</v>
          </cell>
          <cell r="E239">
            <v>0</v>
          </cell>
          <cell r="F239">
            <v>0</v>
          </cell>
          <cell r="G239">
            <v>0</v>
          </cell>
          <cell r="H239">
            <v>0</v>
          </cell>
          <cell r="I239">
            <v>0</v>
          </cell>
          <cell r="J239">
            <v>14060.593917840954</v>
          </cell>
        </row>
        <row r="240">
          <cell r="A240">
            <v>223</v>
          </cell>
          <cell r="B240">
            <v>45748</v>
          </cell>
          <cell r="C240">
            <v>0</v>
          </cell>
          <cell r="D240">
            <v>1440.7285040253385</v>
          </cell>
          <cell r="E240">
            <v>0</v>
          </cell>
          <cell r="F240">
            <v>0</v>
          </cell>
          <cell r="G240">
            <v>0</v>
          </cell>
          <cell r="H240">
            <v>0</v>
          </cell>
          <cell r="I240">
            <v>0</v>
          </cell>
          <cell r="J240">
            <v>14060.593917840954</v>
          </cell>
        </row>
        <row r="241">
          <cell r="A241">
            <v>224</v>
          </cell>
          <cell r="B241">
            <v>45778</v>
          </cell>
          <cell r="C241">
            <v>0</v>
          </cell>
          <cell r="D241">
            <v>1440.7285040253385</v>
          </cell>
          <cell r="E241">
            <v>0</v>
          </cell>
          <cell r="F241">
            <v>0</v>
          </cell>
          <cell r="G241">
            <v>0</v>
          </cell>
          <cell r="H241">
            <v>0</v>
          </cell>
          <cell r="I241">
            <v>0</v>
          </cell>
          <cell r="J241">
            <v>14060.593917840954</v>
          </cell>
        </row>
        <row r="242">
          <cell r="A242">
            <v>225</v>
          </cell>
          <cell r="B242">
            <v>45809</v>
          </cell>
          <cell r="C242">
            <v>0</v>
          </cell>
          <cell r="D242">
            <v>1440.7285040253385</v>
          </cell>
          <cell r="E242">
            <v>0</v>
          </cell>
          <cell r="F242">
            <v>0</v>
          </cell>
          <cell r="G242">
            <v>0</v>
          </cell>
          <cell r="H242">
            <v>0</v>
          </cell>
          <cell r="I242">
            <v>0</v>
          </cell>
          <cell r="J242">
            <v>14060.593917840954</v>
          </cell>
        </row>
        <row r="243">
          <cell r="A243">
            <v>226</v>
          </cell>
          <cell r="B243">
            <v>45839</v>
          </cell>
          <cell r="C243">
            <v>0</v>
          </cell>
          <cell r="D243">
            <v>1440.7285040253385</v>
          </cell>
          <cell r="E243">
            <v>0</v>
          </cell>
          <cell r="F243">
            <v>0</v>
          </cell>
          <cell r="G243">
            <v>0</v>
          </cell>
          <cell r="H243">
            <v>0</v>
          </cell>
          <cell r="I243">
            <v>0</v>
          </cell>
          <cell r="J243">
            <v>14060.593917840954</v>
          </cell>
        </row>
        <row r="244">
          <cell r="A244">
            <v>227</v>
          </cell>
          <cell r="B244">
            <v>45870</v>
          </cell>
          <cell r="C244">
            <v>0</v>
          </cell>
          <cell r="D244">
            <v>1440.7285040253385</v>
          </cell>
          <cell r="E244">
            <v>0</v>
          </cell>
          <cell r="F244">
            <v>0</v>
          </cell>
          <cell r="G244">
            <v>0</v>
          </cell>
          <cell r="H244">
            <v>0</v>
          </cell>
          <cell r="I244">
            <v>0</v>
          </cell>
          <cell r="J244">
            <v>14060.593917840954</v>
          </cell>
        </row>
        <row r="245">
          <cell r="A245">
            <v>228</v>
          </cell>
          <cell r="B245">
            <v>45901</v>
          </cell>
          <cell r="C245">
            <v>0</v>
          </cell>
          <cell r="D245">
            <v>1440.7285040253385</v>
          </cell>
          <cell r="E245">
            <v>0</v>
          </cell>
          <cell r="F245">
            <v>0</v>
          </cell>
          <cell r="G245">
            <v>0</v>
          </cell>
          <cell r="H245">
            <v>0</v>
          </cell>
          <cell r="I245">
            <v>0</v>
          </cell>
          <cell r="J245">
            <v>14060.593917840954</v>
          </cell>
        </row>
        <row r="246">
          <cell r="A246">
            <v>229</v>
          </cell>
          <cell r="B246">
            <v>45931</v>
          </cell>
          <cell r="C246">
            <v>0</v>
          </cell>
          <cell r="D246">
            <v>1440.7285040253385</v>
          </cell>
          <cell r="E246">
            <v>0</v>
          </cell>
          <cell r="F246">
            <v>0</v>
          </cell>
          <cell r="G246">
            <v>0</v>
          </cell>
          <cell r="H246">
            <v>0</v>
          </cell>
          <cell r="I246">
            <v>0</v>
          </cell>
          <cell r="J246">
            <v>14060.593917840954</v>
          </cell>
        </row>
        <row r="247">
          <cell r="A247">
            <v>230</v>
          </cell>
          <cell r="B247">
            <v>45962</v>
          </cell>
          <cell r="C247">
            <v>0</v>
          </cell>
          <cell r="D247">
            <v>1440.7285040253385</v>
          </cell>
          <cell r="E247">
            <v>0</v>
          </cell>
          <cell r="F247">
            <v>0</v>
          </cell>
          <cell r="G247">
            <v>0</v>
          </cell>
          <cell r="H247">
            <v>0</v>
          </cell>
          <cell r="I247">
            <v>0</v>
          </cell>
          <cell r="J247">
            <v>14060.593917840954</v>
          </cell>
        </row>
        <row r="248">
          <cell r="A248">
            <v>231</v>
          </cell>
          <cell r="B248">
            <v>45992</v>
          </cell>
          <cell r="C248">
            <v>0</v>
          </cell>
          <cell r="D248">
            <v>1440.7285040253385</v>
          </cell>
          <cell r="E248">
            <v>0</v>
          </cell>
          <cell r="F248">
            <v>0</v>
          </cell>
          <cell r="G248">
            <v>0</v>
          </cell>
          <cell r="H248">
            <v>0</v>
          </cell>
          <cell r="I248">
            <v>0</v>
          </cell>
          <cell r="J248">
            <v>14060.593917840954</v>
          </cell>
        </row>
        <row r="249">
          <cell r="A249">
            <v>232</v>
          </cell>
          <cell r="B249">
            <v>46023</v>
          </cell>
          <cell r="C249">
            <v>0</v>
          </cell>
          <cell r="D249">
            <v>1440.7285040253385</v>
          </cell>
          <cell r="E249">
            <v>0</v>
          </cell>
          <cell r="F249">
            <v>0</v>
          </cell>
          <cell r="G249">
            <v>0</v>
          </cell>
          <cell r="H249">
            <v>0</v>
          </cell>
          <cell r="I249">
            <v>0</v>
          </cell>
          <cell r="J249">
            <v>14060.593917840954</v>
          </cell>
        </row>
        <row r="250">
          <cell r="A250">
            <v>233</v>
          </cell>
          <cell r="B250">
            <v>46054</v>
          </cell>
          <cell r="C250">
            <v>0</v>
          </cell>
          <cell r="D250">
            <v>1440.7285040253385</v>
          </cell>
          <cell r="E250">
            <v>0</v>
          </cell>
          <cell r="F250">
            <v>0</v>
          </cell>
          <cell r="G250">
            <v>0</v>
          </cell>
          <cell r="H250">
            <v>0</v>
          </cell>
          <cell r="I250">
            <v>0</v>
          </cell>
          <cell r="J250">
            <v>14060.593917840954</v>
          </cell>
        </row>
        <row r="251">
          <cell r="A251">
            <v>234</v>
          </cell>
          <cell r="B251">
            <v>46082</v>
          </cell>
          <cell r="C251">
            <v>0</v>
          </cell>
          <cell r="D251">
            <v>1440.7285040253385</v>
          </cell>
          <cell r="E251">
            <v>0</v>
          </cell>
          <cell r="F251">
            <v>0</v>
          </cell>
          <cell r="G251">
            <v>0</v>
          </cell>
          <cell r="H251">
            <v>0</v>
          </cell>
          <cell r="I251">
            <v>0</v>
          </cell>
          <cell r="J251">
            <v>14060.593917840954</v>
          </cell>
        </row>
        <row r="252">
          <cell r="A252">
            <v>235</v>
          </cell>
          <cell r="B252">
            <v>46113</v>
          </cell>
          <cell r="C252">
            <v>0</v>
          </cell>
          <cell r="D252">
            <v>1440.7285040253385</v>
          </cell>
          <cell r="E252">
            <v>0</v>
          </cell>
          <cell r="F252">
            <v>0</v>
          </cell>
          <cell r="G252">
            <v>0</v>
          </cell>
          <cell r="H252">
            <v>0</v>
          </cell>
          <cell r="I252">
            <v>0</v>
          </cell>
          <cell r="J252">
            <v>14060.593917840954</v>
          </cell>
        </row>
        <row r="253">
          <cell r="A253">
            <v>236</v>
          </cell>
          <cell r="B253">
            <v>46143</v>
          </cell>
          <cell r="C253">
            <v>0</v>
          </cell>
          <cell r="D253">
            <v>1440.7285040253385</v>
          </cell>
          <cell r="E253">
            <v>0</v>
          </cell>
          <cell r="F253">
            <v>0</v>
          </cell>
          <cell r="G253">
            <v>0</v>
          </cell>
          <cell r="H253">
            <v>0</v>
          </cell>
          <cell r="I253">
            <v>0</v>
          </cell>
          <cell r="J253">
            <v>14060.593917840954</v>
          </cell>
        </row>
        <row r="254">
          <cell r="A254">
            <v>237</v>
          </cell>
          <cell r="B254">
            <v>46174</v>
          </cell>
          <cell r="C254">
            <v>0</v>
          </cell>
          <cell r="D254">
            <v>1440.7285040253385</v>
          </cell>
          <cell r="E254">
            <v>0</v>
          </cell>
          <cell r="F254">
            <v>0</v>
          </cell>
          <cell r="G254">
            <v>0</v>
          </cell>
          <cell r="H254">
            <v>0</v>
          </cell>
          <cell r="I254">
            <v>0</v>
          </cell>
          <cell r="J254">
            <v>14060.593917840954</v>
          </cell>
        </row>
        <row r="255">
          <cell r="A255">
            <v>238</v>
          </cell>
          <cell r="B255">
            <v>46204</v>
          </cell>
          <cell r="C255">
            <v>0</v>
          </cell>
          <cell r="D255">
            <v>1440.7285040253385</v>
          </cell>
          <cell r="E255">
            <v>0</v>
          </cell>
          <cell r="F255">
            <v>0</v>
          </cell>
          <cell r="G255">
            <v>0</v>
          </cell>
          <cell r="H255">
            <v>0</v>
          </cell>
          <cell r="I255">
            <v>0</v>
          </cell>
          <cell r="J255">
            <v>14060.593917840954</v>
          </cell>
        </row>
        <row r="256">
          <cell r="A256">
            <v>239</v>
          </cell>
          <cell r="B256">
            <v>46235</v>
          </cell>
          <cell r="C256">
            <v>0</v>
          </cell>
          <cell r="D256">
            <v>1440.7285040253385</v>
          </cell>
          <cell r="E256">
            <v>0</v>
          </cell>
          <cell r="F256">
            <v>0</v>
          </cell>
          <cell r="G256">
            <v>0</v>
          </cell>
          <cell r="H256">
            <v>0</v>
          </cell>
          <cell r="I256">
            <v>0</v>
          </cell>
          <cell r="J256">
            <v>14060.593917840954</v>
          </cell>
        </row>
        <row r="257">
          <cell r="A257">
            <v>240</v>
          </cell>
          <cell r="B257">
            <v>46266</v>
          </cell>
          <cell r="C257">
            <v>0</v>
          </cell>
          <cell r="D257">
            <v>1440.7285040253385</v>
          </cell>
          <cell r="E257">
            <v>0</v>
          </cell>
          <cell r="F257">
            <v>0</v>
          </cell>
          <cell r="G257">
            <v>0</v>
          </cell>
          <cell r="H257">
            <v>0</v>
          </cell>
          <cell r="I257">
            <v>0</v>
          </cell>
          <cell r="J257">
            <v>14060.593917840954</v>
          </cell>
        </row>
        <row r="258">
          <cell r="A258">
            <v>241</v>
          </cell>
          <cell r="B258">
            <v>46296</v>
          </cell>
          <cell r="C258">
            <v>0</v>
          </cell>
          <cell r="D258">
            <v>1440.7285040253385</v>
          </cell>
          <cell r="E258">
            <v>0</v>
          </cell>
          <cell r="F258">
            <v>0</v>
          </cell>
          <cell r="G258">
            <v>0</v>
          </cell>
          <cell r="H258">
            <v>0</v>
          </cell>
          <cell r="I258">
            <v>0</v>
          </cell>
          <cell r="J258">
            <v>14060.593917840954</v>
          </cell>
        </row>
        <row r="259">
          <cell r="A259">
            <v>242</v>
          </cell>
          <cell r="B259">
            <v>46327</v>
          </cell>
          <cell r="C259">
            <v>0</v>
          </cell>
          <cell r="D259">
            <v>1440.7285040253385</v>
          </cell>
          <cell r="E259">
            <v>0</v>
          </cell>
          <cell r="F259">
            <v>0</v>
          </cell>
          <cell r="G259">
            <v>0</v>
          </cell>
          <cell r="H259">
            <v>0</v>
          </cell>
          <cell r="I259">
            <v>0</v>
          </cell>
          <cell r="J259">
            <v>14060.593917840954</v>
          </cell>
        </row>
        <row r="260">
          <cell r="A260">
            <v>243</v>
          </cell>
          <cell r="B260">
            <v>46357</v>
          </cell>
          <cell r="C260">
            <v>0</v>
          </cell>
          <cell r="D260">
            <v>1440.7285040253385</v>
          </cell>
          <cell r="E260">
            <v>0</v>
          </cell>
          <cell r="F260">
            <v>0</v>
          </cell>
          <cell r="G260">
            <v>0</v>
          </cell>
          <cell r="H260">
            <v>0</v>
          </cell>
          <cell r="I260">
            <v>0</v>
          </cell>
          <cell r="J260">
            <v>14060.593917840954</v>
          </cell>
        </row>
        <row r="261">
          <cell r="A261">
            <v>244</v>
          </cell>
          <cell r="B261">
            <v>46388</v>
          </cell>
          <cell r="C261">
            <v>0</v>
          </cell>
          <cell r="D261">
            <v>1440.7285040253385</v>
          </cell>
          <cell r="E261">
            <v>0</v>
          </cell>
          <cell r="F261">
            <v>0</v>
          </cell>
          <cell r="G261">
            <v>0</v>
          </cell>
          <cell r="H261">
            <v>0</v>
          </cell>
          <cell r="I261">
            <v>0</v>
          </cell>
          <cell r="J261">
            <v>14060.593917840954</v>
          </cell>
        </row>
        <row r="262">
          <cell r="A262">
            <v>245</v>
          </cell>
          <cell r="B262">
            <v>46419</v>
          </cell>
          <cell r="C262">
            <v>0</v>
          </cell>
          <cell r="D262">
            <v>1440.7285040253385</v>
          </cell>
          <cell r="E262">
            <v>0</v>
          </cell>
          <cell r="F262">
            <v>0</v>
          </cell>
          <cell r="G262">
            <v>0</v>
          </cell>
          <cell r="H262">
            <v>0</v>
          </cell>
          <cell r="I262">
            <v>0</v>
          </cell>
          <cell r="J262">
            <v>14060.593917840954</v>
          </cell>
        </row>
        <row r="263">
          <cell r="A263">
            <v>246</v>
          </cell>
          <cell r="B263">
            <v>46447</v>
          </cell>
          <cell r="C263">
            <v>0</v>
          </cell>
          <cell r="D263">
            <v>1440.7285040253385</v>
          </cell>
          <cell r="E263">
            <v>0</v>
          </cell>
          <cell r="F263">
            <v>0</v>
          </cell>
          <cell r="G263">
            <v>0</v>
          </cell>
          <cell r="H263">
            <v>0</v>
          </cell>
          <cell r="I263">
            <v>0</v>
          </cell>
          <cell r="J263">
            <v>14060.593917840954</v>
          </cell>
        </row>
        <row r="264">
          <cell r="A264">
            <v>247</v>
          </cell>
          <cell r="B264">
            <v>46478</v>
          </cell>
          <cell r="C264">
            <v>0</v>
          </cell>
          <cell r="D264">
            <v>1440.7285040253385</v>
          </cell>
          <cell r="E264">
            <v>0</v>
          </cell>
          <cell r="F264">
            <v>0</v>
          </cell>
          <cell r="G264">
            <v>0</v>
          </cell>
          <cell r="H264">
            <v>0</v>
          </cell>
          <cell r="I264">
            <v>0</v>
          </cell>
          <cell r="J264">
            <v>14060.593917840954</v>
          </cell>
        </row>
        <row r="265">
          <cell r="A265">
            <v>248</v>
          </cell>
          <cell r="B265">
            <v>46508</v>
          </cell>
          <cell r="C265">
            <v>0</v>
          </cell>
          <cell r="D265">
            <v>1440.7285040253385</v>
          </cell>
          <cell r="E265">
            <v>0</v>
          </cell>
          <cell r="F265">
            <v>0</v>
          </cell>
          <cell r="G265">
            <v>0</v>
          </cell>
          <cell r="H265">
            <v>0</v>
          </cell>
          <cell r="I265">
            <v>0</v>
          </cell>
          <cell r="J265">
            <v>14060.593917840954</v>
          </cell>
        </row>
        <row r="266">
          <cell r="A266">
            <v>249</v>
          </cell>
          <cell r="B266">
            <v>46539</v>
          </cell>
          <cell r="C266">
            <v>0</v>
          </cell>
          <cell r="D266">
            <v>1440.7285040253385</v>
          </cell>
          <cell r="E266">
            <v>0</v>
          </cell>
          <cell r="F266">
            <v>0</v>
          </cell>
          <cell r="G266">
            <v>0</v>
          </cell>
          <cell r="H266">
            <v>0</v>
          </cell>
          <cell r="I266">
            <v>0</v>
          </cell>
          <cell r="J266">
            <v>14060.593917840954</v>
          </cell>
        </row>
        <row r="267">
          <cell r="A267">
            <v>250</v>
          </cell>
          <cell r="B267">
            <v>46569</v>
          </cell>
          <cell r="C267">
            <v>0</v>
          </cell>
          <cell r="D267">
            <v>1440.7285040253385</v>
          </cell>
          <cell r="E267">
            <v>0</v>
          </cell>
          <cell r="F267">
            <v>0</v>
          </cell>
          <cell r="G267">
            <v>0</v>
          </cell>
          <cell r="H267">
            <v>0</v>
          </cell>
          <cell r="I267">
            <v>0</v>
          </cell>
          <cell r="J267">
            <v>14060.593917840954</v>
          </cell>
        </row>
        <row r="268">
          <cell r="A268">
            <v>251</v>
          </cell>
          <cell r="B268">
            <v>46600</v>
          </cell>
          <cell r="C268">
            <v>0</v>
          </cell>
          <cell r="D268">
            <v>1440.7285040253385</v>
          </cell>
          <cell r="E268">
            <v>0</v>
          </cell>
          <cell r="F268">
            <v>0</v>
          </cell>
          <cell r="G268">
            <v>0</v>
          </cell>
          <cell r="H268">
            <v>0</v>
          </cell>
          <cell r="I268">
            <v>0</v>
          </cell>
          <cell r="J268">
            <v>14060.593917840954</v>
          </cell>
        </row>
        <row r="269">
          <cell r="A269">
            <v>252</v>
          </cell>
          <cell r="B269">
            <v>46631</v>
          </cell>
          <cell r="C269">
            <v>0</v>
          </cell>
          <cell r="D269">
            <v>1440.7285040253385</v>
          </cell>
          <cell r="E269">
            <v>0</v>
          </cell>
          <cell r="F269">
            <v>0</v>
          </cell>
          <cell r="G269">
            <v>0</v>
          </cell>
          <cell r="H269">
            <v>0</v>
          </cell>
          <cell r="I269">
            <v>0</v>
          </cell>
          <cell r="J269">
            <v>14060.593917840954</v>
          </cell>
        </row>
        <row r="270">
          <cell r="A270">
            <v>253</v>
          </cell>
          <cell r="B270">
            <v>46661</v>
          </cell>
          <cell r="C270">
            <v>0</v>
          </cell>
          <cell r="D270">
            <v>1440.7285040253385</v>
          </cell>
          <cell r="E270">
            <v>0</v>
          </cell>
          <cell r="F270">
            <v>0</v>
          </cell>
          <cell r="G270">
            <v>0</v>
          </cell>
          <cell r="H270">
            <v>0</v>
          </cell>
          <cell r="I270">
            <v>0</v>
          </cell>
          <cell r="J270">
            <v>14060.593917840954</v>
          </cell>
        </row>
        <row r="271">
          <cell r="A271">
            <v>254</v>
          </cell>
          <cell r="B271">
            <v>46692</v>
          </cell>
          <cell r="C271">
            <v>0</v>
          </cell>
          <cell r="D271">
            <v>1440.7285040253385</v>
          </cell>
          <cell r="E271">
            <v>0</v>
          </cell>
          <cell r="F271">
            <v>0</v>
          </cell>
          <cell r="G271">
            <v>0</v>
          </cell>
          <cell r="H271">
            <v>0</v>
          </cell>
          <cell r="I271">
            <v>0</v>
          </cell>
          <cell r="J271">
            <v>14060.593917840954</v>
          </cell>
        </row>
        <row r="272">
          <cell r="A272">
            <v>255</v>
          </cell>
          <cell r="B272">
            <v>46722</v>
          </cell>
          <cell r="C272">
            <v>0</v>
          </cell>
          <cell r="D272">
            <v>1440.7285040253385</v>
          </cell>
          <cell r="E272">
            <v>0</v>
          </cell>
          <cell r="F272">
            <v>0</v>
          </cell>
          <cell r="G272">
            <v>0</v>
          </cell>
          <cell r="H272">
            <v>0</v>
          </cell>
          <cell r="I272">
            <v>0</v>
          </cell>
          <cell r="J272">
            <v>14060.593917840954</v>
          </cell>
        </row>
        <row r="273">
          <cell r="A273">
            <v>256</v>
          </cell>
          <cell r="B273">
            <v>46753</v>
          </cell>
          <cell r="C273">
            <v>0</v>
          </cell>
          <cell r="D273">
            <v>1440.7285040253385</v>
          </cell>
          <cell r="E273">
            <v>0</v>
          </cell>
          <cell r="F273">
            <v>0</v>
          </cell>
          <cell r="G273">
            <v>0</v>
          </cell>
          <cell r="H273">
            <v>0</v>
          </cell>
          <cell r="I273">
            <v>0</v>
          </cell>
          <cell r="J273">
            <v>14060.593917840954</v>
          </cell>
        </row>
        <row r="274">
          <cell r="A274">
            <v>257</v>
          </cell>
          <cell r="B274">
            <v>46784</v>
          </cell>
          <cell r="C274">
            <v>0</v>
          </cell>
          <cell r="D274">
            <v>1440.7285040253385</v>
          </cell>
          <cell r="E274">
            <v>0</v>
          </cell>
          <cell r="F274">
            <v>0</v>
          </cell>
          <cell r="G274">
            <v>0</v>
          </cell>
          <cell r="H274">
            <v>0</v>
          </cell>
          <cell r="I274">
            <v>0</v>
          </cell>
          <cell r="J274">
            <v>14060.593917840954</v>
          </cell>
        </row>
        <row r="275">
          <cell r="A275">
            <v>258</v>
          </cell>
          <cell r="B275">
            <v>46813</v>
          </cell>
          <cell r="C275">
            <v>0</v>
          </cell>
          <cell r="D275">
            <v>1440.7285040253385</v>
          </cell>
          <cell r="E275">
            <v>0</v>
          </cell>
          <cell r="F275">
            <v>0</v>
          </cell>
          <cell r="G275">
            <v>0</v>
          </cell>
          <cell r="H275">
            <v>0</v>
          </cell>
          <cell r="I275">
            <v>0</v>
          </cell>
          <cell r="J275">
            <v>14060.593917840954</v>
          </cell>
        </row>
        <row r="276">
          <cell r="A276">
            <v>259</v>
          </cell>
          <cell r="B276">
            <v>46844</v>
          </cell>
          <cell r="C276">
            <v>0</v>
          </cell>
          <cell r="D276">
            <v>1440.7285040253385</v>
          </cell>
          <cell r="E276">
            <v>0</v>
          </cell>
          <cell r="F276">
            <v>0</v>
          </cell>
          <cell r="G276">
            <v>0</v>
          </cell>
          <cell r="H276">
            <v>0</v>
          </cell>
          <cell r="I276">
            <v>0</v>
          </cell>
          <cell r="J276">
            <v>14060.593917840954</v>
          </cell>
        </row>
        <row r="277">
          <cell r="A277">
            <v>260</v>
          </cell>
          <cell r="B277">
            <v>46874</v>
          </cell>
          <cell r="C277">
            <v>0</v>
          </cell>
          <cell r="D277">
            <v>1440.7285040253385</v>
          </cell>
          <cell r="E277">
            <v>0</v>
          </cell>
          <cell r="F277">
            <v>0</v>
          </cell>
          <cell r="G277">
            <v>0</v>
          </cell>
          <cell r="H277">
            <v>0</v>
          </cell>
          <cell r="I277">
            <v>0</v>
          </cell>
          <cell r="J277">
            <v>14060.593917840954</v>
          </cell>
        </row>
        <row r="278">
          <cell r="A278">
            <v>261</v>
          </cell>
          <cell r="B278">
            <v>46905</v>
          </cell>
          <cell r="C278">
            <v>0</v>
          </cell>
          <cell r="D278">
            <v>1440.7285040253385</v>
          </cell>
          <cell r="E278">
            <v>0</v>
          </cell>
          <cell r="F278">
            <v>0</v>
          </cell>
          <cell r="G278">
            <v>0</v>
          </cell>
          <cell r="H278">
            <v>0</v>
          </cell>
          <cell r="I278">
            <v>0</v>
          </cell>
          <cell r="J278">
            <v>14060.593917840954</v>
          </cell>
        </row>
        <row r="279">
          <cell r="A279">
            <v>262</v>
          </cell>
          <cell r="B279">
            <v>46935</v>
          </cell>
          <cell r="C279">
            <v>0</v>
          </cell>
          <cell r="D279">
            <v>1440.7285040253385</v>
          </cell>
          <cell r="E279">
            <v>0</v>
          </cell>
          <cell r="F279">
            <v>0</v>
          </cell>
          <cell r="G279">
            <v>0</v>
          </cell>
          <cell r="H279">
            <v>0</v>
          </cell>
          <cell r="I279">
            <v>0</v>
          </cell>
          <cell r="J279">
            <v>14060.593917840954</v>
          </cell>
        </row>
        <row r="280">
          <cell r="A280">
            <v>263</v>
          </cell>
          <cell r="B280">
            <v>46966</v>
          </cell>
          <cell r="C280">
            <v>0</v>
          </cell>
          <cell r="D280">
            <v>1440.7285040253385</v>
          </cell>
          <cell r="E280">
            <v>0</v>
          </cell>
          <cell r="F280">
            <v>0</v>
          </cell>
          <cell r="G280">
            <v>0</v>
          </cell>
          <cell r="H280">
            <v>0</v>
          </cell>
          <cell r="I280">
            <v>0</v>
          </cell>
          <cell r="J280">
            <v>14060.593917840954</v>
          </cell>
        </row>
        <row r="281">
          <cell r="A281">
            <v>264</v>
          </cell>
          <cell r="B281">
            <v>46997</v>
          </cell>
          <cell r="C281">
            <v>0</v>
          </cell>
          <cell r="D281">
            <v>1440.7285040253385</v>
          </cell>
          <cell r="E281">
            <v>0</v>
          </cell>
          <cell r="F281">
            <v>0</v>
          </cell>
          <cell r="G281">
            <v>0</v>
          </cell>
          <cell r="H281">
            <v>0</v>
          </cell>
          <cell r="I281">
            <v>0</v>
          </cell>
          <cell r="J281">
            <v>14060.593917840954</v>
          </cell>
        </row>
        <row r="282">
          <cell r="A282">
            <v>265</v>
          </cell>
          <cell r="B282">
            <v>47027</v>
          </cell>
          <cell r="C282">
            <v>0</v>
          </cell>
          <cell r="D282">
            <v>1440.7285040253385</v>
          </cell>
          <cell r="E282">
            <v>0</v>
          </cell>
          <cell r="F282">
            <v>0</v>
          </cell>
          <cell r="G282">
            <v>0</v>
          </cell>
          <cell r="H282">
            <v>0</v>
          </cell>
          <cell r="I282">
            <v>0</v>
          </cell>
          <cell r="J282">
            <v>14060.593917840954</v>
          </cell>
        </row>
        <row r="283">
          <cell r="A283">
            <v>266</v>
          </cell>
          <cell r="B283">
            <v>47058</v>
          </cell>
          <cell r="C283">
            <v>0</v>
          </cell>
          <cell r="D283">
            <v>1440.7285040253385</v>
          </cell>
          <cell r="E283">
            <v>0</v>
          </cell>
          <cell r="F283">
            <v>0</v>
          </cell>
          <cell r="G283">
            <v>0</v>
          </cell>
          <cell r="H283">
            <v>0</v>
          </cell>
          <cell r="I283">
            <v>0</v>
          </cell>
          <cell r="J283">
            <v>14060.593917840954</v>
          </cell>
        </row>
        <row r="284">
          <cell r="A284">
            <v>267</v>
          </cell>
          <cell r="B284">
            <v>47088</v>
          </cell>
          <cell r="C284">
            <v>0</v>
          </cell>
          <cell r="D284">
            <v>1440.7285040253385</v>
          </cell>
          <cell r="E284">
            <v>0</v>
          </cell>
          <cell r="F284">
            <v>0</v>
          </cell>
          <cell r="G284">
            <v>0</v>
          </cell>
          <cell r="H284">
            <v>0</v>
          </cell>
          <cell r="I284">
            <v>0</v>
          </cell>
          <cell r="J284">
            <v>14060.593917840954</v>
          </cell>
        </row>
        <row r="285">
          <cell r="A285">
            <v>268</v>
          </cell>
          <cell r="B285">
            <v>47119</v>
          </cell>
          <cell r="C285">
            <v>0</v>
          </cell>
          <cell r="D285">
            <v>1440.7285040253385</v>
          </cell>
          <cell r="E285">
            <v>0</v>
          </cell>
          <cell r="F285">
            <v>0</v>
          </cell>
          <cell r="G285">
            <v>0</v>
          </cell>
          <cell r="H285">
            <v>0</v>
          </cell>
          <cell r="I285">
            <v>0</v>
          </cell>
          <cell r="J285">
            <v>14060.593917840954</v>
          </cell>
        </row>
        <row r="286">
          <cell r="A286">
            <v>269</v>
          </cell>
          <cell r="B286">
            <v>47150</v>
          </cell>
          <cell r="C286">
            <v>0</v>
          </cell>
          <cell r="D286">
            <v>1440.7285040253385</v>
          </cell>
          <cell r="E286">
            <v>0</v>
          </cell>
          <cell r="F286">
            <v>0</v>
          </cell>
          <cell r="G286">
            <v>0</v>
          </cell>
          <cell r="H286">
            <v>0</v>
          </cell>
          <cell r="I286">
            <v>0</v>
          </cell>
          <cell r="J286">
            <v>14060.593917840954</v>
          </cell>
        </row>
        <row r="287">
          <cell r="A287">
            <v>270</v>
          </cell>
          <cell r="B287">
            <v>47178</v>
          </cell>
          <cell r="C287">
            <v>0</v>
          </cell>
          <cell r="D287">
            <v>1440.7285040253385</v>
          </cell>
          <cell r="E287">
            <v>0</v>
          </cell>
          <cell r="F287">
            <v>0</v>
          </cell>
          <cell r="G287">
            <v>0</v>
          </cell>
          <cell r="H287">
            <v>0</v>
          </cell>
          <cell r="I287">
            <v>0</v>
          </cell>
          <cell r="J287">
            <v>14060.593917840954</v>
          </cell>
        </row>
        <row r="288">
          <cell r="A288">
            <v>271</v>
          </cell>
          <cell r="B288">
            <v>47209</v>
          </cell>
          <cell r="C288">
            <v>0</v>
          </cell>
          <cell r="D288">
            <v>1440.7285040253385</v>
          </cell>
          <cell r="E288">
            <v>0</v>
          </cell>
          <cell r="F288">
            <v>0</v>
          </cell>
          <cell r="G288">
            <v>0</v>
          </cell>
          <cell r="H288">
            <v>0</v>
          </cell>
          <cell r="I288">
            <v>0</v>
          </cell>
          <cell r="J288">
            <v>14060.593917840954</v>
          </cell>
        </row>
        <row r="289">
          <cell r="A289">
            <v>272</v>
          </cell>
          <cell r="B289">
            <v>47239</v>
          </cell>
          <cell r="C289">
            <v>0</v>
          </cell>
          <cell r="D289">
            <v>1440.7285040253385</v>
          </cell>
          <cell r="E289">
            <v>0</v>
          </cell>
          <cell r="F289">
            <v>0</v>
          </cell>
          <cell r="G289">
            <v>0</v>
          </cell>
          <cell r="H289">
            <v>0</v>
          </cell>
          <cell r="I289">
            <v>0</v>
          </cell>
          <cell r="J289">
            <v>14060.593917840954</v>
          </cell>
        </row>
        <row r="290">
          <cell r="A290">
            <v>273</v>
          </cell>
          <cell r="B290">
            <v>47270</v>
          </cell>
          <cell r="C290">
            <v>0</v>
          </cell>
          <cell r="D290">
            <v>1440.7285040253385</v>
          </cell>
          <cell r="E290">
            <v>0</v>
          </cell>
          <cell r="F290">
            <v>0</v>
          </cell>
          <cell r="G290">
            <v>0</v>
          </cell>
          <cell r="H290">
            <v>0</v>
          </cell>
          <cell r="I290">
            <v>0</v>
          </cell>
          <cell r="J290">
            <v>14060.593917840954</v>
          </cell>
        </row>
        <row r="291">
          <cell r="A291">
            <v>274</v>
          </cell>
          <cell r="B291">
            <v>47300</v>
          </cell>
          <cell r="C291">
            <v>0</v>
          </cell>
          <cell r="D291">
            <v>1440.7285040253385</v>
          </cell>
          <cell r="E291">
            <v>0</v>
          </cell>
          <cell r="F291">
            <v>0</v>
          </cell>
          <cell r="G291">
            <v>0</v>
          </cell>
          <cell r="H291">
            <v>0</v>
          </cell>
          <cell r="I291">
            <v>0</v>
          </cell>
          <cell r="J291">
            <v>14060.593917840954</v>
          </cell>
        </row>
        <row r="292">
          <cell r="A292">
            <v>275</v>
          </cell>
          <cell r="B292">
            <v>47331</v>
          </cell>
          <cell r="C292">
            <v>0</v>
          </cell>
          <cell r="D292">
            <v>1440.7285040253385</v>
          </cell>
          <cell r="E292">
            <v>0</v>
          </cell>
          <cell r="F292">
            <v>0</v>
          </cell>
          <cell r="G292">
            <v>0</v>
          </cell>
          <cell r="H292">
            <v>0</v>
          </cell>
          <cell r="I292">
            <v>0</v>
          </cell>
          <cell r="J292">
            <v>14060.593917840954</v>
          </cell>
        </row>
        <row r="293">
          <cell r="A293">
            <v>276</v>
          </cell>
          <cell r="B293">
            <v>47362</v>
          </cell>
          <cell r="C293">
            <v>0</v>
          </cell>
          <cell r="D293">
            <v>1440.7285040253385</v>
          </cell>
          <cell r="E293">
            <v>0</v>
          </cell>
          <cell r="F293">
            <v>0</v>
          </cell>
          <cell r="G293">
            <v>0</v>
          </cell>
          <cell r="H293">
            <v>0</v>
          </cell>
          <cell r="I293">
            <v>0</v>
          </cell>
          <cell r="J293">
            <v>14060.593917840954</v>
          </cell>
        </row>
        <row r="294">
          <cell r="A294">
            <v>277</v>
          </cell>
          <cell r="B294">
            <v>47392</v>
          </cell>
          <cell r="C294">
            <v>0</v>
          </cell>
          <cell r="D294">
            <v>1440.7285040253385</v>
          </cell>
          <cell r="E294">
            <v>0</v>
          </cell>
          <cell r="F294">
            <v>0</v>
          </cell>
          <cell r="G294">
            <v>0</v>
          </cell>
          <cell r="H294">
            <v>0</v>
          </cell>
          <cell r="I294">
            <v>0</v>
          </cell>
          <cell r="J294">
            <v>14060.593917840954</v>
          </cell>
        </row>
        <row r="295">
          <cell r="A295">
            <v>278</v>
          </cell>
          <cell r="B295">
            <v>47423</v>
          </cell>
          <cell r="C295">
            <v>0</v>
          </cell>
          <cell r="D295">
            <v>1440.7285040253385</v>
          </cell>
          <cell r="E295">
            <v>0</v>
          </cell>
          <cell r="F295">
            <v>0</v>
          </cell>
          <cell r="G295">
            <v>0</v>
          </cell>
          <cell r="H295">
            <v>0</v>
          </cell>
          <cell r="I295">
            <v>0</v>
          </cell>
          <cell r="J295">
            <v>14060.593917840954</v>
          </cell>
        </row>
        <row r="296">
          <cell r="A296">
            <v>279</v>
          </cell>
          <cell r="B296">
            <v>47453</v>
          </cell>
          <cell r="C296">
            <v>0</v>
          </cell>
          <cell r="D296">
            <v>1440.7285040253385</v>
          </cell>
          <cell r="E296">
            <v>0</v>
          </cell>
          <cell r="F296">
            <v>0</v>
          </cell>
          <cell r="G296">
            <v>0</v>
          </cell>
          <cell r="H296">
            <v>0</v>
          </cell>
          <cell r="I296">
            <v>0</v>
          </cell>
          <cell r="J296">
            <v>14060.593917840954</v>
          </cell>
        </row>
        <row r="297">
          <cell r="A297">
            <v>280</v>
          </cell>
          <cell r="B297">
            <v>47484</v>
          </cell>
          <cell r="C297">
            <v>0</v>
          </cell>
          <cell r="D297">
            <v>1440.7285040253385</v>
          </cell>
          <cell r="E297">
            <v>0</v>
          </cell>
          <cell r="F297">
            <v>0</v>
          </cell>
          <cell r="G297">
            <v>0</v>
          </cell>
          <cell r="H297">
            <v>0</v>
          </cell>
          <cell r="I297">
            <v>0</v>
          </cell>
          <cell r="J297">
            <v>14060.593917840954</v>
          </cell>
        </row>
        <row r="298">
          <cell r="A298">
            <v>281</v>
          </cell>
          <cell r="B298">
            <v>47515</v>
          </cell>
          <cell r="C298">
            <v>0</v>
          </cell>
          <cell r="D298">
            <v>1440.7285040253385</v>
          </cell>
          <cell r="E298">
            <v>0</v>
          </cell>
          <cell r="F298">
            <v>0</v>
          </cell>
          <cell r="G298">
            <v>0</v>
          </cell>
          <cell r="H298">
            <v>0</v>
          </cell>
          <cell r="I298">
            <v>0</v>
          </cell>
          <cell r="J298">
            <v>14060.593917840954</v>
          </cell>
        </row>
        <row r="299">
          <cell r="A299">
            <v>282</v>
          </cell>
          <cell r="B299">
            <v>47543</v>
          </cell>
          <cell r="C299">
            <v>0</v>
          </cell>
          <cell r="D299">
            <v>1440.7285040253385</v>
          </cell>
          <cell r="E299">
            <v>0</v>
          </cell>
          <cell r="F299">
            <v>0</v>
          </cell>
          <cell r="G299">
            <v>0</v>
          </cell>
          <cell r="H299">
            <v>0</v>
          </cell>
          <cell r="I299">
            <v>0</v>
          </cell>
          <cell r="J299">
            <v>14060.593917840954</v>
          </cell>
        </row>
        <row r="300">
          <cell r="A300">
            <v>283</v>
          </cell>
          <cell r="B300">
            <v>47574</v>
          </cell>
          <cell r="C300">
            <v>0</v>
          </cell>
          <cell r="D300">
            <v>1440.7285040253385</v>
          </cell>
          <cell r="E300">
            <v>0</v>
          </cell>
          <cell r="F300">
            <v>0</v>
          </cell>
          <cell r="G300">
            <v>0</v>
          </cell>
          <cell r="H300">
            <v>0</v>
          </cell>
          <cell r="I300">
            <v>0</v>
          </cell>
          <cell r="J300">
            <v>14060.593917840954</v>
          </cell>
        </row>
        <row r="301">
          <cell r="A301">
            <v>284</v>
          </cell>
          <cell r="B301">
            <v>47604</v>
          </cell>
          <cell r="C301">
            <v>0</v>
          </cell>
          <cell r="D301">
            <v>1440.7285040253385</v>
          </cell>
          <cell r="E301">
            <v>0</v>
          </cell>
          <cell r="F301">
            <v>0</v>
          </cell>
          <cell r="G301">
            <v>0</v>
          </cell>
          <cell r="H301">
            <v>0</v>
          </cell>
          <cell r="I301">
            <v>0</v>
          </cell>
          <cell r="J301">
            <v>14060.593917840954</v>
          </cell>
        </row>
        <row r="302">
          <cell r="A302">
            <v>285</v>
          </cell>
          <cell r="B302">
            <v>47635</v>
          </cell>
          <cell r="C302">
            <v>0</v>
          </cell>
          <cell r="D302">
            <v>1440.7285040253385</v>
          </cell>
          <cell r="E302">
            <v>0</v>
          </cell>
          <cell r="F302">
            <v>0</v>
          </cell>
          <cell r="G302">
            <v>0</v>
          </cell>
          <cell r="H302">
            <v>0</v>
          </cell>
          <cell r="I302">
            <v>0</v>
          </cell>
          <cell r="J302">
            <v>14060.593917840954</v>
          </cell>
        </row>
        <row r="303">
          <cell r="A303">
            <v>286</v>
          </cell>
          <cell r="B303">
            <v>47665</v>
          </cell>
          <cell r="C303">
            <v>0</v>
          </cell>
          <cell r="D303">
            <v>1440.7285040253385</v>
          </cell>
          <cell r="E303">
            <v>0</v>
          </cell>
          <cell r="F303">
            <v>0</v>
          </cell>
          <cell r="G303">
            <v>0</v>
          </cell>
          <cell r="H303">
            <v>0</v>
          </cell>
          <cell r="I303">
            <v>0</v>
          </cell>
          <cell r="J303">
            <v>14060.593917840954</v>
          </cell>
        </row>
        <row r="304">
          <cell r="A304">
            <v>287</v>
          </cell>
          <cell r="B304">
            <v>47696</v>
          </cell>
          <cell r="C304">
            <v>0</v>
          </cell>
          <cell r="D304">
            <v>1440.7285040253385</v>
          </cell>
          <cell r="E304">
            <v>0</v>
          </cell>
          <cell r="F304">
            <v>0</v>
          </cell>
          <cell r="G304">
            <v>0</v>
          </cell>
          <cell r="H304">
            <v>0</v>
          </cell>
          <cell r="I304">
            <v>0</v>
          </cell>
          <cell r="J304">
            <v>14060.593917840954</v>
          </cell>
        </row>
        <row r="305">
          <cell r="A305">
            <v>288</v>
          </cell>
          <cell r="B305">
            <v>47727</v>
          </cell>
          <cell r="C305">
            <v>0</v>
          </cell>
          <cell r="D305">
            <v>1440.7285040253385</v>
          </cell>
          <cell r="E305">
            <v>0</v>
          </cell>
          <cell r="F305">
            <v>0</v>
          </cell>
          <cell r="G305">
            <v>0</v>
          </cell>
          <cell r="H305">
            <v>0</v>
          </cell>
          <cell r="I305">
            <v>0</v>
          </cell>
          <cell r="J305">
            <v>14060.593917840954</v>
          </cell>
        </row>
        <row r="306">
          <cell r="A306">
            <v>289</v>
          </cell>
          <cell r="B306">
            <v>47757</v>
          </cell>
          <cell r="C306">
            <v>0</v>
          </cell>
          <cell r="D306">
            <v>1440.7285040253385</v>
          </cell>
          <cell r="E306">
            <v>0</v>
          </cell>
          <cell r="F306">
            <v>0</v>
          </cell>
          <cell r="G306">
            <v>0</v>
          </cell>
          <cell r="H306">
            <v>0</v>
          </cell>
          <cell r="I306">
            <v>0</v>
          </cell>
          <cell r="J306">
            <v>14060.593917840954</v>
          </cell>
        </row>
        <row r="307">
          <cell r="A307">
            <v>290</v>
          </cell>
          <cell r="B307">
            <v>47788</v>
          </cell>
          <cell r="C307">
            <v>0</v>
          </cell>
          <cell r="D307">
            <v>1440.7285040253385</v>
          </cell>
          <cell r="E307">
            <v>0</v>
          </cell>
          <cell r="F307">
            <v>0</v>
          </cell>
          <cell r="G307">
            <v>0</v>
          </cell>
          <cell r="H307">
            <v>0</v>
          </cell>
          <cell r="I307">
            <v>0</v>
          </cell>
          <cell r="J307">
            <v>14060.593917840954</v>
          </cell>
        </row>
        <row r="308">
          <cell r="A308">
            <v>291</v>
          </cell>
          <cell r="B308">
            <v>47818</v>
          </cell>
          <cell r="C308">
            <v>0</v>
          </cell>
          <cell r="D308">
            <v>1440.7285040253385</v>
          </cell>
          <cell r="E308">
            <v>0</v>
          </cell>
          <cell r="F308">
            <v>0</v>
          </cell>
          <cell r="G308">
            <v>0</v>
          </cell>
          <cell r="H308">
            <v>0</v>
          </cell>
          <cell r="I308">
            <v>0</v>
          </cell>
          <cell r="J308">
            <v>14060.593917840954</v>
          </cell>
        </row>
        <row r="309">
          <cell r="A309">
            <v>292</v>
          </cell>
          <cell r="B309">
            <v>47849</v>
          </cell>
          <cell r="C309">
            <v>0</v>
          </cell>
          <cell r="D309">
            <v>1440.7285040253385</v>
          </cell>
          <cell r="E309">
            <v>0</v>
          </cell>
          <cell r="F309">
            <v>0</v>
          </cell>
          <cell r="G309">
            <v>0</v>
          </cell>
          <cell r="H309">
            <v>0</v>
          </cell>
          <cell r="I309">
            <v>0</v>
          </cell>
          <cell r="J309">
            <v>14060.593917840954</v>
          </cell>
        </row>
        <row r="310">
          <cell r="A310">
            <v>293</v>
          </cell>
          <cell r="B310">
            <v>47880</v>
          </cell>
          <cell r="C310">
            <v>0</v>
          </cell>
          <cell r="D310">
            <v>1440.7285040253385</v>
          </cell>
          <cell r="E310">
            <v>0</v>
          </cell>
          <cell r="F310">
            <v>0</v>
          </cell>
          <cell r="G310">
            <v>0</v>
          </cell>
          <cell r="H310">
            <v>0</v>
          </cell>
          <cell r="I310">
            <v>0</v>
          </cell>
          <cell r="J310">
            <v>14060.593917840954</v>
          </cell>
        </row>
        <row r="311">
          <cell r="A311">
            <v>294</v>
          </cell>
          <cell r="B311">
            <v>47908</v>
          </cell>
          <cell r="C311">
            <v>0</v>
          </cell>
          <cell r="D311">
            <v>1440.7285040253385</v>
          </cell>
          <cell r="E311">
            <v>0</v>
          </cell>
          <cell r="F311">
            <v>0</v>
          </cell>
          <cell r="G311">
            <v>0</v>
          </cell>
          <cell r="H311">
            <v>0</v>
          </cell>
          <cell r="I311">
            <v>0</v>
          </cell>
          <cell r="J311">
            <v>14060.593917840954</v>
          </cell>
        </row>
        <row r="312">
          <cell r="A312">
            <v>295</v>
          </cell>
          <cell r="B312">
            <v>47939</v>
          </cell>
          <cell r="C312">
            <v>0</v>
          </cell>
          <cell r="D312">
            <v>1440.7285040253385</v>
          </cell>
          <cell r="E312">
            <v>0</v>
          </cell>
          <cell r="F312">
            <v>0</v>
          </cell>
          <cell r="G312">
            <v>0</v>
          </cell>
          <cell r="H312">
            <v>0</v>
          </cell>
          <cell r="I312">
            <v>0</v>
          </cell>
          <cell r="J312">
            <v>14060.593917840954</v>
          </cell>
        </row>
        <row r="313">
          <cell r="A313">
            <v>296</v>
          </cell>
          <cell r="B313">
            <v>47969</v>
          </cell>
          <cell r="C313">
            <v>0</v>
          </cell>
          <cell r="D313">
            <v>1440.7285040253385</v>
          </cell>
          <cell r="E313">
            <v>0</v>
          </cell>
          <cell r="F313">
            <v>0</v>
          </cell>
          <cell r="G313">
            <v>0</v>
          </cell>
          <cell r="H313">
            <v>0</v>
          </cell>
          <cell r="I313">
            <v>0</v>
          </cell>
          <cell r="J313">
            <v>14060.593917840954</v>
          </cell>
        </row>
        <row r="314">
          <cell r="A314">
            <v>297</v>
          </cell>
          <cell r="B314">
            <v>48000</v>
          </cell>
          <cell r="C314">
            <v>0</v>
          </cell>
          <cell r="D314">
            <v>1440.7285040253385</v>
          </cell>
          <cell r="E314">
            <v>0</v>
          </cell>
          <cell r="F314">
            <v>0</v>
          </cell>
          <cell r="G314">
            <v>0</v>
          </cell>
          <cell r="H314">
            <v>0</v>
          </cell>
          <cell r="I314">
            <v>0</v>
          </cell>
          <cell r="J314">
            <v>14060.593917840954</v>
          </cell>
        </row>
        <row r="315">
          <cell r="A315">
            <v>298</v>
          </cell>
          <cell r="B315">
            <v>48030</v>
          </cell>
          <cell r="C315">
            <v>0</v>
          </cell>
          <cell r="D315">
            <v>1440.7285040253385</v>
          </cell>
          <cell r="E315">
            <v>0</v>
          </cell>
          <cell r="F315">
            <v>0</v>
          </cell>
          <cell r="G315">
            <v>0</v>
          </cell>
          <cell r="H315">
            <v>0</v>
          </cell>
          <cell r="I315">
            <v>0</v>
          </cell>
          <cell r="J315">
            <v>14060.593917840954</v>
          </cell>
        </row>
        <row r="316">
          <cell r="A316">
            <v>299</v>
          </cell>
          <cell r="B316">
            <v>48061</v>
          </cell>
          <cell r="C316">
            <v>0</v>
          </cell>
          <cell r="D316">
            <v>1440.7285040253385</v>
          </cell>
          <cell r="E316">
            <v>0</v>
          </cell>
          <cell r="F316">
            <v>0</v>
          </cell>
          <cell r="G316">
            <v>0</v>
          </cell>
          <cell r="H316">
            <v>0</v>
          </cell>
          <cell r="I316">
            <v>0</v>
          </cell>
          <cell r="J316">
            <v>14060.593917840954</v>
          </cell>
        </row>
        <row r="317">
          <cell r="A317">
            <v>300</v>
          </cell>
          <cell r="B317">
            <v>48092</v>
          </cell>
          <cell r="C317">
            <v>0</v>
          </cell>
          <cell r="D317">
            <v>1440.7285040253385</v>
          </cell>
          <cell r="E317">
            <v>0</v>
          </cell>
          <cell r="F317">
            <v>0</v>
          </cell>
          <cell r="G317">
            <v>0</v>
          </cell>
          <cell r="H317">
            <v>0</v>
          </cell>
          <cell r="I317">
            <v>0</v>
          </cell>
          <cell r="J317">
            <v>14060.593917840954</v>
          </cell>
        </row>
        <row r="318">
          <cell r="A318">
            <v>301</v>
          </cell>
          <cell r="B318">
            <v>48122</v>
          </cell>
          <cell r="C318">
            <v>0</v>
          </cell>
          <cell r="D318">
            <v>1440.7285040253385</v>
          </cell>
          <cell r="E318">
            <v>0</v>
          </cell>
          <cell r="F318">
            <v>0</v>
          </cell>
          <cell r="G318">
            <v>0</v>
          </cell>
          <cell r="H318">
            <v>0</v>
          </cell>
          <cell r="I318">
            <v>0</v>
          </cell>
          <cell r="J318">
            <v>14060.593917840954</v>
          </cell>
        </row>
        <row r="319">
          <cell r="A319">
            <v>302</v>
          </cell>
          <cell r="B319">
            <v>48153</v>
          </cell>
          <cell r="C319">
            <v>0</v>
          </cell>
          <cell r="D319">
            <v>1440.7285040253385</v>
          </cell>
          <cell r="E319">
            <v>0</v>
          </cell>
          <cell r="F319">
            <v>0</v>
          </cell>
          <cell r="G319">
            <v>0</v>
          </cell>
          <cell r="H319">
            <v>0</v>
          </cell>
          <cell r="I319">
            <v>0</v>
          </cell>
          <cell r="J319">
            <v>14060.593917840954</v>
          </cell>
        </row>
        <row r="320">
          <cell r="A320">
            <v>303</v>
          </cell>
          <cell r="B320">
            <v>48183</v>
          </cell>
          <cell r="C320">
            <v>0</v>
          </cell>
          <cell r="D320">
            <v>1440.7285040253385</v>
          </cell>
          <cell r="E320">
            <v>0</v>
          </cell>
          <cell r="F320">
            <v>0</v>
          </cell>
          <cell r="G320">
            <v>0</v>
          </cell>
          <cell r="H320">
            <v>0</v>
          </cell>
          <cell r="I320">
            <v>0</v>
          </cell>
          <cell r="J320">
            <v>14060.593917840954</v>
          </cell>
        </row>
        <row r="321">
          <cell r="A321">
            <v>304</v>
          </cell>
          <cell r="B321">
            <v>48214</v>
          </cell>
          <cell r="C321">
            <v>0</v>
          </cell>
          <cell r="D321">
            <v>1440.7285040253385</v>
          </cell>
          <cell r="E321">
            <v>0</v>
          </cell>
          <cell r="F321">
            <v>0</v>
          </cell>
          <cell r="G321">
            <v>0</v>
          </cell>
          <cell r="H321">
            <v>0</v>
          </cell>
          <cell r="I321">
            <v>0</v>
          </cell>
          <cell r="J321">
            <v>14060.593917840954</v>
          </cell>
        </row>
        <row r="322">
          <cell r="A322">
            <v>305</v>
          </cell>
          <cell r="B322">
            <v>48245</v>
          </cell>
          <cell r="C322">
            <v>0</v>
          </cell>
          <cell r="D322">
            <v>1440.7285040253385</v>
          </cell>
          <cell r="E322">
            <v>0</v>
          </cell>
          <cell r="F322">
            <v>0</v>
          </cell>
          <cell r="G322">
            <v>0</v>
          </cell>
          <cell r="H322">
            <v>0</v>
          </cell>
          <cell r="I322">
            <v>0</v>
          </cell>
          <cell r="J322">
            <v>14060.593917840954</v>
          </cell>
        </row>
        <row r="323">
          <cell r="A323">
            <v>306</v>
          </cell>
          <cell r="B323">
            <v>48274</v>
          </cell>
          <cell r="C323">
            <v>0</v>
          </cell>
          <cell r="D323">
            <v>1440.7285040253385</v>
          </cell>
          <cell r="E323">
            <v>0</v>
          </cell>
          <cell r="F323">
            <v>0</v>
          </cell>
          <cell r="G323">
            <v>0</v>
          </cell>
          <cell r="H323">
            <v>0</v>
          </cell>
          <cell r="I323">
            <v>0</v>
          </cell>
          <cell r="J323">
            <v>14060.593917840954</v>
          </cell>
        </row>
        <row r="324">
          <cell r="A324">
            <v>307</v>
          </cell>
          <cell r="B324">
            <v>48305</v>
          </cell>
          <cell r="C324">
            <v>0</v>
          </cell>
          <cell r="D324">
            <v>1440.7285040253385</v>
          </cell>
          <cell r="E324">
            <v>0</v>
          </cell>
          <cell r="F324">
            <v>0</v>
          </cell>
          <cell r="G324">
            <v>0</v>
          </cell>
          <cell r="H324">
            <v>0</v>
          </cell>
          <cell r="I324">
            <v>0</v>
          </cell>
          <cell r="J324">
            <v>14060.593917840954</v>
          </cell>
        </row>
        <row r="325">
          <cell r="A325">
            <v>308</v>
          </cell>
          <cell r="B325">
            <v>48335</v>
          </cell>
          <cell r="C325">
            <v>0</v>
          </cell>
          <cell r="D325">
            <v>1440.7285040253385</v>
          </cell>
          <cell r="E325">
            <v>0</v>
          </cell>
          <cell r="F325">
            <v>0</v>
          </cell>
          <cell r="G325">
            <v>0</v>
          </cell>
          <cell r="H325">
            <v>0</v>
          </cell>
          <cell r="I325">
            <v>0</v>
          </cell>
          <cell r="J325">
            <v>14060.593917840954</v>
          </cell>
        </row>
        <row r="326">
          <cell r="A326">
            <v>309</v>
          </cell>
          <cell r="B326">
            <v>48366</v>
          </cell>
          <cell r="C326">
            <v>0</v>
          </cell>
          <cell r="D326">
            <v>1440.7285040253385</v>
          </cell>
          <cell r="E326">
            <v>0</v>
          </cell>
          <cell r="F326">
            <v>0</v>
          </cell>
          <cell r="G326">
            <v>0</v>
          </cell>
          <cell r="H326">
            <v>0</v>
          </cell>
          <cell r="I326">
            <v>0</v>
          </cell>
          <cell r="J326">
            <v>14060.593917840954</v>
          </cell>
        </row>
        <row r="327">
          <cell r="A327">
            <v>310</v>
          </cell>
          <cell r="B327">
            <v>48396</v>
          </cell>
          <cell r="C327">
            <v>0</v>
          </cell>
          <cell r="D327">
            <v>1440.7285040253385</v>
          </cell>
          <cell r="E327">
            <v>0</v>
          </cell>
          <cell r="F327">
            <v>0</v>
          </cell>
          <cell r="G327">
            <v>0</v>
          </cell>
          <cell r="H327">
            <v>0</v>
          </cell>
          <cell r="I327">
            <v>0</v>
          </cell>
          <cell r="J327">
            <v>14060.593917840954</v>
          </cell>
        </row>
        <row r="328">
          <cell r="A328">
            <v>311</v>
          </cell>
          <cell r="B328">
            <v>48427</v>
          </cell>
          <cell r="C328">
            <v>0</v>
          </cell>
          <cell r="D328">
            <v>1440.7285040253385</v>
          </cell>
          <cell r="E328">
            <v>0</v>
          </cell>
          <cell r="F328">
            <v>0</v>
          </cell>
          <cell r="G328">
            <v>0</v>
          </cell>
          <cell r="H328">
            <v>0</v>
          </cell>
          <cell r="I328">
            <v>0</v>
          </cell>
          <cell r="J328">
            <v>14060.593917840954</v>
          </cell>
        </row>
        <row r="329">
          <cell r="A329">
            <v>312</v>
          </cell>
          <cell r="B329">
            <v>48458</v>
          </cell>
          <cell r="C329">
            <v>0</v>
          </cell>
          <cell r="D329">
            <v>1440.7285040253385</v>
          </cell>
          <cell r="E329">
            <v>0</v>
          </cell>
          <cell r="F329">
            <v>0</v>
          </cell>
          <cell r="G329">
            <v>0</v>
          </cell>
          <cell r="H329">
            <v>0</v>
          </cell>
          <cell r="I329">
            <v>0</v>
          </cell>
          <cell r="J329">
            <v>14060.593917840954</v>
          </cell>
        </row>
        <row r="330">
          <cell r="A330">
            <v>313</v>
          </cell>
          <cell r="B330">
            <v>48488</v>
          </cell>
          <cell r="C330">
            <v>0</v>
          </cell>
          <cell r="D330">
            <v>1440.7285040253385</v>
          </cell>
          <cell r="E330">
            <v>0</v>
          </cell>
          <cell r="F330">
            <v>0</v>
          </cell>
          <cell r="G330">
            <v>0</v>
          </cell>
          <cell r="H330">
            <v>0</v>
          </cell>
          <cell r="I330">
            <v>0</v>
          </cell>
          <cell r="J330">
            <v>14060.593917840954</v>
          </cell>
        </row>
        <row r="331">
          <cell r="A331">
            <v>314</v>
          </cell>
          <cell r="B331">
            <v>48519</v>
          </cell>
          <cell r="C331">
            <v>0</v>
          </cell>
          <cell r="D331">
            <v>1440.7285040253385</v>
          </cell>
          <cell r="E331">
            <v>0</v>
          </cell>
          <cell r="F331">
            <v>0</v>
          </cell>
          <cell r="G331">
            <v>0</v>
          </cell>
          <cell r="H331">
            <v>0</v>
          </cell>
          <cell r="I331">
            <v>0</v>
          </cell>
          <cell r="J331">
            <v>14060.593917840954</v>
          </cell>
        </row>
        <row r="332">
          <cell r="A332">
            <v>315</v>
          </cell>
          <cell r="B332">
            <v>48549</v>
          </cell>
          <cell r="C332">
            <v>0</v>
          </cell>
          <cell r="D332">
            <v>1440.7285040253385</v>
          </cell>
          <cell r="E332">
            <v>0</v>
          </cell>
          <cell r="F332">
            <v>0</v>
          </cell>
          <cell r="G332">
            <v>0</v>
          </cell>
          <cell r="H332">
            <v>0</v>
          </cell>
          <cell r="I332">
            <v>0</v>
          </cell>
          <cell r="J332">
            <v>14060.593917840954</v>
          </cell>
        </row>
        <row r="333">
          <cell r="A333">
            <v>316</v>
          </cell>
          <cell r="B333">
            <v>48580</v>
          </cell>
          <cell r="C333">
            <v>0</v>
          </cell>
          <cell r="D333">
            <v>1440.7285040253385</v>
          </cell>
          <cell r="E333">
            <v>0</v>
          </cell>
          <cell r="F333">
            <v>0</v>
          </cell>
          <cell r="G333">
            <v>0</v>
          </cell>
          <cell r="H333">
            <v>0</v>
          </cell>
          <cell r="I333">
            <v>0</v>
          </cell>
          <cell r="J333">
            <v>14060.593917840954</v>
          </cell>
        </row>
        <row r="334">
          <cell r="A334">
            <v>317</v>
          </cell>
          <cell r="B334">
            <v>48611</v>
          </cell>
          <cell r="C334">
            <v>0</v>
          </cell>
          <cell r="D334">
            <v>1440.7285040253385</v>
          </cell>
          <cell r="E334">
            <v>0</v>
          </cell>
          <cell r="F334">
            <v>0</v>
          </cell>
          <cell r="G334">
            <v>0</v>
          </cell>
          <cell r="H334">
            <v>0</v>
          </cell>
          <cell r="I334">
            <v>0</v>
          </cell>
          <cell r="J334">
            <v>14060.593917840954</v>
          </cell>
        </row>
        <row r="335">
          <cell r="A335">
            <v>318</v>
          </cell>
          <cell r="B335">
            <v>48639</v>
          </cell>
          <cell r="C335">
            <v>0</v>
          </cell>
          <cell r="D335">
            <v>1440.7285040253385</v>
          </cell>
          <cell r="E335">
            <v>0</v>
          </cell>
          <cell r="F335">
            <v>0</v>
          </cell>
          <cell r="G335">
            <v>0</v>
          </cell>
          <cell r="H335">
            <v>0</v>
          </cell>
          <cell r="I335">
            <v>0</v>
          </cell>
          <cell r="J335">
            <v>14060.593917840954</v>
          </cell>
        </row>
        <row r="336">
          <cell r="A336">
            <v>319</v>
          </cell>
          <cell r="B336">
            <v>48670</v>
          </cell>
          <cell r="C336">
            <v>0</v>
          </cell>
          <cell r="D336">
            <v>1440.7285040253385</v>
          </cell>
          <cell r="E336">
            <v>0</v>
          </cell>
          <cell r="F336">
            <v>0</v>
          </cell>
          <cell r="G336">
            <v>0</v>
          </cell>
          <cell r="H336">
            <v>0</v>
          </cell>
          <cell r="I336">
            <v>0</v>
          </cell>
          <cell r="J336">
            <v>14060.593917840954</v>
          </cell>
        </row>
        <row r="337">
          <cell r="A337">
            <v>320</v>
          </cell>
          <cell r="B337">
            <v>48700</v>
          </cell>
          <cell r="C337">
            <v>0</v>
          </cell>
          <cell r="D337">
            <v>1440.7285040253385</v>
          </cell>
          <cell r="E337">
            <v>0</v>
          </cell>
          <cell r="F337">
            <v>0</v>
          </cell>
          <cell r="G337">
            <v>0</v>
          </cell>
          <cell r="H337">
            <v>0</v>
          </cell>
          <cell r="I337">
            <v>0</v>
          </cell>
          <cell r="J337">
            <v>14060.593917840954</v>
          </cell>
        </row>
        <row r="338">
          <cell r="A338">
            <v>321</v>
          </cell>
          <cell r="B338">
            <v>48731</v>
          </cell>
          <cell r="C338">
            <v>0</v>
          </cell>
          <cell r="D338">
            <v>1440.7285040253385</v>
          </cell>
          <cell r="E338">
            <v>0</v>
          </cell>
          <cell r="F338">
            <v>0</v>
          </cell>
          <cell r="G338">
            <v>0</v>
          </cell>
          <cell r="H338">
            <v>0</v>
          </cell>
          <cell r="I338">
            <v>0</v>
          </cell>
          <cell r="J338">
            <v>14060.593917840954</v>
          </cell>
        </row>
        <row r="339">
          <cell r="A339">
            <v>322</v>
          </cell>
          <cell r="B339">
            <v>48761</v>
          </cell>
          <cell r="C339">
            <v>0</v>
          </cell>
          <cell r="D339">
            <v>1440.7285040253385</v>
          </cell>
          <cell r="E339">
            <v>0</v>
          </cell>
          <cell r="F339">
            <v>0</v>
          </cell>
          <cell r="G339">
            <v>0</v>
          </cell>
          <cell r="H339">
            <v>0</v>
          </cell>
          <cell r="I339">
            <v>0</v>
          </cell>
          <cell r="J339">
            <v>14060.593917840954</v>
          </cell>
        </row>
        <row r="340">
          <cell r="A340">
            <v>323</v>
          </cell>
          <cell r="B340">
            <v>48792</v>
          </cell>
          <cell r="C340">
            <v>0</v>
          </cell>
          <cell r="D340">
            <v>1440.7285040253385</v>
          </cell>
          <cell r="E340">
            <v>0</v>
          </cell>
          <cell r="F340">
            <v>0</v>
          </cell>
          <cell r="G340">
            <v>0</v>
          </cell>
          <cell r="H340">
            <v>0</v>
          </cell>
          <cell r="I340">
            <v>0</v>
          </cell>
          <cell r="J340">
            <v>14060.593917840954</v>
          </cell>
        </row>
        <row r="341">
          <cell r="A341">
            <v>324</v>
          </cell>
          <cell r="B341">
            <v>48823</v>
          </cell>
          <cell r="C341">
            <v>0</v>
          </cell>
          <cell r="D341">
            <v>1440.7285040253385</v>
          </cell>
          <cell r="E341">
            <v>0</v>
          </cell>
          <cell r="F341">
            <v>0</v>
          </cell>
          <cell r="G341">
            <v>0</v>
          </cell>
          <cell r="H341">
            <v>0</v>
          </cell>
          <cell r="I341">
            <v>0</v>
          </cell>
          <cell r="J341">
            <v>14060.593917840954</v>
          </cell>
        </row>
        <row r="342">
          <cell r="A342">
            <v>325</v>
          </cell>
          <cell r="B342">
            <v>48853</v>
          </cell>
          <cell r="C342">
            <v>0</v>
          </cell>
          <cell r="D342">
            <v>1440.7285040253385</v>
          </cell>
          <cell r="E342">
            <v>0</v>
          </cell>
          <cell r="F342">
            <v>0</v>
          </cell>
          <cell r="G342">
            <v>0</v>
          </cell>
          <cell r="H342">
            <v>0</v>
          </cell>
          <cell r="I342">
            <v>0</v>
          </cell>
          <cell r="J342">
            <v>14060.593917840954</v>
          </cell>
        </row>
        <row r="343">
          <cell r="A343">
            <v>326</v>
          </cell>
          <cell r="B343">
            <v>48884</v>
          </cell>
          <cell r="C343">
            <v>0</v>
          </cell>
          <cell r="D343">
            <v>1440.7285040253385</v>
          </cell>
          <cell r="E343">
            <v>0</v>
          </cell>
          <cell r="F343">
            <v>0</v>
          </cell>
          <cell r="G343">
            <v>0</v>
          </cell>
          <cell r="H343">
            <v>0</v>
          </cell>
          <cell r="I343">
            <v>0</v>
          </cell>
          <cell r="J343">
            <v>14060.593917840954</v>
          </cell>
        </row>
        <row r="344">
          <cell r="A344">
            <v>327</v>
          </cell>
          <cell r="B344">
            <v>48914</v>
          </cell>
          <cell r="C344">
            <v>0</v>
          </cell>
          <cell r="D344">
            <v>1440.7285040253385</v>
          </cell>
          <cell r="E344">
            <v>0</v>
          </cell>
          <cell r="F344">
            <v>0</v>
          </cell>
          <cell r="G344">
            <v>0</v>
          </cell>
          <cell r="H344">
            <v>0</v>
          </cell>
          <cell r="I344">
            <v>0</v>
          </cell>
          <cell r="J344">
            <v>14060.593917840954</v>
          </cell>
        </row>
        <row r="345">
          <cell r="A345">
            <v>328</v>
          </cell>
          <cell r="B345">
            <v>48945</v>
          </cell>
          <cell r="C345">
            <v>0</v>
          </cell>
          <cell r="D345">
            <v>1440.7285040253385</v>
          </cell>
          <cell r="E345">
            <v>0</v>
          </cell>
          <cell r="F345">
            <v>0</v>
          </cell>
          <cell r="G345">
            <v>0</v>
          </cell>
          <cell r="H345">
            <v>0</v>
          </cell>
          <cell r="I345">
            <v>0</v>
          </cell>
          <cell r="J345">
            <v>14060.593917840954</v>
          </cell>
        </row>
        <row r="346">
          <cell r="A346">
            <v>329</v>
          </cell>
          <cell r="B346">
            <v>48976</v>
          </cell>
          <cell r="C346">
            <v>0</v>
          </cell>
          <cell r="D346">
            <v>1440.7285040253385</v>
          </cell>
          <cell r="E346">
            <v>0</v>
          </cell>
          <cell r="F346">
            <v>0</v>
          </cell>
          <cell r="G346">
            <v>0</v>
          </cell>
          <cell r="H346">
            <v>0</v>
          </cell>
          <cell r="I346">
            <v>0</v>
          </cell>
          <cell r="J346">
            <v>14060.593917840954</v>
          </cell>
        </row>
        <row r="347">
          <cell r="A347">
            <v>330</v>
          </cell>
          <cell r="B347">
            <v>49004</v>
          </cell>
          <cell r="C347">
            <v>0</v>
          </cell>
          <cell r="D347">
            <v>1440.7285040253385</v>
          </cell>
          <cell r="E347">
            <v>0</v>
          </cell>
          <cell r="F347">
            <v>0</v>
          </cell>
          <cell r="G347">
            <v>0</v>
          </cell>
          <cell r="H347">
            <v>0</v>
          </cell>
          <cell r="I347">
            <v>0</v>
          </cell>
          <cell r="J347">
            <v>14060.593917840954</v>
          </cell>
        </row>
        <row r="348">
          <cell r="A348">
            <v>331</v>
          </cell>
          <cell r="B348">
            <v>49035</v>
          </cell>
          <cell r="C348">
            <v>0</v>
          </cell>
          <cell r="D348">
            <v>1440.7285040253385</v>
          </cell>
          <cell r="E348">
            <v>0</v>
          </cell>
          <cell r="F348">
            <v>0</v>
          </cell>
          <cell r="G348">
            <v>0</v>
          </cell>
          <cell r="H348">
            <v>0</v>
          </cell>
          <cell r="I348">
            <v>0</v>
          </cell>
          <cell r="J348">
            <v>14060.593917840954</v>
          </cell>
        </row>
        <row r="349">
          <cell r="A349">
            <v>332</v>
          </cell>
          <cell r="B349">
            <v>49065</v>
          </cell>
          <cell r="C349">
            <v>0</v>
          </cell>
          <cell r="D349">
            <v>1440.7285040253385</v>
          </cell>
          <cell r="E349">
            <v>0</v>
          </cell>
          <cell r="F349">
            <v>0</v>
          </cell>
          <cell r="G349">
            <v>0</v>
          </cell>
          <cell r="H349">
            <v>0</v>
          </cell>
          <cell r="I349">
            <v>0</v>
          </cell>
          <cell r="J349">
            <v>14060.593917840954</v>
          </cell>
        </row>
        <row r="350">
          <cell r="A350">
            <v>333</v>
          </cell>
          <cell r="B350">
            <v>49096</v>
          </cell>
          <cell r="C350">
            <v>0</v>
          </cell>
          <cell r="D350">
            <v>1440.7285040253385</v>
          </cell>
          <cell r="E350">
            <v>0</v>
          </cell>
          <cell r="F350">
            <v>0</v>
          </cell>
          <cell r="G350">
            <v>0</v>
          </cell>
          <cell r="H350">
            <v>0</v>
          </cell>
          <cell r="I350">
            <v>0</v>
          </cell>
          <cell r="J350">
            <v>14060.593917840954</v>
          </cell>
        </row>
        <row r="351">
          <cell r="A351">
            <v>334</v>
          </cell>
          <cell r="B351">
            <v>49126</v>
          </cell>
          <cell r="C351">
            <v>0</v>
          </cell>
          <cell r="D351">
            <v>1440.7285040253385</v>
          </cell>
          <cell r="E351">
            <v>0</v>
          </cell>
          <cell r="F351">
            <v>0</v>
          </cell>
          <cell r="G351">
            <v>0</v>
          </cell>
          <cell r="H351">
            <v>0</v>
          </cell>
          <cell r="I351">
            <v>0</v>
          </cell>
          <cell r="J351">
            <v>14060.593917840954</v>
          </cell>
        </row>
        <row r="352">
          <cell r="A352">
            <v>335</v>
          </cell>
          <cell r="B352">
            <v>49157</v>
          </cell>
          <cell r="C352">
            <v>0</v>
          </cell>
          <cell r="D352">
            <v>1440.7285040253385</v>
          </cell>
          <cell r="E352">
            <v>0</v>
          </cell>
          <cell r="F352">
            <v>0</v>
          </cell>
          <cell r="G352">
            <v>0</v>
          </cell>
          <cell r="H352">
            <v>0</v>
          </cell>
          <cell r="I352">
            <v>0</v>
          </cell>
          <cell r="J352">
            <v>14060.593917840954</v>
          </cell>
        </row>
        <row r="353">
          <cell r="A353">
            <v>336</v>
          </cell>
          <cell r="B353">
            <v>49188</v>
          </cell>
          <cell r="C353">
            <v>0</v>
          </cell>
          <cell r="D353">
            <v>1440.7285040253385</v>
          </cell>
          <cell r="E353">
            <v>0</v>
          </cell>
          <cell r="F353">
            <v>0</v>
          </cell>
          <cell r="G353">
            <v>0</v>
          </cell>
          <cell r="H353">
            <v>0</v>
          </cell>
          <cell r="I353">
            <v>0</v>
          </cell>
          <cell r="J353">
            <v>14060.593917840954</v>
          </cell>
        </row>
        <row r="354">
          <cell r="A354">
            <v>337</v>
          </cell>
          <cell r="B354">
            <v>49218</v>
          </cell>
          <cell r="C354">
            <v>0</v>
          </cell>
          <cell r="D354">
            <v>1440.7285040253385</v>
          </cell>
          <cell r="E354">
            <v>0</v>
          </cell>
          <cell r="F354">
            <v>0</v>
          </cell>
          <cell r="G354">
            <v>0</v>
          </cell>
          <cell r="H354">
            <v>0</v>
          </cell>
          <cell r="I354">
            <v>0</v>
          </cell>
          <cell r="J354">
            <v>14060.593917840954</v>
          </cell>
        </row>
        <row r="355">
          <cell r="A355">
            <v>338</v>
          </cell>
          <cell r="B355">
            <v>49249</v>
          </cell>
          <cell r="C355">
            <v>0</v>
          </cell>
          <cell r="D355">
            <v>1440.7285040253385</v>
          </cell>
          <cell r="E355">
            <v>0</v>
          </cell>
          <cell r="F355">
            <v>0</v>
          </cell>
          <cell r="G355">
            <v>0</v>
          </cell>
          <cell r="H355">
            <v>0</v>
          </cell>
          <cell r="I355">
            <v>0</v>
          </cell>
          <cell r="J355">
            <v>14060.593917840954</v>
          </cell>
        </row>
        <row r="356">
          <cell r="A356">
            <v>339</v>
          </cell>
          <cell r="B356">
            <v>49279</v>
          </cell>
          <cell r="C356">
            <v>0</v>
          </cell>
          <cell r="D356">
            <v>1440.7285040253385</v>
          </cell>
          <cell r="E356">
            <v>0</v>
          </cell>
          <cell r="F356">
            <v>0</v>
          </cell>
          <cell r="G356">
            <v>0</v>
          </cell>
          <cell r="H356">
            <v>0</v>
          </cell>
          <cell r="I356">
            <v>0</v>
          </cell>
          <cell r="J356">
            <v>14060.593917840954</v>
          </cell>
        </row>
        <row r="357">
          <cell r="A357">
            <v>340</v>
          </cell>
          <cell r="B357">
            <v>49310</v>
          </cell>
          <cell r="C357">
            <v>0</v>
          </cell>
          <cell r="D357">
            <v>1440.7285040253385</v>
          </cell>
          <cell r="E357">
            <v>0</v>
          </cell>
          <cell r="F357">
            <v>0</v>
          </cell>
          <cell r="G357">
            <v>0</v>
          </cell>
          <cell r="H357">
            <v>0</v>
          </cell>
          <cell r="I357">
            <v>0</v>
          </cell>
          <cell r="J357">
            <v>14060.593917840954</v>
          </cell>
        </row>
        <row r="358">
          <cell r="A358">
            <v>341</v>
          </cell>
          <cell r="B358">
            <v>49341</v>
          </cell>
          <cell r="C358">
            <v>0</v>
          </cell>
          <cell r="D358">
            <v>1440.7285040253385</v>
          </cell>
          <cell r="E358">
            <v>0</v>
          </cell>
          <cell r="F358">
            <v>0</v>
          </cell>
          <cell r="G358">
            <v>0</v>
          </cell>
          <cell r="H358">
            <v>0</v>
          </cell>
          <cell r="I358">
            <v>0</v>
          </cell>
          <cell r="J358">
            <v>14060.593917840954</v>
          </cell>
        </row>
        <row r="359">
          <cell r="A359">
            <v>342</v>
          </cell>
          <cell r="B359">
            <v>49369</v>
          </cell>
          <cell r="C359">
            <v>0</v>
          </cell>
          <cell r="D359">
            <v>1440.7285040253385</v>
          </cell>
          <cell r="E359">
            <v>0</v>
          </cell>
          <cell r="F359">
            <v>0</v>
          </cell>
          <cell r="G359">
            <v>0</v>
          </cell>
          <cell r="H359">
            <v>0</v>
          </cell>
          <cell r="I359">
            <v>0</v>
          </cell>
          <cell r="J359">
            <v>14060.593917840954</v>
          </cell>
        </row>
        <row r="360">
          <cell r="A360">
            <v>343</v>
          </cell>
          <cell r="B360">
            <v>49400</v>
          </cell>
          <cell r="C360">
            <v>0</v>
          </cell>
          <cell r="D360">
            <v>1440.7285040253385</v>
          </cell>
          <cell r="E360">
            <v>0</v>
          </cell>
          <cell r="F360">
            <v>0</v>
          </cell>
          <cell r="G360">
            <v>0</v>
          </cell>
          <cell r="H360">
            <v>0</v>
          </cell>
          <cell r="I360">
            <v>0</v>
          </cell>
          <cell r="J360">
            <v>14060.593917840954</v>
          </cell>
        </row>
        <row r="361">
          <cell r="A361">
            <v>344</v>
          </cell>
          <cell r="B361">
            <v>49430</v>
          </cell>
          <cell r="C361">
            <v>0</v>
          </cell>
          <cell r="D361">
            <v>1440.7285040253385</v>
          </cell>
          <cell r="E361">
            <v>0</v>
          </cell>
          <cell r="F361">
            <v>0</v>
          </cell>
          <cell r="G361">
            <v>0</v>
          </cell>
          <cell r="H361">
            <v>0</v>
          </cell>
          <cell r="I361">
            <v>0</v>
          </cell>
          <cell r="J361">
            <v>14060.593917840954</v>
          </cell>
        </row>
        <row r="362">
          <cell r="A362">
            <v>345</v>
          </cell>
          <cell r="B362">
            <v>49461</v>
          </cell>
          <cell r="C362">
            <v>0</v>
          </cell>
          <cell r="D362">
            <v>1440.7285040253385</v>
          </cell>
          <cell r="E362">
            <v>0</v>
          </cell>
          <cell r="F362">
            <v>0</v>
          </cell>
          <cell r="G362">
            <v>0</v>
          </cell>
          <cell r="H362">
            <v>0</v>
          </cell>
          <cell r="I362">
            <v>0</v>
          </cell>
          <cell r="J362">
            <v>14060.593917840954</v>
          </cell>
        </row>
        <row r="363">
          <cell r="A363">
            <v>346</v>
          </cell>
          <cell r="B363">
            <v>49491</v>
          </cell>
          <cell r="C363">
            <v>0</v>
          </cell>
          <cell r="D363">
            <v>1440.7285040253385</v>
          </cell>
          <cell r="E363">
            <v>0</v>
          </cell>
          <cell r="F363">
            <v>0</v>
          </cell>
          <cell r="G363">
            <v>0</v>
          </cell>
          <cell r="H363">
            <v>0</v>
          </cell>
          <cell r="I363">
            <v>0</v>
          </cell>
          <cell r="J363">
            <v>14060.593917840954</v>
          </cell>
        </row>
        <row r="364">
          <cell r="A364">
            <v>347</v>
          </cell>
          <cell r="B364">
            <v>49522</v>
          </cell>
          <cell r="C364">
            <v>0</v>
          </cell>
          <cell r="D364">
            <v>1440.7285040253385</v>
          </cell>
          <cell r="E364">
            <v>0</v>
          </cell>
          <cell r="F364">
            <v>0</v>
          </cell>
          <cell r="G364">
            <v>0</v>
          </cell>
          <cell r="H364">
            <v>0</v>
          </cell>
          <cell r="I364">
            <v>0</v>
          </cell>
          <cell r="J364">
            <v>14060.593917840954</v>
          </cell>
        </row>
        <row r="365">
          <cell r="A365">
            <v>348</v>
          </cell>
          <cell r="B365">
            <v>49553</v>
          </cell>
          <cell r="C365">
            <v>0</v>
          </cell>
          <cell r="D365">
            <v>1440.7285040253385</v>
          </cell>
          <cell r="E365">
            <v>0</v>
          </cell>
          <cell r="F365">
            <v>0</v>
          </cell>
          <cell r="G365">
            <v>0</v>
          </cell>
          <cell r="H365">
            <v>0</v>
          </cell>
          <cell r="I365">
            <v>0</v>
          </cell>
          <cell r="J365">
            <v>14060.593917840954</v>
          </cell>
        </row>
        <row r="366">
          <cell r="A366">
            <v>349</v>
          </cell>
          <cell r="B366">
            <v>49583</v>
          </cell>
          <cell r="C366">
            <v>0</v>
          </cell>
          <cell r="D366">
            <v>1440.7285040253385</v>
          </cell>
          <cell r="E366">
            <v>0</v>
          </cell>
          <cell r="F366">
            <v>0</v>
          </cell>
          <cell r="G366">
            <v>0</v>
          </cell>
          <cell r="H366">
            <v>0</v>
          </cell>
          <cell r="I366">
            <v>0</v>
          </cell>
          <cell r="J366">
            <v>14060.593917840954</v>
          </cell>
        </row>
        <row r="367">
          <cell r="A367">
            <v>350</v>
          </cell>
          <cell r="B367">
            <v>49614</v>
          </cell>
          <cell r="C367">
            <v>0</v>
          </cell>
          <cell r="D367">
            <v>1440.7285040253385</v>
          </cell>
          <cell r="E367">
            <v>0</v>
          </cell>
          <cell r="F367">
            <v>0</v>
          </cell>
          <cell r="G367">
            <v>0</v>
          </cell>
          <cell r="H367">
            <v>0</v>
          </cell>
          <cell r="I367">
            <v>0</v>
          </cell>
          <cell r="J367">
            <v>14060.593917840954</v>
          </cell>
        </row>
        <row r="368">
          <cell r="A368">
            <v>351</v>
          </cell>
          <cell r="B368">
            <v>49644</v>
          </cell>
          <cell r="C368">
            <v>0</v>
          </cell>
          <cell r="D368">
            <v>1440.7285040253385</v>
          </cell>
          <cell r="E368">
            <v>0</v>
          </cell>
          <cell r="F368">
            <v>0</v>
          </cell>
          <cell r="G368">
            <v>0</v>
          </cell>
          <cell r="H368">
            <v>0</v>
          </cell>
          <cell r="I368">
            <v>0</v>
          </cell>
          <cell r="J368">
            <v>14060.593917840954</v>
          </cell>
        </row>
        <row r="369">
          <cell r="A369">
            <v>352</v>
          </cell>
          <cell r="B369">
            <v>49675</v>
          </cell>
          <cell r="C369">
            <v>0</v>
          </cell>
          <cell r="D369">
            <v>1440.7285040253385</v>
          </cell>
          <cell r="E369">
            <v>0</v>
          </cell>
          <cell r="F369">
            <v>0</v>
          </cell>
          <cell r="G369">
            <v>0</v>
          </cell>
          <cell r="H369">
            <v>0</v>
          </cell>
          <cell r="I369">
            <v>0</v>
          </cell>
          <cell r="J369">
            <v>14060.593917840954</v>
          </cell>
        </row>
        <row r="370">
          <cell r="A370">
            <v>353</v>
          </cell>
          <cell r="B370">
            <v>49706</v>
          </cell>
          <cell r="C370">
            <v>0</v>
          </cell>
          <cell r="D370">
            <v>1440.7285040253385</v>
          </cell>
          <cell r="E370">
            <v>0</v>
          </cell>
          <cell r="F370">
            <v>0</v>
          </cell>
          <cell r="G370">
            <v>0</v>
          </cell>
          <cell r="H370">
            <v>0</v>
          </cell>
          <cell r="I370">
            <v>0</v>
          </cell>
          <cell r="J370">
            <v>14060.593917840954</v>
          </cell>
        </row>
        <row r="371">
          <cell r="A371">
            <v>354</v>
          </cell>
          <cell r="B371">
            <v>49735</v>
          </cell>
          <cell r="C371">
            <v>0</v>
          </cell>
          <cell r="D371">
            <v>1440.7285040253385</v>
          </cell>
          <cell r="E371">
            <v>0</v>
          </cell>
          <cell r="F371">
            <v>0</v>
          </cell>
          <cell r="G371">
            <v>0</v>
          </cell>
          <cell r="H371">
            <v>0</v>
          </cell>
          <cell r="I371">
            <v>0</v>
          </cell>
          <cell r="J371">
            <v>14060.593917840954</v>
          </cell>
        </row>
        <row r="372">
          <cell r="A372">
            <v>355</v>
          </cell>
          <cell r="B372">
            <v>49766</v>
          </cell>
          <cell r="C372">
            <v>0</v>
          </cell>
          <cell r="D372">
            <v>1440.7285040253385</v>
          </cell>
          <cell r="E372">
            <v>0</v>
          </cell>
          <cell r="F372">
            <v>0</v>
          </cell>
          <cell r="G372">
            <v>0</v>
          </cell>
          <cell r="H372">
            <v>0</v>
          </cell>
          <cell r="I372">
            <v>0</v>
          </cell>
          <cell r="J372">
            <v>14060.593917840954</v>
          </cell>
        </row>
        <row r="373">
          <cell r="A373">
            <v>356</v>
          </cell>
          <cell r="B373">
            <v>49796</v>
          </cell>
          <cell r="C373">
            <v>0</v>
          </cell>
          <cell r="D373">
            <v>1440.7285040253385</v>
          </cell>
          <cell r="E373">
            <v>0</v>
          </cell>
          <cell r="F373">
            <v>0</v>
          </cell>
          <cell r="G373">
            <v>0</v>
          </cell>
          <cell r="H373">
            <v>0</v>
          </cell>
          <cell r="I373">
            <v>0</v>
          </cell>
          <cell r="J373">
            <v>14060.593917840954</v>
          </cell>
        </row>
        <row r="374">
          <cell r="A374">
            <v>357</v>
          </cell>
          <cell r="B374">
            <v>49827</v>
          </cell>
          <cell r="C374">
            <v>0</v>
          </cell>
          <cell r="D374">
            <v>1440.7285040253385</v>
          </cell>
          <cell r="E374">
            <v>0</v>
          </cell>
          <cell r="F374">
            <v>0</v>
          </cell>
          <cell r="G374">
            <v>0</v>
          </cell>
          <cell r="H374">
            <v>0</v>
          </cell>
          <cell r="I374">
            <v>0</v>
          </cell>
          <cell r="J374">
            <v>14060.593917840954</v>
          </cell>
        </row>
        <row r="375">
          <cell r="A375">
            <v>358</v>
          </cell>
          <cell r="B375">
            <v>49857</v>
          </cell>
          <cell r="C375">
            <v>0</v>
          </cell>
          <cell r="D375">
            <v>1440.7285040253385</v>
          </cell>
          <cell r="E375">
            <v>0</v>
          </cell>
          <cell r="F375">
            <v>0</v>
          </cell>
          <cell r="G375">
            <v>0</v>
          </cell>
          <cell r="H375">
            <v>0</v>
          </cell>
          <cell r="I375">
            <v>0</v>
          </cell>
          <cell r="J375">
            <v>14060.593917840954</v>
          </cell>
        </row>
        <row r="376">
          <cell r="A376">
            <v>359</v>
          </cell>
          <cell r="B376">
            <v>49888</v>
          </cell>
          <cell r="C376">
            <v>0</v>
          </cell>
          <cell r="D376">
            <v>1440.7285040253385</v>
          </cell>
          <cell r="E376">
            <v>0</v>
          </cell>
          <cell r="F376">
            <v>0</v>
          </cell>
          <cell r="G376">
            <v>0</v>
          </cell>
          <cell r="H376">
            <v>0</v>
          </cell>
          <cell r="I376">
            <v>0</v>
          </cell>
          <cell r="J376">
            <v>14060.593917840954</v>
          </cell>
        </row>
        <row r="377">
          <cell r="A377">
            <v>360</v>
          </cell>
          <cell r="B377">
            <v>49919</v>
          </cell>
          <cell r="C377">
            <v>0</v>
          </cell>
          <cell r="D377">
            <v>1440.7285040253385</v>
          </cell>
          <cell r="E377">
            <v>0</v>
          </cell>
          <cell r="F377">
            <v>0</v>
          </cell>
          <cell r="G377">
            <v>0</v>
          </cell>
          <cell r="H377">
            <v>0</v>
          </cell>
          <cell r="I377">
            <v>0</v>
          </cell>
          <cell r="J377">
            <v>14060.593917840954</v>
          </cell>
        </row>
      </sheetData>
      <sheetData sheetId="14"/>
      <sheetData sheetId="15"/>
      <sheetData sheetId="16"/>
      <sheetData sheetId="17"/>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CIQHiddenCacheSheet"/>
      <sheetName val="Compay ID Locater"/>
      <sheetName val="Comps"/>
      <sheetName val="Transactions"/>
      <sheetName val="Hard Coded&gt;&gt;"/>
      <sheetName val="Comps 1"/>
      <sheetName val="Transactions 1"/>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Summary Balance Sheet"/>
      <sheetName val="Summary Cash Flow Statement"/>
      <sheetName val="Profit &amp; Loss"/>
      <sheetName val="Fringe Benefits Pool"/>
      <sheetName val="Overhead Pool"/>
      <sheetName val="Mat_Hand."/>
      <sheetName val="G &amp; A Pool"/>
      <sheetName val="Rate recon"/>
      <sheetName val="Labor budget"/>
      <sheetName val="P&amp;L Assumptions"/>
      <sheetName val="Consultants"/>
      <sheetName val="LABOR PVT"/>
      <sheetName val="Labor Utilization Analysis"/>
      <sheetName val="Price"/>
      <sheetName val="Facilities Breakout"/>
      <sheetName val="PBC - FY11 CFF &amp; ACTUALS"/>
      <sheetName val="PBC-Pay Roll &amp; Taxes"/>
      <sheetName val="PBC - The Utilization model"/>
      <sheetName val="PBCFringe"/>
      <sheetName val="PBC - Overhead"/>
      <sheetName val="PBC G&amp;A"/>
      <sheetName val="PBC - FY11 CFF - the PLAN"/>
      <sheetName val="COA"/>
      <sheetName val="VACA"/>
      <sheetName val="04 12 Item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42">
          <cell r="A42" t="str">
            <v>Art  Hughes -142 hrs</v>
          </cell>
        </row>
        <row r="43">
          <cell r="A43" t="str">
            <v>Art  Hughes -40 hrs</v>
          </cell>
        </row>
        <row r="44">
          <cell r="A44" t="str">
            <v>BD Support  Indirect_Hire1</v>
          </cell>
        </row>
        <row r="45">
          <cell r="A45" t="str">
            <v>Brad  Beil</v>
          </cell>
        </row>
        <row r="46">
          <cell r="A46" t="str">
            <v>Cynthia  Femano</v>
          </cell>
        </row>
        <row r="47">
          <cell r="A47" t="str">
            <v>Dan  Seely</v>
          </cell>
        </row>
        <row r="48">
          <cell r="A48" t="str">
            <v>Derek  Rose</v>
          </cell>
        </row>
        <row r="49">
          <cell r="A49" t="str">
            <v>Greg Taylor</v>
          </cell>
        </row>
        <row r="50">
          <cell r="A50" t="str">
            <v>Gwyn  Whittaker</v>
          </cell>
        </row>
        <row r="51">
          <cell r="A51" t="str">
            <v>Jay  Patel</v>
          </cell>
        </row>
        <row r="52">
          <cell r="A52" t="str">
            <v>Jerry  Makowka</v>
          </cell>
        </row>
        <row r="53">
          <cell r="A53" t="str">
            <v>Ken  Platek</v>
          </cell>
        </row>
        <row r="54">
          <cell r="A54" t="str">
            <v>Len  Natkin-10%</v>
          </cell>
        </row>
        <row r="55">
          <cell r="A55" t="str">
            <v>Len  Natkin-45%A</v>
          </cell>
        </row>
        <row r="56">
          <cell r="A56" t="str">
            <v>Len Natkin- 45%B</v>
          </cell>
        </row>
        <row r="57">
          <cell r="A57" t="str">
            <v>Lillet  Flynn</v>
          </cell>
        </row>
        <row r="58">
          <cell r="A58" t="str">
            <v>Mark  Mazzocco</v>
          </cell>
        </row>
        <row r="59">
          <cell r="A59" t="str">
            <v>Mike  Kenworthy</v>
          </cell>
        </row>
        <row r="60">
          <cell r="A60" t="str">
            <v>Muriel  Ward</v>
          </cell>
        </row>
        <row r="61">
          <cell r="A61" t="str">
            <v>New Hire 10</v>
          </cell>
        </row>
        <row r="62">
          <cell r="A62" t="str">
            <v>New Hire 11</v>
          </cell>
        </row>
        <row r="63">
          <cell r="A63" t="str">
            <v>New Hire 12</v>
          </cell>
        </row>
        <row r="64">
          <cell r="A64" t="str">
            <v>New Hire 9</v>
          </cell>
        </row>
        <row r="65">
          <cell r="A65" t="str">
            <v>New Hire 9</v>
          </cell>
        </row>
        <row r="66">
          <cell r="A66" t="str">
            <v>New1-Rajiv Shah</v>
          </cell>
        </row>
        <row r="67">
          <cell r="A67" t="str">
            <v xml:space="preserve">New2Simmie Adams </v>
          </cell>
        </row>
        <row r="68">
          <cell r="A68" t="str">
            <v>New3-Chuck Spangler</v>
          </cell>
        </row>
        <row r="69">
          <cell r="A69" t="str">
            <v>New4-Mike Bennet</v>
          </cell>
        </row>
        <row r="70">
          <cell r="A70" t="str">
            <v>New5-Matt Meade</v>
          </cell>
        </row>
        <row r="71">
          <cell r="A71" t="str">
            <v>New6-Monica Milner</v>
          </cell>
        </row>
        <row r="72">
          <cell r="A72" t="str">
            <v>New7-John Anderson</v>
          </cell>
        </row>
        <row r="73">
          <cell r="A73" t="str">
            <v>Pat   Duecy</v>
          </cell>
        </row>
        <row r="74">
          <cell r="A74" t="str">
            <v>Scott Stewart</v>
          </cell>
        </row>
        <row r="75">
          <cell r="A75" t="str">
            <v>Set Cruz</v>
          </cell>
        </row>
        <row r="76">
          <cell r="A76" t="str">
            <v>Sharon  Ocheltree</v>
          </cell>
        </row>
        <row r="77">
          <cell r="A77" t="str">
            <v>TBD  Indirect_Hire2</v>
          </cell>
        </row>
        <row r="78">
          <cell r="A78" t="str">
            <v>TBD  Indirect_Hire3</v>
          </cell>
        </row>
        <row r="79">
          <cell r="A79" t="str">
            <v>TBD  Indirect_Hire4</v>
          </cell>
        </row>
        <row r="80">
          <cell r="A80" t="str">
            <v>Steve  Mace</v>
          </cell>
        </row>
        <row r="81">
          <cell r="A81" t="str">
            <v>TBD</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9.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8000"/>
  </sheetPr>
  <dimension ref="A1:Z1000"/>
  <sheetViews>
    <sheetView showGridLines="0" tabSelected="1" zoomScale="80" zoomScaleNormal="80" workbookViewId="0">
      <pane ySplit="2" topLeftCell="A3" activePane="bottomLeft" state="frozen"/>
      <selection pane="bottomLeft"/>
    </sheetView>
  </sheetViews>
  <sheetFormatPr defaultColWidth="14.42578125" defaultRowHeight="15" customHeight="1" outlineLevelRow="1" x14ac:dyDescent="0.25"/>
  <cols>
    <col min="1" max="2" width="1.7109375" customWidth="1"/>
    <col min="3" max="3" width="15.42578125" customWidth="1"/>
    <col min="4" max="5" width="13.5703125" customWidth="1"/>
    <col min="6" max="6" width="25.7109375" customWidth="1"/>
    <col min="7" max="8" width="13.5703125" customWidth="1"/>
    <col min="9" max="12" width="16.7109375" customWidth="1"/>
    <col min="13" max="13" width="4.5703125" customWidth="1"/>
    <col min="14" max="17" width="16.7109375" customWidth="1"/>
    <col min="18" max="18" width="1.7109375" customWidth="1"/>
    <col min="19" max="26" width="8.7109375" customWidth="1"/>
  </cols>
  <sheetData>
    <row r="1" spans="1:26" ht="18" customHeight="1" x14ac:dyDescent="0.35">
      <c r="A1" s="4"/>
      <c r="B1" s="4"/>
      <c r="C1" s="5" t="str">
        <f ca="1">Company_Name&amp;" - "&amp;MID(CELL("filename",A1),FIND("]",CELL("filename",A1))+1,255)&amp;": "&amp;Case_Scenario&amp;" Case"</f>
        <v>American Express Company - Cover: Base Case</v>
      </c>
      <c r="D1" s="4"/>
      <c r="E1" s="4"/>
      <c r="F1" s="4"/>
      <c r="G1" s="4"/>
      <c r="H1" s="4"/>
      <c r="I1" s="4"/>
      <c r="J1" s="4"/>
      <c r="K1" s="4"/>
      <c r="L1" s="4"/>
      <c r="M1" s="4"/>
      <c r="N1" s="4"/>
      <c r="O1" s="4"/>
      <c r="P1" s="4"/>
      <c r="Q1" s="6" t="s">
        <v>1</v>
      </c>
      <c r="R1" s="4"/>
      <c r="S1" s="4"/>
      <c r="T1" s="4"/>
      <c r="U1" s="4"/>
      <c r="V1" s="4"/>
      <c r="W1" s="4"/>
      <c r="X1" s="4"/>
      <c r="Y1" s="4"/>
      <c r="Z1" s="4"/>
    </row>
    <row r="2" spans="1:26" ht="13.5" customHeight="1" x14ac:dyDescent="0.25">
      <c r="A2" s="2"/>
      <c r="B2" s="2"/>
      <c r="C2" s="7" t="s">
        <v>2</v>
      </c>
      <c r="D2" s="2"/>
      <c r="E2" s="2"/>
      <c r="F2" s="2"/>
      <c r="G2" s="2"/>
      <c r="H2" s="2"/>
      <c r="I2" s="2"/>
      <c r="J2" s="2"/>
      <c r="K2" s="2"/>
      <c r="L2" s="2"/>
      <c r="M2" s="2"/>
      <c r="N2" s="2"/>
      <c r="O2" s="2"/>
      <c r="P2" s="2"/>
      <c r="Q2" s="8" t="s">
        <v>1154</v>
      </c>
      <c r="R2" s="2"/>
      <c r="S2" s="2"/>
      <c r="T2" s="2"/>
      <c r="U2" s="2"/>
      <c r="V2" s="2"/>
      <c r="W2" s="2"/>
      <c r="X2" s="2"/>
      <c r="Y2" s="2"/>
      <c r="Z2" s="2"/>
    </row>
    <row r="3" spans="1:26" ht="13.5" customHeight="1" x14ac:dyDescent="0.25">
      <c r="A3" s="3"/>
      <c r="B3" s="9"/>
      <c r="C3" s="9"/>
      <c r="D3" s="9"/>
      <c r="E3" s="9"/>
      <c r="F3" s="9"/>
      <c r="G3" s="9"/>
      <c r="H3" s="9"/>
      <c r="I3" s="9"/>
      <c r="J3" s="9"/>
      <c r="K3" s="9"/>
      <c r="L3" s="9"/>
      <c r="M3" s="9"/>
      <c r="N3" s="9"/>
      <c r="O3" s="9"/>
      <c r="P3" s="9"/>
      <c r="Q3" s="9"/>
      <c r="R3" s="10" t="s">
        <v>0</v>
      </c>
      <c r="S3" s="9"/>
      <c r="T3" s="9"/>
      <c r="U3" s="9"/>
      <c r="V3" s="9"/>
      <c r="W3" s="9"/>
      <c r="X3" s="9"/>
      <c r="Y3" s="9"/>
      <c r="Z3" s="9"/>
    </row>
    <row r="4" spans="1:26" ht="13.5" customHeight="1" x14ac:dyDescent="0.25">
      <c r="A4" s="10" t="s">
        <v>0</v>
      </c>
      <c r="B4" s="9"/>
      <c r="C4" s="11" t="s">
        <v>4</v>
      </c>
      <c r="D4" s="12"/>
      <c r="E4" s="12"/>
      <c r="F4" s="13"/>
      <c r="G4" s="9"/>
      <c r="H4" s="9"/>
      <c r="I4" s="11" t="s">
        <v>5</v>
      </c>
      <c r="J4" s="12"/>
      <c r="K4" s="12"/>
      <c r="L4" s="12"/>
      <c r="M4" s="12"/>
      <c r="N4" s="12"/>
      <c r="O4" s="12"/>
      <c r="P4" s="12"/>
      <c r="Q4" s="13"/>
      <c r="R4" s="9"/>
      <c r="S4" s="9"/>
      <c r="T4" s="9"/>
      <c r="U4" s="9"/>
      <c r="V4" s="9"/>
      <c r="W4" s="9"/>
      <c r="X4" s="9"/>
      <c r="Y4" s="9"/>
      <c r="Z4" s="9"/>
    </row>
    <row r="5" spans="1:26" ht="13.5" customHeight="1" x14ac:dyDescent="0.25">
      <c r="A5" s="9"/>
      <c r="B5" s="9"/>
      <c r="C5" s="9"/>
      <c r="D5" s="9"/>
      <c r="E5" s="9"/>
      <c r="F5" s="9"/>
      <c r="G5" s="9"/>
      <c r="H5" s="9"/>
      <c r="I5" s="9"/>
      <c r="J5" s="9"/>
      <c r="K5" s="9"/>
      <c r="L5" s="9"/>
      <c r="M5" s="9"/>
      <c r="N5" s="9"/>
      <c r="O5" s="9"/>
      <c r="P5" s="9"/>
      <c r="Q5" s="9"/>
      <c r="R5" s="9"/>
      <c r="S5" s="9"/>
      <c r="T5" s="9"/>
      <c r="U5" s="9"/>
      <c r="V5" s="9"/>
      <c r="W5" s="9"/>
      <c r="X5" s="9"/>
      <c r="Y5" s="9"/>
      <c r="Z5" s="9"/>
    </row>
    <row r="6" spans="1:26" ht="13.5" customHeight="1" x14ac:dyDescent="0.25">
      <c r="A6" s="9"/>
      <c r="B6" s="9"/>
      <c r="C6" s="9"/>
      <c r="D6" s="9"/>
      <c r="E6" s="9"/>
      <c r="F6" s="9"/>
      <c r="G6" s="9"/>
      <c r="H6" s="9"/>
      <c r="I6" s="951" t="s">
        <v>6</v>
      </c>
      <c r="J6" s="933"/>
      <c r="K6" s="933"/>
      <c r="L6" s="934"/>
      <c r="M6" s="9"/>
      <c r="N6" s="951" t="s">
        <v>7</v>
      </c>
      <c r="O6" s="933"/>
      <c r="P6" s="933"/>
      <c r="Q6" s="934"/>
      <c r="R6" s="9"/>
      <c r="S6" s="9"/>
      <c r="T6" s="9"/>
      <c r="U6" s="9"/>
      <c r="V6" s="9"/>
      <c r="W6" s="9"/>
      <c r="X6" s="9"/>
      <c r="Y6" s="9"/>
      <c r="Z6" s="9"/>
    </row>
    <row r="7" spans="1:26" ht="13.5" customHeight="1" x14ac:dyDescent="0.25">
      <c r="A7" s="9"/>
      <c r="B7" s="9"/>
      <c r="D7" s="9"/>
      <c r="E7" s="9"/>
      <c r="F7" s="9"/>
      <c r="G7" s="9"/>
      <c r="H7" s="9"/>
      <c r="I7" s="2"/>
      <c r="J7" s="2"/>
      <c r="K7" s="2"/>
      <c r="L7" s="2"/>
      <c r="M7" s="9"/>
      <c r="N7" s="2"/>
      <c r="O7" s="2"/>
      <c r="P7" s="2"/>
      <c r="Q7" s="2"/>
      <c r="R7" s="9"/>
      <c r="S7" s="9"/>
      <c r="T7" s="9"/>
      <c r="U7" s="9"/>
      <c r="V7" s="9"/>
      <c r="W7" s="9"/>
      <c r="X7" s="9"/>
      <c r="Y7" s="9"/>
      <c r="Z7" s="9"/>
    </row>
    <row r="8" spans="1:26" ht="13.5" customHeight="1" x14ac:dyDescent="0.25">
      <c r="A8" s="9"/>
      <c r="B8" s="9"/>
      <c r="C8" s="9"/>
      <c r="D8" s="9"/>
      <c r="E8" s="9"/>
      <c r="F8" s="9"/>
      <c r="G8" s="9"/>
      <c r="H8" s="9"/>
      <c r="I8" s="952" t="s">
        <v>8</v>
      </c>
      <c r="J8" s="933"/>
      <c r="K8" s="933"/>
      <c r="L8" s="934"/>
      <c r="M8" s="9"/>
      <c r="N8" s="952" t="s">
        <v>9</v>
      </c>
      <c r="O8" s="933"/>
      <c r="P8" s="933"/>
      <c r="Q8" s="934"/>
      <c r="R8" s="9"/>
      <c r="S8" s="9"/>
      <c r="T8" s="9"/>
      <c r="U8" s="9"/>
      <c r="V8" s="9"/>
      <c r="W8" s="9"/>
      <c r="X8" s="9"/>
      <c r="Y8" s="9"/>
      <c r="Z8" s="9"/>
    </row>
    <row r="9" spans="1:26" ht="13.5" customHeight="1" x14ac:dyDescent="0.25">
      <c r="A9" s="9"/>
      <c r="B9" s="9"/>
      <c r="C9" s="9"/>
      <c r="D9" s="9"/>
      <c r="F9" s="9"/>
      <c r="G9" s="9"/>
      <c r="H9" s="9"/>
      <c r="I9" s="14" t="s">
        <v>10</v>
      </c>
      <c r="J9" s="2"/>
      <c r="K9" s="2"/>
      <c r="L9" s="15">
        <f ca="1">Valuation!K57</f>
        <v>296624.47258748783</v>
      </c>
      <c r="M9" s="9"/>
      <c r="N9" s="14"/>
      <c r="O9" s="2"/>
      <c r="P9" s="16" t="s">
        <v>11</v>
      </c>
      <c r="Q9" s="17" t="s">
        <v>12</v>
      </c>
      <c r="R9" s="9"/>
      <c r="S9" s="9"/>
      <c r="T9" s="9"/>
      <c r="U9" s="9"/>
      <c r="V9" s="9"/>
      <c r="W9" s="9"/>
      <c r="X9" s="9"/>
      <c r="Y9" s="9"/>
      <c r="Z9" s="9"/>
    </row>
    <row r="10" spans="1:26" ht="13.5" customHeight="1" x14ac:dyDescent="0.25">
      <c r="A10" s="9"/>
      <c r="B10" s="9"/>
      <c r="C10" s="9"/>
      <c r="D10" s="9"/>
      <c r="E10" s="9"/>
      <c r="F10" s="9"/>
      <c r="G10" s="9"/>
      <c r="H10" s="9"/>
      <c r="I10" s="14" t="s">
        <v>13</v>
      </c>
      <c r="J10" s="2"/>
      <c r="K10" s="2"/>
      <c r="L10" s="18">
        <f>Valuation!K64</f>
        <v>0</v>
      </c>
      <c r="M10" s="9"/>
      <c r="N10" s="14"/>
      <c r="O10" s="2"/>
      <c r="P10" s="2"/>
      <c r="Q10" s="19"/>
      <c r="R10" s="9"/>
      <c r="S10" s="9"/>
      <c r="T10" s="9"/>
      <c r="U10" s="9"/>
      <c r="V10" s="9"/>
      <c r="W10" s="9"/>
      <c r="X10" s="9"/>
      <c r="Y10" s="9"/>
      <c r="Z10" s="9"/>
    </row>
    <row r="11" spans="1:26" ht="13.5" customHeight="1" x14ac:dyDescent="0.25">
      <c r="A11" s="9"/>
      <c r="B11" s="9"/>
      <c r="C11" s="9"/>
      <c r="D11" s="9"/>
      <c r="E11" s="9"/>
      <c r="F11" s="9"/>
      <c r="G11" s="9"/>
      <c r="H11" s="9"/>
      <c r="I11" s="14"/>
      <c r="J11" s="2"/>
      <c r="K11" s="2"/>
      <c r="L11" s="20"/>
      <c r="M11" s="9"/>
      <c r="N11" s="14" t="s">
        <v>14</v>
      </c>
      <c r="O11" s="2"/>
      <c r="P11" s="21">
        <f ca="1">Valuation!N129</f>
        <v>335.71783764500725</v>
      </c>
      <c r="Q11" s="22">
        <f ca="1">Valuation!N130</f>
        <v>7.0733678781039755E-2</v>
      </c>
      <c r="R11" s="9"/>
      <c r="S11" s="9"/>
      <c r="T11" s="9"/>
      <c r="U11" s="9"/>
      <c r="V11" s="9"/>
      <c r="W11" s="9"/>
      <c r="X11" s="9"/>
      <c r="Y11" s="9"/>
      <c r="Z11" s="9"/>
    </row>
    <row r="12" spans="1:26" ht="13.5" customHeight="1" x14ac:dyDescent="0.25">
      <c r="A12" s="9"/>
      <c r="B12" s="9"/>
      <c r="C12" s="9"/>
      <c r="D12" s="9"/>
      <c r="E12" s="9"/>
      <c r="F12" s="9"/>
      <c r="G12" s="9"/>
      <c r="H12" s="9"/>
      <c r="I12" s="23" t="s">
        <v>15</v>
      </c>
      <c r="J12" s="24"/>
      <c r="K12" s="24"/>
      <c r="L12" s="25">
        <f>Valuation!K68</f>
        <v>0</v>
      </c>
      <c r="M12" s="9"/>
      <c r="N12" s="14"/>
      <c r="O12" s="2"/>
      <c r="P12" s="2"/>
      <c r="Q12" s="19"/>
      <c r="R12" s="9"/>
      <c r="S12" s="9"/>
      <c r="T12" s="9"/>
      <c r="U12" s="9"/>
      <c r="V12" s="9"/>
      <c r="W12" s="9"/>
      <c r="X12" s="9"/>
      <c r="Y12" s="9"/>
      <c r="Z12" s="9"/>
    </row>
    <row r="13" spans="1:26" ht="13.5" customHeight="1" x14ac:dyDescent="0.25">
      <c r="A13" s="9"/>
      <c r="B13" s="9"/>
      <c r="C13" s="9"/>
      <c r="D13" s="9"/>
      <c r="E13" s="9"/>
      <c r="F13" s="9"/>
      <c r="G13" s="9"/>
      <c r="H13" s="9"/>
      <c r="I13" s="26" t="s">
        <v>12</v>
      </c>
      <c r="J13" s="27"/>
      <c r="K13" s="27"/>
      <c r="L13" s="28">
        <f>Valuation!K69</f>
        <v>0</v>
      </c>
      <c r="M13" s="9"/>
      <c r="N13" s="29" t="s">
        <v>16</v>
      </c>
      <c r="O13" s="27"/>
      <c r="P13" s="30">
        <f ca="1">Valuation!N207</f>
        <v>423.10361360174556</v>
      </c>
      <c r="Q13" s="28">
        <f ca="1">Valuation!N208</f>
        <v>0.34944062512516916</v>
      </c>
      <c r="R13" s="9"/>
      <c r="S13" s="9"/>
      <c r="T13" s="9"/>
      <c r="U13" s="9"/>
      <c r="V13" s="9"/>
      <c r="W13" s="9"/>
      <c r="X13" s="9"/>
      <c r="Y13" s="9"/>
      <c r="Z13" s="9"/>
    </row>
    <row r="14" spans="1:26" ht="13.5" customHeight="1" x14ac:dyDescent="0.25">
      <c r="A14" s="9"/>
      <c r="B14" s="9"/>
      <c r="C14" s="9"/>
      <c r="D14" s="9"/>
      <c r="E14" s="9"/>
      <c r="F14" s="9"/>
      <c r="G14" s="9"/>
      <c r="H14" s="9"/>
      <c r="I14" s="2"/>
      <c r="J14" s="2"/>
      <c r="K14" s="2"/>
      <c r="L14" s="2"/>
      <c r="M14" s="9"/>
      <c r="N14" s="2"/>
      <c r="O14" s="2"/>
      <c r="P14" s="2"/>
      <c r="Q14" s="2"/>
      <c r="R14" s="9"/>
      <c r="S14" s="9"/>
      <c r="T14" s="9"/>
      <c r="U14" s="9"/>
      <c r="V14" s="9"/>
      <c r="W14" s="9"/>
      <c r="X14" s="9"/>
      <c r="Y14" s="9"/>
      <c r="Z14" s="9"/>
    </row>
    <row r="15" spans="1:26" ht="13.5" customHeight="1" x14ac:dyDescent="0.25">
      <c r="A15" s="9"/>
      <c r="B15" s="9"/>
      <c r="C15" s="9"/>
      <c r="D15" s="9"/>
      <c r="E15" s="9"/>
      <c r="F15" s="9"/>
      <c r="G15" s="9"/>
      <c r="H15" s="9"/>
      <c r="I15" s="952" t="s">
        <v>17</v>
      </c>
      <c r="J15" s="933"/>
      <c r="K15" s="933"/>
      <c r="L15" s="934"/>
      <c r="M15" s="9"/>
      <c r="N15" s="952" t="s">
        <v>18</v>
      </c>
      <c r="O15" s="933"/>
      <c r="P15" s="933"/>
      <c r="Q15" s="934"/>
      <c r="R15" s="9"/>
      <c r="S15" s="9"/>
      <c r="T15" s="9"/>
      <c r="U15" s="9"/>
      <c r="V15" s="9"/>
      <c r="W15" s="9"/>
      <c r="X15" s="9"/>
      <c r="Y15" s="9"/>
      <c r="Z15" s="9"/>
    </row>
    <row r="16" spans="1:26" ht="13.5" customHeight="1" x14ac:dyDescent="0.25">
      <c r="A16" s="9"/>
      <c r="B16" s="9"/>
      <c r="C16" s="9"/>
      <c r="D16" s="9"/>
      <c r="E16" s="9"/>
      <c r="F16" s="9"/>
      <c r="G16" s="9"/>
      <c r="H16" s="9"/>
      <c r="I16" s="14" t="s">
        <v>10</v>
      </c>
      <c r="J16" s="2"/>
      <c r="K16" s="2"/>
      <c r="L16" s="15">
        <f ca="1">Valuation!R57</f>
        <v>10375.822827381246</v>
      </c>
      <c r="M16" s="9"/>
      <c r="N16" s="14"/>
      <c r="O16" s="2"/>
      <c r="P16" s="16" t="s">
        <v>11</v>
      </c>
      <c r="Q16" s="17" t="s">
        <v>12</v>
      </c>
      <c r="R16" s="9"/>
      <c r="S16" s="9"/>
      <c r="T16" s="9"/>
      <c r="U16" s="9"/>
      <c r="V16" s="9"/>
      <c r="W16" s="9"/>
      <c r="X16" s="9"/>
      <c r="Y16" s="9"/>
      <c r="Z16" s="9"/>
    </row>
    <row r="17" spans="1:26" ht="13.5" customHeight="1" x14ac:dyDescent="0.25">
      <c r="A17" s="9"/>
      <c r="B17" s="9"/>
      <c r="C17" s="9"/>
      <c r="D17" s="9"/>
      <c r="E17" s="9"/>
      <c r="F17" s="9"/>
      <c r="G17" s="9"/>
      <c r="H17" s="9"/>
      <c r="I17" s="14" t="s">
        <v>13</v>
      </c>
      <c r="J17" s="2"/>
      <c r="K17" s="2"/>
      <c r="L17" s="18">
        <f>Valuation!R64</f>
        <v>0</v>
      </c>
      <c r="M17" s="9"/>
      <c r="N17" s="14"/>
      <c r="O17" s="2"/>
      <c r="P17" s="2"/>
      <c r="Q17" s="19"/>
      <c r="R17" s="9"/>
      <c r="S17" s="9"/>
      <c r="T17" s="9"/>
      <c r="U17" s="9"/>
      <c r="V17" s="9"/>
      <c r="W17" s="9"/>
      <c r="X17" s="9"/>
      <c r="Y17" s="9"/>
      <c r="Z17" s="9"/>
    </row>
    <row r="18" spans="1:26" ht="13.5" customHeight="1" x14ac:dyDescent="0.25">
      <c r="A18" s="9"/>
      <c r="B18" s="9"/>
      <c r="C18" s="9"/>
      <c r="D18" s="9"/>
      <c r="E18" s="9"/>
      <c r="F18" s="9"/>
      <c r="G18" s="9"/>
      <c r="H18" s="9"/>
      <c r="I18" s="14"/>
      <c r="J18" s="2"/>
      <c r="K18" s="2"/>
      <c r="L18" s="20"/>
      <c r="M18" s="9"/>
      <c r="N18" s="14" t="s">
        <v>19</v>
      </c>
      <c r="O18" s="2"/>
      <c r="P18" s="21">
        <f>Valuation!F118</f>
        <v>362.3673553684867</v>
      </c>
      <c r="Q18" s="22">
        <f>Valuation!F119</f>
        <v>0.15077441445738748</v>
      </c>
      <c r="R18" s="9"/>
      <c r="S18" s="9"/>
      <c r="T18" s="9"/>
      <c r="U18" s="9"/>
      <c r="V18" s="9"/>
      <c r="W18" s="9"/>
      <c r="X18" s="9"/>
      <c r="Y18" s="9"/>
      <c r="Z18" s="9"/>
    </row>
    <row r="19" spans="1:26" ht="13.5" customHeight="1" x14ac:dyDescent="0.25">
      <c r="A19" s="9"/>
      <c r="B19" s="9"/>
      <c r="C19" s="9" t="s">
        <v>20</v>
      </c>
      <c r="D19" s="9"/>
      <c r="E19" s="9"/>
      <c r="F19" s="31" t="s">
        <v>853</v>
      </c>
      <c r="G19" s="9"/>
      <c r="H19" s="9"/>
      <c r="I19" s="23" t="s">
        <v>15</v>
      </c>
      <c r="J19" s="24"/>
      <c r="K19" s="24"/>
      <c r="L19" s="25">
        <f>Valuation!R68</f>
        <v>0</v>
      </c>
      <c r="M19" s="9"/>
      <c r="N19" s="14"/>
      <c r="O19" s="2"/>
      <c r="P19" s="2"/>
      <c r="Q19" s="19"/>
      <c r="R19" s="9"/>
      <c r="S19" s="9"/>
      <c r="T19" s="9"/>
      <c r="U19" s="9"/>
      <c r="V19" s="9"/>
      <c r="W19" s="9"/>
      <c r="X19" s="9"/>
      <c r="Y19" s="9"/>
      <c r="Z19" s="9"/>
    </row>
    <row r="20" spans="1:26" ht="13.5" customHeight="1" x14ac:dyDescent="0.25">
      <c r="A20" s="9"/>
      <c r="B20" s="9"/>
      <c r="C20" s="9" t="s">
        <v>22</v>
      </c>
      <c r="D20" s="9"/>
      <c r="E20" s="9"/>
      <c r="F20" s="31" t="s">
        <v>817</v>
      </c>
      <c r="G20" s="9"/>
      <c r="H20" s="9"/>
      <c r="I20" s="26" t="s">
        <v>12</v>
      </c>
      <c r="J20" s="27"/>
      <c r="K20" s="27"/>
      <c r="L20" s="28">
        <f>Valuation!R69</f>
        <v>0</v>
      </c>
      <c r="M20" s="9"/>
      <c r="N20" s="29" t="s">
        <v>24</v>
      </c>
      <c r="O20" s="27"/>
      <c r="P20" s="30">
        <f>Valuation!F196</f>
        <v>260.24205128888832</v>
      </c>
      <c r="Q20" s="28">
        <f>Valuation!F197</f>
        <v>-0.17354615488301206</v>
      </c>
      <c r="R20" s="9"/>
      <c r="S20" s="9"/>
      <c r="T20" s="9"/>
      <c r="U20" s="9"/>
      <c r="V20" s="9"/>
      <c r="W20" s="9"/>
      <c r="X20" s="9"/>
      <c r="Y20" s="9"/>
      <c r="Z20" s="9"/>
    </row>
    <row r="21" spans="1:26" ht="13.5" customHeight="1" x14ac:dyDescent="0.25">
      <c r="A21" s="9"/>
      <c r="B21" s="9"/>
      <c r="C21" s="9"/>
      <c r="D21" s="9"/>
      <c r="E21" s="9"/>
      <c r="F21" s="32"/>
      <c r="G21" s="9"/>
      <c r="H21" s="9"/>
      <c r="I21" s="2"/>
      <c r="J21" s="9"/>
      <c r="K21" s="9"/>
      <c r="L21" s="9"/>
      <c r="M21" s="9"/>
      <c r="N21" s="9"/>
      <c r="O21" s="9"/>
      <c r="P21" s="9"/>
      <c r="Q21" s="9"/>
      <c r="R21" s="9"/>
      <c r="S21" s="9"/>
      <c r="T21" s="9"/>
      <c r="U21" s="9"/>
      <c r="V21" s="9"/>
      <c r="W21" s="9"/>
      <c r="X21" s="9"/>
      <c r="Y21" s="9"/>
      <c r="Z21" s="9"/>
    </row>
    <row r="22" spans="1:26" ht="13.5" customHeight="1" x14ac:dyDescent="0.25">
      <c r="A22" s="9"/>
      <c r="B22" s="9"/>
      <c r="C22" s="33" t="s">
        <v>25</v>
      </c>
      <c r="D22" s="34"/>
      <c r="E22" s="34"/>
      <c r="F22" s="35" t="s">
        <v>26</v>
      </c>
      <c r="G22" s="9"/>
      <c r="H22" s="9"/>
      <c r="I22" s="36" t="s">
        <v>27</v>
      </c>
      <c r="J22" s="12"/>
      <c r="K22" s="12"/>
      <c r="L22" s="12"/>
      <c r="M22" s="12"/>
      <c r="N22" s="12"/>
      <c r="O22" s="12"/>
      <c r="P22" s="12"/>
      <c r="Q22" s="13"/>
      <c r="R22" s="9"/>
      <c r="S22" s="9"/>
      <c r="T22" s="9"/>
      <c r="U22" s="9"/>
      <c r="V22" s="9"/>
      <c r="W22" s="9"/>
      <c r="X22" s="9"/>
      <c r="Y22" s="9"/>
      <c r="Z22" s="9"/>
    </row>
    <row r="23" spans="1:26" ht="13.5" customHeight="1" x14ac:dyDescent="0.25">
      <c r="A23" s="9"/>
      <c r="B23" s="9"/>
      <c r="C23" s="9"/>
      <c r="D23" s="37"/>
      <c r="E23" s="9"/>
      <c r="F23" s="32"/>
      <c r="G23" s="9"/>
      <c r="H23" s="9"/>
      <c r="I23" s="2"/>
      <c r="J23" s="9"/>
      <c r="K23" s="9"/>
      <c r="L23" s="9"/>
      <c r="M23" s="9"/>
      <c r="N23" s="38"/>
      <c r="O23" s="38"/>
      <c r="P23" s="38"/>
      <c r="Q23" s="9"/>
      <c r="R23" s="9"/>
      <c r="S23" s="9"/>
      <c r="T23" s="9"/>
      <c r="U23" s="9"/>
      <c r="V23" s="9"/>
      <c r="W23" s="9"/>
      <c r="X23" s="9"/>
      <c r="Y23" s="9"/>
      <c r="Z23" s="9"/>
    </row>
    <row r="24" spans="1:26" ht="13.5" customHeight="1" x14ac:dyDescent="0.25">
      <c r="A24" s="9"/>
      <c r="B24" s="9"/>
      <c r="C24" s="9" t="s">
        <v>28</v>
      </c>
      <c r="D24" s="9"/>
      <c r="E24" s="9"/>
      <c r="F24" s="39">
        <v>46022</v>
      </c>
      <c r="G24" s="9"/>
      <c r="H24" s="9"/>
      <c r="I24" s="40" t="s">
        <v>29</v>
      </c>
      <c r="J24" s="9"/>
      <c r="K24" s="9"/>
      <c r="L24" s="9"/>
      <c r="M24" s="9"/>
      <c r="N24" s="9"/>
      <c r="O24" s="9"/>
      <c r="P24" s="9"/>
      <c r="Q24" s="9"/>
      <c r="R24" s="9"/>
      <c r="S24" s="9"/>
      <c r="T24" s="9"/>
      <c r="U24" s="9"/>
      <c r="V24" s="9"/>
      <c r="W24" s="9"/>
      <c r="X24" s="9"/>
      <c r="Y24" s="9"/>
      <c r="Z24" s="9"/>
    </row>
    <row r="25" spans="1:26" ht="13.5" customHeight="1" x14ac:dyDescent="0.25">
      <c r="A25" s="9"/>
      <c r="B25" s="9"/>
      <c r="C25" s="9" t="s">
        <v>30</v>
      </c>
      <c r="D25" s="9"/>
      <c r="E25" s="9"/>
      <c r="F25" s="41">
        <f>Last_FYE+365</f>
        <v>46387</v>
      </c>
      <c r="G25" s="9"/>
      <c r="H25" s="9"/>
      <c r="I25" s="40" t="s">
        <v>31</v>
      </c>
      <c r="J25" s="9"/>
      <c r="K25" s="9"/>
      <c r="L25" s="9"/>
      <c r="M25" s="9"/>
      <c r="N25" s="9"/>
      <c r="O25" s="9"/>
      <c r="P25" s="9"/>
      <c r="Q25" s="9"/>
      <c r="R25" s="9"/>
      <c r="S25" s="9"/>
      <c r="T25" s="9"/>
      <c r="U25" s="9"/>
      <c r="V25" s="9"/>
      <c r="W25" s="9"/>
      <c r="X25" s="9"/>
      <c r="Y25" s="9"/>
      <c r="Z25" s="9"/>
    </row>
    <row r="26" spans="1:26" ht="13.5" customHeight="1" x14ac:dyDescent="0.25">
      <c r="A26" s="10"/>
      <c r="B26" s="9"/>
      <c r="C26" s="9" t="s">
        <v>32</v>
      </c>
      <c r="D26" s="9"/>
      <c r="E26" s="9"/>
      <c r="F26" s="31" t="s">
        <v>1158</v>
      </c>
      <c r="G26" s="9"/>
      <c r="H26" s="9"/>
      <c r="I26" s="40" t="s">
        <v>33</v>
      </c>
      <c r="J26" s="9"/>
      <c r="K26" s="9"/>
      <c r="L26" s="9"/>
      <c r="M26" s="9"/>
      <c r="N26" s="9"/>
      <c r="O26" s="9"/>
      <c r="P26" s="9"/>
      <c r="Q26" s="9"/>
      <c r="R26" s="9"/>
      <c r="S26" s="9"/>
      <c r="T26" s="9"/>
      <c r="U26" s="9"/>
      <c r="V26" s="9"/>
      <c r="W26" s="9"/>
      <c r="X26" s="9"/>
      <c r="Y26" s="9"/>
      <c r="Z26" s="9"/>
    </row>
    <row r="27" spans="1:26" ht="13.5" customHeight="1" x14ac:dyDescent="0.25">
      <c r="A27" s="9"/>
      <c r="B27" s="9"/>
      <c r="C27" s="9" t="s">
        <v>34</v>
      </c>
      <c r="D27" s="9"/>
      <c r="E27" s="9"/>
      <c r="F27" s="42">
        <v>46147</v>
      </c>
      <c r="G27" s="9"/>
      <c r="H27" s="37"/>
      <c r="I27" s="40" t="s">
        <v>35</v>
      </c>
      <c r="J27" s="9"/>
      <c r="K27" s="9"/>
      <c r="L27" s="9"/>
      <c r="M27" s="9"/>
      <c r="N27" s="9"/>
      <c r="O27" s="9"/>
      <c r="P27" s="9"/>
      <c r="Q27" s="9"/>
      <c r="R27" s="9"/>
      <c r="S27" s="9"/>
      <c r="T27" s="9"/>
      <c r="U27" s="9"/>
      <c r="V27" s="9"/>
      <c r="W27" s="9"/>
      <c r="X27" s="9"/>
      <c r="Y27" s="9"/>
      <c r="Z27" s="9"/>
    </row>
    <row r="28" spans="1:26" ht="13.5" customHeight="1" x14ac:dyDescent="0.25">
      <c r="A28" s="9"/>
      <c r="B28" s="9"/>
      <c r="C28" s="9"/>
      <c r="D28" s="9"/>
      <c r="E28" s="9"/>
      <c r="F28" s="9"/>
      <c r="G28" s="9"/>
      <c r="H28" s="9"/>
      <c r="I28" s="40" t="s">
        <v>36</v>
      </c>
      <c r="J28" s="9"/>
      <c r="K28" s="9"/>
      <c r="L28" s="9"/>
      <c r="M28" s="9"/>
      <c r="N28" s="9"/>
      <c r="O28" s="9"/>
      <c r="P28" s="9"/>
      <c r="Q28" s="9"/>
      <c r="R28" s="9"/>
      <c r="S28" s="9"/>
      <c r="T28" s="9"/>
      <c r="U28" s="9"/>
      <c r="V28" s="9"/>
      <c r="W28" s="9"/>
      <c r="X28" s="9"/>
      <c r="Y28" s="9"/>
      <c r="Z28" s="9"/>
    </row>
    <row r="29" spans="1:26" ht="13.5" customHeight="1" x14ac:dyDescent="0.25">
      <c r="A29" s="9"/>
      <c r="B29" s="9"/>
      <c r="C29" s="9" t="s">
        <v>37</v>
      </c>
      <c r="D29" s="9"/>
      <c r="E29" s="9"/>
      <c r="F29" s="43">
        <v>314.89</v>
      </c>
      <c r="G29" s="9"/>
      <c r="H29" s="9"/>
      <c r="I29" s="40" t="s">
        <v>38</v>
      </c>
      <c r="J29" s="9"/>
      <c r="K29" s="9"/>
      <c r="L29" s="9"/>
      <c r="M29" s="9"/>
      <c r="N29" s="9"/>
      <c r="O29" s="9"/>
      <c r="P29" s="9"/>
      <c r="Q29" s="9"/>
      <c r="R29" s="9"/>
      <c r="S29" s="9"/>
      <c r="T29" s="9"/>
      <c r="U29" s="9"/>
      <c r="V29" s="9"/>
      <c r="W29" s="9"/>
      <c r="X29" s="9"/>
      <c r="Y29" s="9"/>
      <c r="Z29" s="9"/>
    </row>
    <row r="30" spans="1:26" ht="13.5" customHeight="1" x14ac:dyDescent="0.25">
      <c r="A30" s="9"/>
      <c r="B30" s="9"/>
      <c r="C30" s="9" t="s">
        <v>39</v>
      </c>
      <c r="D30" s="9"/>
      <c r="E30" s="9"/>
      <c r="F30" s="43">
        <v>387.49</v>
      </c>
      <c r="G30" s="9"/>
      <c r="H30" s="9"/>
      <c r="I30" s="40" t="s">
        <v>40</v>
      </c>
      <c r="J30" s="9"/>
      <c r="K30" s="9"/>
      <c r="L30" s="9"/>
      <c r="M30" s="9"/>
      <c r="N30" s="9"/>
      <c r="O30" s="9"/>
      <c r="P30" s="9"/>
      <c r="Q30" s="9"/>
      <c r="R30" s="9"/>
      <c r="S30" s="9"/>
      <c r="T30" s="9"/>
      <c r="U30" s="9"/>
      <c r="V30" s="9"/>
      <c r="W30" s="9"/>
      <c r="X30" s="9"/>
      <c r="Y30" s="9"/>
      <c r="Z30" s="9"/>
    </row>
    <row r="31" spans="1:26" ht="13.5" customHeight="1" x14ac:dyDescent="0.25">
      <c r="A31" s="9"/>
      <c r="B31" s="9"/>
      <c r="C31" s="9" t="s">
        <v>41</v>
      </c>
      <c r="D31" s="9"/>
      <c r="E31" s="9"/>
      <c r="F31" s="43">
        <v>273.61</v>
      </c>
      <c r="G31" s="9"/>
      <c r="H31" s="37"/>
      <c r="I31" s="40" t="s">
        <v>42</v>
      </c>
      <c r="J31" s="9"/>
      <c r="K31" s="9"/>
      <c r="L31" s="9"/>
      <c r="M31" s="9"/>
      <c r="N31" s="9"/>
      <c r="O31" s="9"/>
      <c r="P31" s="9"/>
      <c r="Q31" s="9"/>
      <c r="R31" s="9"/>
      <c r="S31" s="9"/>
      <c r="T31" s="9"/>
      <c r="U31" s="9"/>
      <c r="V31" s="9"/>
      <c r="W31" s="9"/>
      <c r="X31" s="9"/>
      <c r="Y31" s="9"/>
      <c r="Z31" s="9"/>
    </row>
    <row r="32" spans="1:26" ht="13.5" customHeight="1" x14ac:dyDescent="0.25">
      <c r="A32" s="9"/>
      <c r="B32" s="9"/>
      <c r="C32" s="9"/>
      <c r="D32" s="9"/>
      <c r="E32" s="9"/>
      <c r="F32" s="9"/>
      <c r="G32" s="9"/>
      <c r="H32" s="37"/>
      <c r="I32" s="40" t="s">
        <v>43</v>
      </c>
      <c r="J32" s="9"/>
      <c r="K32" s="9"/>
      <c r="L32" s="9"/>
      <c r="M32" s="9"/>
      <c r="N32" s="9"/>
      <c r="O32" s="9"/>
      <c r="P32" s="9"/>
      <c r="Q32" s="9"/>
      <c r="R32" s="9"/>
      <c r="S32" s="9"/>
      <c r="T32" s="9"/>
      <c r="U32" s="9"/>
      <c r="V32" s="9"/>
      <c r="W32" s="9"/>
      <c r="X32" s="9"/>
      <c r="Y32" s="9"/>
      <c r="Z32" s="9"/>
    </row>
    <row r="33" spans="1:26" ht="13.5" customHeight="1" x14ac:dyDescent="0.25">
      <c r="A33" s="9"/>
      <c r="B33" s="9"/>
      <c r="C33" s="9" t="s">
        <v>44</v>
      </c>
      <c r="D33" s="9"/>
      <c r="E33" s="9"/>
      <c r="F33" s="44">
        <f>IF(Last_FQR="1Q",Model!U71,IF(Last_FQR="2Q",Model!V71,IF(Last_FQR="3Q",Model!W71,Model!X71)))</f>
        <v>0.21360508205399684</v>
      </c>
      <c r="G33" s="9"/>
      <c r="H33" s="37"/>
      <c r="I33" s="40" t="s">
        <v>45</v>
      </c>
      <c r="J33" s="9"/>
      <c r="K33" s="9"/>
      <c r="L33" s="9"/>
      <c r="M33" s="9"/>
      <c r="N33" s="9"/>
      <c r="O33" s="9"/>
      <c r="P33" s="9"/>
      <c r="Q33" s="9"/>
      <c r="R33" s="9"/>
      <c r="S33" s="9"/>
      <c r="T33" s="9"/>
      <c r="U33" s="9"/>
      <c r="V33" s="9"/>
      <c r="W33" s="9"/>
      <c r="X33" s="9"/>
      <c r="Y33" s="9"/>
      <c r="Z33" s="9"/>
    </row>
    <row r="34" spans="1:26" ht="13.5" customHeight="1" x14ac:dyDescent="0.25">
      <c r="A34" s="9"/>
      <c r="B34" s="9"/>
      <c r="C34" s="9" t="s">
        <v>46</v>
      </c>
      <c r="D34" s="9"/>
      <c r="E34" s="9"/>
      <c r="F34" s="44">
        <f>IF(Last_FQR="1Q",Model!U265,IF(Last_FQR="2Q",Model!V265,IF(Last_FQR="3Q",Model!W265,Model!X265)))</f>
        <v>1.2503379291700459E-2</v>
      </c>
      <c r="G34" s="9"/>
      <c r="H34" s="37"/>
      <c r="I34" s="40" t="s">
        <v>47</v>
      </c>
      <c r="J34" s="9"/>
      <c r="K34" s="9"/>
      <c r="L34" s="9"/>
      <c r="M34" s="9"/>
      <c r="N34" s="9"/>
      <c r="O34" s="9"/>
      <c r="P34" s="9"/>
      <c r="Q34" s="9"/>
      <c r="R34" s="9"/>
      <c r="S34" s="9"/>
      <c r="T34" s="9"/>
      <c r="U34" s="9"/>
      <c r="V34" s="9"/>
      <c r="W34" s="9"/>
      <c r="X34" s="9"/>
      <c r="Y34" s="9"/>
      <c r="Z34" s="9"/>
    </row>
    <row r="35" spans="1:26" ht="13.5" customHeight="1" x14ac:dyDescent="0.25">
      <c r="A35" s="9"/>
      <c r="B35" s="9"/>
      <c r="C35" s="9" t="s">
        <v>48</v>
      </c>
      <c r="D35" s="9"/>
      <c r="E35" s="9"/>
      <c r="F35" s="45">
        <f>IF(Last_FQR="1Q",Model!U284,IF(Last_FQR="2Q",Model!V284,IF(Last_FQR="3Q",Model!W284,Model!X284)))</f>
        <v>686</v>
      </c>
      <c r="G35" s="9"/>
      <c r="H35" s="37"/>
      <c r="I35" s="40" t="s">
        <v>49</v>
      </c>
      <c r="J35" s="9"/>
      <c r="K35" s="9"/>
      <c r="L35" s="9"/>
      <c r="M35" s="9"/>
      <c r="N35" s="9"/>
      <c r="O35" s="9"/>
      <c r="P35" s="9"/>
      <c r="Q35" s="9"/>
      <c r="R35" s="9"/>
      <c r="S35" s="9"/>
      <c r="T35" s="9"/>
      <c r="U35" s="9"/>
      <c r="V35" s="9"/>
      <c r="W35" s="9"/>
      <c r="X35" s="9"/>
      <c r="Y35" s="9"/>
      <c r="Z35" s="9"/>
    </row>
    <row r="36" spans="1:26" ht="13.5" customHeight="1" x14ac:dyDescent="0.25">
      <c r="A36" s="9"/>
      <c r="B36" s="9"/>
      <c r="C36" s="9"/>
      <c r="D36" s="9"/>
      <c r="E36" s="9"/>
      <c r="F36" s="9"/>
      <c r="G36" s="9"/>
      <c r="H36" s="37"/>
      <c r="I36" s="40" t="s">
        <v>50</v>
      </c>
      <c r="J36" s="9"/>
      <c r="K36" s="9"/>
      <c r="L36" s="9"/>
      <c r="M36" s="9"/>
      <c r="N36" s="9"/>
      <c r="O36" s="9"/>
      <c r="P36" s="9"/>
      <c r="Q36" s="9"/>
      <c r="R36" s="9"/>
      <c r="S36" s="9"/>
      <c r="T36" s="9"/>
      <c r="U36" s="9"/>
      <c r="V36" s="9"/>
      <c r="W36" s="9"/>
      <c r="X36" s="9"/>
      <c r="Y36" s="9"/>
      <c r="Z36" s="9"/>
    </row>
    <row r="37" spans="1:26" ht="13.5" customHeight="1" x14ac:dyDescent="0.25">
      <c r="A37" s="9"/>
      <c r="B37" s="9"/>
      <c r="C37" s="33" t="s">
        <v>51</v>
      </c>
      <c r="D37" s="34"/>
      <c r="E37" s="34"/>
      <c r="F37" s="35" t="s">
        <v>823</v>
      </c>
      <c r="G37" s="9"/>
      <c r="H37" s="37"/>
      <c r="I37" s="40" t="s">
        <v>52</v>
      </c>
      <c r="J37" s="9"/>
      <c r="K37" s="9"/>
      <c r="L37" s="9"/>
      <c r="M37" s="9"/>
      <c r="N37" s="9"/>
      <c r="O37" s="9"/>
      <c r="P37" s="9"/>
      <c r="Q37" s="9"/>
      <c r="R37" s="9"/>
      <c r="S37" s="9"/>
      <c r="T37" s="9"/>
      <c r="U37" s="9"/>
      <c r="V37" s="9"/>
      <c r="W37" s="9"/>
      <c r="X37" s="9"/>
      <c r="Y37" s="9"/>
      <c r="Z37" s="9"/>
    </row>
    <row r="38" spans="1:26" ht="13.5" customHeight="1" x14ac:dyDescent="0.25">
      <c r="A38" s="9"/>
      <c r="B38" s="9"/>
      <c r="G38" s="9"/>
      <c r="H38" s="37"/>
      <c r="I38" s="40" t="s">
        <v>53</v>
      </c>
      <c r="J38" s="9"/>
      <c r="K38" s="9"/>
      <c r="L38" s="9"/>
      <c r="M38" s="9"/>
      <c r="N38" s="9"/>
      <c r="O38" s="9"/>
      <c r="P38" s="9"/>
      <c r="Q38" s="9"/>
      <c r="R38" s="9"/>
      <c r="S38" s="9"/>
      <c r="T38" s="9"/>
      <c r="U38" s="9"/>
      <c r="V38" s="9"/>
      <c r="W38" s="9"/>
      <c r="X38" s="9"/>
      <c r="Y38" s="9"/>
      <c r="Z38" s="9"/>
    </row>
    <row r="39" spans="1:26" ht="13.5" customHeight="1" x14ac:dyDescent="0.25">
      <c r="A39" s="9"/>
      <c r="B39" s="9"/>
      <c r="G39" s="9"/>
      <c r="H39" s="37"/>
      <c r="I39" s="40" t="s">
        <v>54</v>
      </c>
      <c r="J39" s="9"/>
      <c r="K39" s="9"/>
      <c r="L39" s="9"/>
      <c r="M39" s="9"/>
      <c r="N39" s="9"/>
      <c r="O39" s="9"/>
      <c r="P39" s="9"/>
      <c r="Q39" s="9"/>
      <c r="R39" s="9"/>
      <c r="S39" s="9"/>
      <c r="T39" s="9"/>
      <c r="U39" s="9"/>
      <c r="V39" s="9"/>
      <c r="W39" s="9"/>
      <c r="X39" s="9"/>
      <c r="Y39" s="9"/>
      <c r="Z39" s="9"/>
    </row>
    <row r="40" spans="1:26" ht="14.25" customHeight="1" x14ac:dyDescent="0.25">
      <c r="A40" s="9"/>
      <c r="B40" s="9"/>
      <c r="G40" s="9"/>
      <c r="H40" s="37"/>
      <c r="I40" s="9"/>
      <c r="J40" s="9"/>
      <c r="K40" s="9"/>
      <c r="L40" s="9"/>
      <c r="M40" s="9"/>
      <c r="N40" s="9"/>
      <c r="O40" s="9"/>
      <c r="P40" s="9"/>
      <c r="Q40" s="9"/>
      <c r="R40" s="9"/>
      <c r="S40" s="9"/>
      <c r="T40" s="9"/>
      <c r="U40" s="9"/>
      <c r="V40" s="9"/>
      <c r="W40" s="9"/>
      <c r="X40" s="9"/>
      <c r="Y40" s="9"/>
      <c r="Z40" s="9"/>
    </row>
    <row r="41" spans="1:26" ht="14.25" hidden="1" customHeight="1" outlineLevel="1" x14ac:dyDescent="0.25">
      <c r="A41" s="9"/>
      <c r="B41" s="9"/>
      <c r="G41" s="9"/>
      <c r="H41" s="37"/>
      <c r="I41" s="9"/>
      <c r="J41" s="9"/>
      <c r="K41" s="9"/>
      <c r="L41" s="9"/>
      <c r="M41" s="9"/>
      <c r="N41" s="9"/>
      <c r="O41" s="9"/>
      <c r="P41" s="9"/>
      <c r="Q41" s="9"/>
      <c r="R41" s="9"/>
      <c r="S41" s="9"/>
      <c r="T41" s="9"/>
      <c r="U41" s="9"/>
      <c r="V41" s="9"/>
      <c r="W41" s="9"/>
      <c r="X41" s="9"/>
      <c r="Y41" s="9"/>
      <c r="Z41" s="9"/>
    </row>
    <row r="42" spans="1:26" ht="14.25" hidden="1" customHeight="1" outlineLevel="1" x14ac:dyDescent="0.25">
      <c r="A42" s="46" t="s">
        <v>0</v>
      </c>
      <c r="B42" s="46"/>
      <c r="C42" s="47"/>
      <c r="D42" s="48"/>
      <c r="E42" s="48"/>
      <c r="F42" s="49"/>
      <c r="G42" s="9"/>
      <c r="H42" s="37"/>
      <c r="I42" s="9"/>
      <c r="J42" s="9"/>
      <c r="K42" s="9"/>
      <c r="L42" s="9"/>
      <c r="M42" s="9"/>
      <c r="N42" s="9"/>
      <c r="O42" s="9"/>
      <c r="P42" s="9"/>
      <c r="Q42" s="9"/>
      <c r="R42" s="9"/>
      <c r="S42" s="9"/>
      <c r="T42" s="9"/>
      <c r="U42" s="9"/>
      <c r="V42" s="9"/>
      <c r="W42" s="9"/>
      <c r="X42" s="9"/>
      <c r="Y42" s="9"/>
      <c r="Z42" s="9"/>
    </row>
    <row r="43" spans="1:26" ht="14.25" hidden="1" customHeight="1" outlineLevel="1" x14ac:dyDescent="0.25">
      <c r="A43" s="46"/>
      <c r="B43" s="46"/>
      <c r="C43" s="50" t="s">
        <v>55</v>
      </c>
      <c r="D43" s="51"/>
      <c r="E43" s="51"/>
      <c r="F43" s="52"/>
      <c r="G43" s="9"/>
      <c r="H43" s="37"/>
      <c r="I43" s="50" t="s">
        <v>56</v>
      </c>
      <c r="J43" s="51"/>
      <c r="K43" s="51"/>
      <c r="L43" s="52"/>
      <c r="M43" s="9"/>
      <c r="N43" s="9"/>
      <c r="O43" s="9"/>
      <c r="P43" s="9"/>
      <c r="Q43" s="9"/>
      <c r="R43" s="9"/>
      <c r="S43" s="9"/>
      <c r="T43" s="9"/>
      <c r="U43" s="9"/>
      <c r="V43" s="9"/>
      <c r="W43" s="9"/>
      <c r="X43" s="9"/>
      <c r="Y43" s="9"/>
      <c r="Z43" s="9"/>
    </row>
    <row r="44" spans="1:26" ht="14.25" hidden="1" customHeight="1" outlineLevel="1" x14ac:dyDescent="0.25">
      <c r="A44" s="46"/>
      <c r="B44" s="46"/>
      <c r="C44" s="943" t="s">
        <v>57</v>
      </c>
      <c r="D44" s="944"/>
      <c r="E44" s="944"/>
      <c r="F44" s="945"/>
      <c r="G44" s="9"/>
      <c r="H44" s="37"/>
      <c r="I44" s="53" t="s">
        <v>58</v>
      </c>
      <c r="J44" s="54" t="s">
        <v>59</v>
      </c>
      <c r="K44" s="54" t="s">
        <v>60</v>
      </c>
      <c r="L44" s="55" t="s">
        <v>61</v>
      </c>
      <c r="M44" s="9"/>
      <c r="N44" s="9"/>
      <c r="O44" s="9"/>
      <c r="P44" s="9"/>
      <c r="Q44" s="9"/>
      <c r="R44" s="9"/>
      <c r="S44" s="9"/>
      <c r="T44" s="9"/>
      <c r="U44" s="9"/>
      <c r="V44" s="9"/>
      <c r="W44" s="9"/>
      <c r="X44" s="9"/>
      <c r="Y44" s="9"/>
      <c r="Z44" s="9"/>
    </row>
    <row r="45" spans="1:26" ht="14.25" hidden="1" customHeight="1" outlineLevel="1" x14ac:dyDescent="0.25">
      <c r="A45" s="46"/>
      <c r="B45" s="46"/>
      <c r="C45" s="946" t="s">
        <v>62</v>
      </c>
      <c r="D45" s="944"/>
      <c r="E45" s="944"/>
      <c r="F45" s="945"/>
      <c r="G45" s="9"/>
      <c r="H45" s="37"/>
      <c r="I45" s="56" t="s">
        <v>63</v>
      </c>
      <c r="J45" s="57" t="s">
        <v>64</v>
      </c>
      <c r="K45" s="57" t="s">
        <v>65</v>
      </c>
      <c r="L45" s="58">
        <v>1000000</v>
      </c>
      <c r="M45" s="9"/>
      <c r="N45" s="9"/>
      <c r="O45" s="9"/>
      <c r="P45" s="9"/>
      <c r="Q45" s="9"/>
      <c r="R45" s="10"/>
      <c r="S45" s="9"/>
      <c r="T45" s="9"/>
      <c r="U45" s="9"/>
      <c r="V45" s="9"/>
      <c r="W45" s="9"/>
      <c r="X45" s="9"/>
      <c r="Y45" s="9"/>
      <c r="Z45" s="9"/>
    </row>
    <row r="46" spans="1:26" ht="14.25" hidden="1" customHeight="1" outlineLevel="1" x14ac:dyDescent="0.25">
      <c r="A46" s="46"/>
      <c r="B46" s="46"/>
      <c r="C46" s="947" t="s">
        <v>66</v>
      </c>
      <c r="D46" s="944"/>
      <c r="E46" s="944"/>
      <c r="F46" s="945"/>
      <c r="G46" s="9"/>
      <c r="H46" s="37"/>
      <c r="I46" s="59" t="s">
        <v>67</v>
      </c>
      <c r="J46" s="48" t="s">
        <v>64</v>
      </c>
      <c r="K46" s="48" t="s">
        <v>68</v>
      </c>
      <c r="L46" s="60">
        <v>1000</v>
      </c>
      <c r="M46" s="9"/>
      <c r="N46" s="9"/>
      <c r="O46" s="9"/>
      <c r="P46" s="9"/>
      <c r="Q46" s="9"/>
      <c r="R46" s="9"/>
      <c r="S46" s="9"/>
      <c r="T46" s="9"/>
      <c r="U46" s="9"/>
      <c r="V46" s="9"/>
      <c r="W46" s="9"/>
      <c r="X46" s="9"/>
      <c r="Y46" s="9"/>
      <c r="Z46" s="9"/>
    </row>
    <row r="47" spans="1:26" ht="14.25" hidden="1" customHeight="1" outlineLevel="1" x14ac:dyDescent="0.25">
      <c r="A47" s="46"/>
      <c r="B47" s="46"/>
      <c r="C47" s="948" t="s">
        <v>69</v>
      </c>
      <c r="D47" s="949"/>
      <c r="E47" s="949"/>
      <c r="F47" s="950"/>
      <c r="G47" s="9"/>
      <c r="H47" s="37"/>
      <c r="I47" s="61" t="s">
        <v>70</v>
      </c>
      <c r="J47" s="62" t="s">
        <v>64</v>
      </c>
      <c r="K47" s="62" t="s">
        <v>71</v>
      </c>
      <c r="L47" s="63">
        <v>100</v>
      </c>
      <c r="M47" s="9"/>
      <c r="N47" s="9"/>
      <c r="O47" s="9"/>
      <c r="P47" s="9"/>
      <c r="Q47" s="9"/>
      <c r="R47" s="9"/>
      <c r="S47" s="9"/>
      <c r="T47" s="9"/>
      <c r="U47" s="9"/>
      <c r="V47" s="9"/>
      <c r="W47" s="9"/>
      <c r="X47" s="9"/>
      <c r="Y47" s="9"/>
      <c r="Z47" s="9"/>
    </row>
    <row r="48" spans="1:26" ht="13.5" hidden="1" customHeight="1" outlineLevel="1" x14ac:dyDescent="0.25">
      <c r="A48" s="46" t="s">
        <v>0</v>
      </c>
      <c r="B48" s="9"/>
      <c r="C48" s="9"/>
      <c r="D48" s="64"/>
      <c r="E48" s="64"/>
      <c r="F48" s="65"/>
      <c r="G48" s="9"/>
      <c r="H48" s="9"/>
      <c r="I48" s="9"/>
      <c r="J48" s="9"/>
      <c r="K48" s="9"/>
      <c r="L48" s="9"/>
      <c r="M48" s="9"/>
      <c r="N48" s="38"/>
      <c r="O48" s="38"/>
      <c r="P48" s="38"/>
      <c r="Q48" s="9"/>
      <c r="R48" s="9"/>
      <c r="S48" s="9"/>
      <c r="T48" s="9"/>
      <c r="U48" s="9"/>
      <c r="V48" s="9"/>
      <c r="W48" s="9"/>
      <c r="X48" s="9"/>
      <c r="Y48" s="9"/>
      <c r="Z48" s="9"/>
    </row>
    <row r="49" spans="1:26" ht="13.5" hidden="1" customHeight="1" outlineLevel="1" x14ac:dyDescent="0.25">
      <c r="A49" s="46"/>
      <c r="B49" s="9"/>
      <c r="C49" s="50" t="s">
        <v>72</v>
      </c>
      <c r="D49" s="51"/>
      <c r="E49" s="51"/>
      <c r="F49" s="52"/>
      <c r="G49" s="9"/>
      <c r="H49" s="9"/>
      <c r="I49" s="9"/>
      <c r="J49" s="9"/>
      <c r="K49" s="9"/>
      <c r="L49" s="9"/>
      <c r="M49" s="9"/>
      <c r="N49" s="9"/>
      <c r="O49" s="9"/>
      <c r="P49" s="9"/>
      <c r="Q49" s="9"/>
      <c r="R49" s="9"/>
      <c r="S49" s="9"/>
      <c r="T49" s="9"/>
      <c r="U49" s="9"/>
      <c r="V49" s="9"/>
      <c r="W49" s="9"/>
      <c r="X49" s="9"/>
      <c r="Y49" s="9"/>
      <c r="Z49" s="9"/>
    </row>
    <row r="50" spans="1:26" ht="13.5" hidden="1" customHeight="1" outlineLevel="1" x14ac:dyDescent="0.25">
      <c r="A50" s="46"/>
      <c r="B50" s="9"/>
      <c r="C50" s="9"/>
      <c r="D50" s="9"/>
      <c r="E50" s="9"/>
      <c r="F50" s="9"/>
      <c r="G50" s="9"/>
      <c r="H50" s="9"/>
      <c r="I50" s="9"/>
      <c r="J50" s="9"/>
      <c r="K50" s="9"/>
      <c r="L50" s="9"/>
      <c r="M50" s="9"/>
      <c r="N50" s="9"/>
      <c r="O50" s="9"/>
      <c r="P50" s="9"/>
      <c r="Q50" s="9"/>
      <c r="R50" s="9"/>
      <c r="S50" s="9"/>
      <c r="T50" s="9"/>
      <c r="U50" s="9"/>
      <c r="V50" s="9"/>
      <c r="W50" s="9"/>
      <c r="X50" s="9"/>
      <c r="Y50" s="9"/>
      <c r="Z50" s="9"/>
    </row>
    <row r="51" spans="1:26" ht="13.5" hidden="1" customHeight="1" outlineLevel="1" x14ac:dyDescent="0.25">
      <c r="A51" s="46"/>
      <c r="B51" s="9"/>
      <c r="C51" s="936" t="s">
        <v>31</v>
      </c>
      <c r="D51" s="928"/>
      <c r="E51" s="9"/>
      <c r="F51" s="9"/>
      <c r="G51" s="9"/>
      <c r="H51" s="9"/>
      <c r="I51" s="9"/>
      <c r="J51" s="9"/>
      <c r="K51" s="9"/>
      <c r="L51" s="9"/>
      <c r="M51" s="9"/>
      <c r="N51" s="9"/>
      <c r="O51" s="9"/>
      <c r="P51" s="9"/>
      <c r="Q51" s="9"/>
      <c r="R51" s="9"/>
      <c r="S51" s="9"/>
      <c r="T51" s="9"/>
      <c r="U51" s="9"/>
      <c r="V51" s="9"/>
      <c r="W51" s="9"/>
      <c r="X51" s="9"/>
      <c r="Y51" s="9"/>
      <c r="Z51" s="9"/>
    </row>
    <row r="52" spans="1:26" ht="13.5" hidden="1" customHeight="1" outlineLevel="1" x14ac:dyDescent="0.25">
      <c r="A52" s="46"/>
      <c r="B52" s="9"/>
      <c r="C52" s="9"/>
      <c r="D52" s="9"/>
      <c r="E52" s="9"/>
      <c r="F52" s="9"/>
      <c r="G52" s="9"/>
      <c r="H52" s="9"/>
      <c r="I52" s="9"/>
      <c r="J52" s="9"/>
      <c r="K52" s="9"/>
      <c r="L52" s="9"/>
      <c r="M52" s="9"/>
      <c r="N52" s="9"/>
      <c r="O52" s="9"/>
      <c r="P52" s="9"/>
      <c r="Q52" s="9"/>
      <c r="R52" s="9"/>
      <c r="S52" s="9"/>
      <c r="T52" s="9"/>
      <c r="U52" s="9"/>
      <c r="V52" s="9"/>
      <c r="W52" s="9"/>
      <c r="X52" s="9"/>
      <c r="Y52" s="9"/>
      <c r="Z52" s="9"/>
    </row>
    <row r="53" spans="1:26" ht="13.5" hidden="1" customHeight="1" outlineLevel="1" x14ac:dyDescent="0.25">
      <c r="A53" s="46"/>
      <c r="B53" s="9"/>
      <c r="C53" s="940" t="s">
        <v>38</v>
      </c>
      <c r="D53" s="928"/>
      <c r="E53" s="9"/>
      <c r="F53" s="9"/>
      <c r="G53" s="9"/>
      <c r="H53" s="9"/>
      <c r="I53" s="9"/>
      <c r="J53" s="9"/>
      <c r="K53" s="9"/>
      <c r="L53" s="9"/>
      <c r="M53" s="9"/>
      <c r="N53" s="9"/>
      <c r="O53" s="9"/>
      <c r="P53" s="9"/>
      <c r="Q53" s="9"/>
      <c r="R53" s="9"/>
      <c r="S53" s="9"/>
      <c r="T53" s="9"/>
      <c r="U53" s="9"/>
      <c r="V53" s="9"/>
      <c r="W53" s="9"/>
      <c r="X53" s="9"/>
      <c r="Y53" s="9"/>
      <c r="Z53" s="9"/>
    </row>
    <row r="54" spans="1:26" ht="13.5" hidden="1" customHeight="1" outlineLevel="1" x14ac:dyDescent="0.25">
      <c r="A54" s="46" t="s">
        <v>0</v>
      </c>
      <c r="B54" s="9"/>
      <c r="C54" s="9"/>
      <c r="D54" s="9"/>
      <c r="E54" s="9"/>
      <c r="F54" s="9"/>
      <c r="G54" s="9"/>
      <c r="H54" s="9"/>
      <c r="I54" s="9"/>
      <c r="J54" s="9"/>
      <c r="K54" s="9"/>
      <c r="L54" s="9"/>
      <c r="M54" s="9"/>
      <c r="N54" s="9"/>
      <c r="O54" s="9"/>
      <c r="P54" s="9"/>
      <c r="Q54" s="9"/>
      <c r="R54" s="9"/>
      <c r="S54" s="9"/>
      <c r="T54" s="9"/>
      <c r="U54" s="9"/>
      <c r="V54" s="9"/>
      <c r="W54" s="9"/>
      <c r="X54" s="9"/>
      <c r="Y54" s="9"/>
      <c r="Z54" s="9"/>
    </row>
    <row r="55" spans="1:26" ht="13.5" hidden="1" customHeight="1" outlineLevel="1" x14ac:dyDescent="0.25">
      <c r="A55" s="46"/>
      <c r="B55" s="9"/>
      <c r="C55" s="941" t="s">
        <v>73</v>
      </c>
      <c r="D55" s="928"/>
      <c r="E55" s="9"/>
      <c r="F55" s="9"/>
      <c r="G55" s="9"/>
      <c r="H55" s="9"/>
      <c r="I55" s="9"/>
      <c r="J55" s="9"/>
      <c r="K55" s="9"/>
      <c r="L55" s="9"/>
      <c r="M55" s="9"/>
      <c r="N55" s="9"/>
      <c r="O55" s="9"/>
      <c r="P55" s="9"/>
      <c r="Q55" s="9"/>
      <c r="R55" s="9"/>
      <c r="S55" s="9"/>
      <c r="T55" s="9"/>
      <c r="U55" s="9"/>
      <c r="V55" s="9"/>
      <c r="W55" s="9"/>
      <c r="X55" s="9"/>
      <c r="Y55" s="9"/>
      <c r="Z55" s="9"/>
    </row>
    <row r="56" spans="1:26" ht="13.5" hidden="1" customHeight="1" outlineLevel="1" x14ac:dyDescent="0.25">
      <c r="A56" s="46"/>
      <c r="B56" s="9"/>
      <c r="C56" s="9"/>
      <c r="D56" s="9"/>
      <c r="E56" s="9"/>
      <c r="F56" s="9"/>
      <c r="G56" s="9"/>
      <c r="H56" s="9"/>
      <c r="I56" s="9"/>
      <c r="J56" s="9"/>
      <c r="K56" s="9"/>
      <c r="L56" s="9"/>
      <c r="M56" s="9"/>
      <c r="N56" s="9"/>
      <c r="O56" s="9"/>
      <c r="P56" s="9"/>
      <c r="Q56" s="9"/>
      <c r="R56" s="9"/>
      <c r="S56" s="9"/>
      <c r="T56" s="9"/>
      <c r="U56" s="9"/>
      <c r="V56" s="9"/>
      <c r="W56" s="9"/>
      <c r="X56" s="9"/>
      <c r="Y56" s="9"/>
      <c r="Z56" s="9"/>
    </row>
    <row r="57" spans="1:26" ht="13.5" hidden="1" customHeight="1" outlineLevel="1" x14ac:dyDescent="0.25">
      <c r="A57" s="46"/>
      <c r="B57" s="9"/>
      <c r="C57" s="939" t="s">
        <v>45</v>
      </c>
      <c r="D57" s="928"/>
      <c r="E57" s="9"/>
      <c r="F57" s="9"/>
      <c r="G57" s="9"/>
      <c r="H57" s="9"/>
      <c r="I57" s="9"/>
      <c r="J57" s="9"/>
      <c r="K57" s="9"/>
      <c r="L57" s="9"/>
      <c r="M57" s="9"/>
      <c r="N57" s="9"/>
      <c r="O57" s="9"/>
      <c r="P57" s="9"/>
      <c r="Q57" s="9"/>
      <c r="R57" s="9"/>
      <c r="S57" s="9"/>
      <c r="T57" s="9"/>
      <c r="U57" s="9"/>
      <c r="V57" s="9"/>
      <c r="W57" s="9"/>
      <c r="X57" s="9"/>
      <c r="Y57" s="9"/>
      <c r="Z57" s="9"/>
    </row>
    <row r="58" spans="1:26" ht="13.5" hidden="1" customHeight="1" outlineLevel="1" x14ac:dyDescent="0.25">
      <c r="A58" s="46"/>
      <c r="B58" s="9"/>
      <c r="C58" s="9"/>
      <c r="D58" s="9"/>
      <c r="E58" s="9"/>
      <c r="F58" s="9"/>
      <c r="G58" s="9"/>
      <c r="H58" s="9"/>
      <c r="I58" s="9"/>
      <c r="J58" s="9"/>
      <c r="K58" s="9"/>
      <c r="L58" s="9"/>
      <c r="M58" s="9"/>
      <c r="N58" s="9"/>
      <c r="O58" s="9"/>
      <c r="P58" s="9"/>
      <c r="Q58" s="9"/>
      <c r="R58" s="9"/>
      <c r="S58" s="9"/>
      <c r="T58" s="9"/>
      <c r="U58" s="9"/>
      <c r="V58" s="9"/>
      <c r="W58" s="9"/>
      <c r="X58" s="9"/>
      <c r="Y58" s="9"/>
      <c r="Z58" s="9"/>
    </row>
    <row r="59" spans="1:26" ht="13.5" hidden="1" customHeight="1" outlineLevel="1" x14ac:dyDescent="0.25">
      <c r="A59" s="46"/>
      <c r="B59" s="9"/>
      <c r="C59" s="931" t="s">
        <v>74</v>
      </c>
      <c r="D59" s="928"/>
      <c r="E59" s="9"/>
      <c r="F59" s="9"/>
      <c r="G59" s="9"/>
      <c r="H59" s="9"/>
      <c r="I59" s="9"/>
      <c r="J59" s="9"/>
      <c r="K59" s="9"/>
      <c r="L59" s="9"/>
      <c r="M59" s="9"/>
      <c r="N59" s="9"/>
      <c r="O59" s="9"/>
      <c r="P59" s="9"/>
      <c r="Q59" s="9"/>
      <c r="R59" s="9"/>
      <c r="S59" s="9"/>
      <c r="T59" s="9"/>
      <c r="U59" s="9"/>
      <c r="V59" s="9"/>
      <c r="W59" s="9"/>
      <c r="X59" s="9"/>
      <c r="Y59" s="9"/>
      <c r="Z59" s="9"/>
    </row>
    <row r="60" spans="1:26" ht="13.5" hidden="1" customHeight="1" outlineLevel="1" x14ac:dyDescent="0.25">
      <c r="A60" s="46"/>
      <c r="B60" s="9"/>
      <c r="C60" s="9"/>
      <c r="D60" s="9"/>
      <c r="E60" s="9"/>
      <c r="F60" s="9"/>
      <c r="G60" s="9"/>
      <c r="H60" s="9"/>
      <c r="I60" s="9"/>
      <c r="J60" s="9"/>
      <c r="K60" s="9"/>
      <c r="L60" s="9"/>
      <c r="M60" s="9"/>
      <c r="N60" s="9"/>
      <c r="O60" s="9"/>
      <c r="P60" s="9"/>
      <c r="Q60" s="9"/>
      <c r="R60" s="9"/>
      <c r="S60" s="9"/>
      <c r="T60" s="9"/>
      <c r="U60" s="9"/>
      <c r="V60" s="9"/>
      <c r="W60" s="9"/>
      <c r="X60" s="9"/>
      <c r="Y60" s="9"/>
      <c r="Z60" s="9"/>
    </row>
    <row r="61" spans="1:26" ht="13.5" hidden="1" customHeight="1" outlineLevel="1" x14ac:dyDescent="0.25">
      <c r="A61" s="46"/>
      <c r="B61" s="9"/>
      <c r="C61" s="932" t="s">
        <v>75</v>
      </c>
      <c r="D61" s="933"/>
      <c r="E61" s="933"/>
      <c r="F61" s="934"/>
      <c r="G61" s="9"/>
      <c r="H61" s="9"/>
      <c r="I61" s="9"/>
      <c r="J61" s="9"/>
      <c r="K61" s="9"/>
      <c r="L61" s="9"/>
      <c r="M61" s="9"/>
      <c r="N61" s="9"/>
      <c r="O61" s="9"/>
      <c r="P61" s="9"/>
      <c r="Q61" s="9"/>
      <c r="R61" s="9"/>
      <c r="S61" s="9"/>
      <c r="T61" s="9"/>
      <c r="U61" s="9"/>
      <c r="V61" s="9"/>
      <c r="W61" s="9"/>
      <c r="X61" s="9"/>
      <c r="Y61" s="9"/>
      <c r="Z61" s="9"/>
    </row>
    <row r="62" spans="1:26" ht="13.5" hidden="1" customHeight="1" outlineLevel="1" x14ac:dyDescent="0.25">
      <c r="A62" s="46"/>
      <c r="B62" s="9"/>
      <c r="C62" s="66"/>
      <c r="D62" s="9"/>
      <c r="E62" s="9"/>
      <c r="F62" s="9"/>
      <c r="G62" s="9"/>
      <c r="H62" s="9"/>
      <c r="I62" s="9"/>
      <c r="J62" s="9"/>
      <c r="K62" s="9"/>
      <c r="L62" s="9"/>
      <c r="M62" s="9"/>
      <c r="N62" s="9"/>
      <c r="O62" s="9"/>
      <c r="P62" s="9"/>
      <c r="Q62" s="9"/>
      <c r="R62" s="9"/>
      <c r="S62" s="9"/>
      <c r="T62" s="9"/>
      <c r="U62" s="9"/>
      <c r="V62" s="9"/>
      <c r="W62" s="9"/>
      <c r="X62" s="9"/>
      <c r="Y62" s="9"/>
      <c r="Z62" s="9"/>
    </row>
    <row r="63" spans="1:26" ht="13.5" hidden="1" customHeight="1" outlineLevel="1" x14ac:dyDescent="0.25">
      <c r="A63" s="46"/>
      <c r="B63" s="9"/>
      <c r="C63" s="935" t="s">
        <v>76</v>
      </c>
      <c r="D63" s="928"/>
      <c r="E63" s="9"/>
      <c r="F63" s="67" t="s">
        <v>77</v>
      </c>
      <c r="G63" s="9"/>
      <c r="H63" s="9"/>
      <c r="I63" s="9"/>
      <c r="J63" s="9"/>
      <c r="K63" s="9"/>
      <c r="L63" s="9"/>
      <c r="M63" s="9"/>
      <c r="N63" s="9"/>
      <c r="O63" s="9"/>
      <c r="P63" s="9"/>
      <c r="Q63" s="9"/>
      <c r="R63" s="9"/>
      <c r="S63" s="9"/>
      <c r="T63" s="9"/>
      <c r="U63" s="9"/>
      <c r="V63" s="9"/>
      <c r="W63" s="9"/>
      <c r="X63" s="9"/>
      <c r="Y63" s="9"/>
      <c r="Z63" s="9"/>
    </row>
    <row r="64" spans="1:26" ht="13.5" hidden="1" customHeight="1" outlineLevel="1" x14ac:dyDescent="0.25">
      <c r="A64" s="46"/>
      <c r="B64" s="9"/>
      <c r="C64" s="68"/>
      <c r="D64" s="9"/>
      <c r="E64" s="9"/>
      <c r="F64" s="69"/>
      <c r="G64" s="9"/>
      <c r="H64" s="9"/>
      <c r="I64" s="9"/>
      <c r="J64" s="9"/>
      <c r="K64" s="9"/>
      <c r="L64" s="9"/>
      <c r="M64" s="9"/>
      <c r="N64" s="9"/>
      <c r="O64" s="9"/>
      <c r="P64" s="9"/>
      <c r="Q64" s="9"/>
      <c r="R64" s="9"/>
      <c r="S64" s="9"/>
      <c r="T64" s="9"/>
      <c r="U64" s="9"/>
      <c r="V64" s="9"/>
      <c r="W64" s="9"/>
      <c r="X64" s="9"/>
      <c r="Y64" s="9"/>
      <c r="Z64" s="9"/>
    </row>
    <row r="65" spans="1:26" ht="13.5" hidden="1" customHeight="1" outlineLevel="1" x14ac:dyDescent="0.25">
      <c r="A65" s="46"/>
      <c r="B65" s="9"/>
      <c r="C65" s="936" t="s">
        <v>78</v>
      </c>
      <c r="D65" s="928"/>
      <c r="E65" s="9"/>
      <c r="F65" s="67" t="s">
        <v>79</v>
      </c>
      <c r="G65" s="9"/>
      <c r="H65" s="9"/>
      <c r="I65" s="9"/>
      <c r="J65" s="9"/>
      <c r="K65" s="9"/>
      <c r="L65" s="9"/>
      <c r="M65" s="9"/>
      <c r="N65" s="9"/>
      <c r="O65" s="9"/>
      <c r="P65" s="9"/>
      <c r="Q65" s="9"/>
      <c r="R65" s="9"/>
      <c r="S65" s="9"/>
      <c r="T65" s="9"/>
      <c r="U65" s="9"/>
      <c r="V65" s="9"/>
      <c r="W65" s="9"/>
      <c r="X65" s="9"/>
      <c r="Y65" s="9"/>
      <c r="Z65" s="9"/>
    </row>
    <row r="66" spans="1:26" ht="13.5" hidden="1" customHeight="1" outlineLevel="1" x14ac:dyDescent="0.25">
      <c r="A66" s="46"/>
      <c r="B66" s="9"/>
      <c r="C66" s="68"/>
      <c r="D66" s="9"/>
      <c r="E66" s="9"/>
      <c r="F66" s="69"/>
      <c r="G66" s="9"/>
      <c r="H66" s="9"/>
      <c r="I66" s="9"/>
      <c r="J66" s="9"/>
      <c r="K66" s="9"/>
      <c r="L66" s="9"/>
      <c r="M66" s="9"/>
      <c r="N66" s="9"/>
      <c r="O66" s="9"/>
      <c r="P66" s="9"/>
      <c r="Q66" s="9"/>
      <c r="R66" s="9"/>
      <c r="S66" s="9"/>
      <c r="T66" s="9"/>
      <c r="U66" s="9"/>
      <c r="V66" s="9"/>
      <c r="W66" s="9"/>
      <c r="X66" s="9"/>
      <c r="Y66" s="9"/>
      <c r="Z66" s="9"/>
    </row>
    <row r="67" spans="1:26" ht="13.5" hidden="1" customHeight="1" outlineLevel="1" x14ac:dyDescent="0.25">
      <c r="A67" s="46"/>
      <c r="B67" s="9"/>
      <c r="C67" s="937" t="s">
        <v>80</v>
      </c>
      <c r="D67" s="928"/>
      <c r="E67" s="9"/>
      <c r="F67" s="67" t="s">
        <v>81</v>
      </c>
      <c r="G67" s="9"/>
      <c r="H67" s="9"/>
      <c r="I67" s="9"/>
      <c r="J67" s="9"/>
      <c r="K67" s="9"/>
      <c r="L67" s="9"/>
      <c r="M67" s="9"/>
      <c r="N67" s="9"/>
      <c r="O67" s="9"/>
      <c r="P67" s="9"/>
      <c r="Q67" s="9"/>
      <c r="R67" s="9"/>
      <c r="S67" s="9"/>
      <c r="T67" s="9"/>
      <c r="U67" s="9"/>
      <c r="V67" s="9"/>
      <c r="W67" s="9"/>
      <c r="X67" s="9"/>
      <c r="Y67" s="9"/>
      <c r="Z67" s="9"/>
    </row>
    <row r="68" spans="1:26" ht="13.5" hidden="1" customHeight="1" outlineLevel="1" x14ac:dyDescent="0.25">
      <c r="A68" s="46"/>
      <c r="B68" s="9"/>
      <c r="C68" s="69"/>
      <c r="D68" s="9"/>
      <c r="E68" s="9"/>
      <c r="F68" s="69"/>
      <c r="G68" s="9"/>
      <c r="H68" s="9"/>
      <c r="I68" s="9"/>
      <c r="J68" s="9"/>
      <c r="K68" s="9"/>
      <c r="L68" s="9"/>
      <c r="M68" s="9"/>
      <c r="N68" s="9"/>
      <c r="O68" s="9"/>
      <c r="P68" s="9"/>
      <c r="Q68" s="9"/>
      <c r="R68" s="9"/>
      <c r="S68" s="9"/>
      <c r="T68" s="9"/>
      <c r="U68" s="9"/>
      <c r="V68" s="9"/>
      <c r="W68" s="9"/>
      <c r="X68" s="9"/>
      <c r="Y68" s="9"/>
      <c r="Z68" s="9"/>
    </row>
    <row r="69" spans="1:26" ht="13.5" hidden="1" customHeight="1" outlineLevel="1" x14ac:dyDescent="0.25">
      <c r="A69" s="46"/>
      <c r="B69" s="9"/>
      <c r="C69" s="938" t="s">
        <v>82</v>
      </c>
      <c r="D69" s="928"/>
      <c r="E69" s="9"/>
      <c r="F69" s="67" t="s">
        <v>83</v>
      </c>
      <c r="G69" s="9"/>
      <c r="H69" s="9"/>
      <c r="I69" s="9"/>
      <c r="J69" s="9"/>
      <c r="K69" s="9"/>
      <c r="L69" s="9"/>
      <c r="M69" s="9"/>
      <c r="N69" s="9"/>
      <c r="O69" s="9"/>
      <c r="P69" s="9"/>
      <c r="Q69" s="9"/>
      <c r="R69" s="9"/>
      <c r="S69" s="9"/>
      <c r="T69" s="9"/>
      <c r="U69" s="9"/>
      <c r="V69" s="9"/>
      <c r="W69" s="9"/>
      <c r="X69" s="9"/>
      <c r="Y69" s="9"/>
      <c r="Z69" s="9"/>
    </row>
    <row r="70" spans="1:26" ht="13.5" hidden="1" customHeight="1" outlineLevel="1" x14ac:dyDescent="0.25">
      <c r="A70" s="46"/>
      <c r="B70" s="9"/>
      <c r="C70" s="70"/>
      <c r="D70" s="9"/>
      <c r="E70" s="9"/>
      <c r="F70" s="70"/>
      <c r="G70" s="9"/>
      <c r="H70" s="9"/>
      <c r="I70" s="9"/>
      <c r="J70" s="9"/>
      <c r="K70" s="9"/>
      <c r="L70" s="9"/>
      <c r="M70" s="9"/>
      <c r="N70" s="9"/>
      <c r="O70" s="9"/>
      <c r="P70" s="9"/>
      <c r="Q70" s="9"/>
      <c r="R70" s="9"/>
      <c r="S70" s="9"/>
      <c r="T70" s="9"/>
      <c r="U70" s="9"/>
      <c r="V70" s="9"/>
      <c r="W70" s="9"/>
      <c r="X70" s="9"/>
      <c r="Y70" s="9"/>
      <c r="Z70" s="9"/>
    </row>
    <row r="71" spans="1:26" ht="13.5" hidden="1" customHeight="1" outlineLevel="1" x14ac:dyDescent="0.25">
      <c r="A71" s="46"/>
      <c r="B71" s="9"/>
      <c r="C71" s="939" t="s">
        <v>84</v>
      </c>
      <c r="D71" s="928"/>
      <c r="E71" s="9"/>
      <c r="F71" s="67" t="s">
        <v>85</v>
      </c>
      <c r="G71" s="9"/>
      <c r="H71" s="9"/>
      <c r="I71" s="9"/>
      <c r="J71" s="9"/>
      <c r="K71" s="9"/>
      <c r="L71" s="9"/>
      <c r="M71" s="9"/>
      <c r="N71" s="9"/>
      <c r="O71" s="9"/>
      <c r="P71" s="9"/>
      <c r="Q71" s="9"/>
      <c r="R71" s="9"/>
      <c r="S71" s="9"/>
      <c r="T71" s="9"/>
      <c r="U71" s="9"/>
      <c r="V71" s="9"/>
      <c r="W71" s="9"/>
      <c r="X71" s="9"/>
      <c r="Y71" s="9"/>
      <c r="Z71" s="9"/>
    </row>
    <row r="72" spans="1:26" ht="13.5" hidden="1" customHeight="1" outlineLevel="1" x14ac:dyDescent="0.25">
      <c r="A72" s="46"/>
      <c r="B72" s="9"/>
      <c r="C72" s="70"/>
      <c r="D72" s="9"/>
      <c r="E72" s="9"/>
      <c r="F72" s="70"/>
      <c r="G72" s="9"/>
      <c r="H72" s="9"/>
      <c r="I72" s="9"/>
      <c r="J72" s="9"/>
      <c r="K72" s="9"/>
      <c r="L72" s="9"/>
      <c r="M72" s="9"/>
      <c r="N72" s="9"/>
      <c r="O72" s="9"/>
      <c r="P72" s="9"/>
      <c r="Q72" s="9"/>
      <c r="R72" s="9"/>
      <c r="S72" s="9"/>
      <c r="T72" s="9"/>
      <c r="U72" s="9"/>
      <c r="V72" s="9"/>
      <c r="W72" s="9"/>
      <c r="X72" s="9"/>
      <c r="Y72" s="9"/>
      <c r="Z72" s="9"/>
    </row>
    <row r="73" spans="1:26" ht="13.5" hidden="1" customHeight="1" outlineLevel="1" x14ac:dyDescent="0.25">
      <c r="A73" s="46"/>
      <c r="B73" s="9"/>
      <c r="C73" s="942" t="s">
        <v>86</v>
      </c>
      <c r="D73" s="928"/>
      <c r="E73" s="9"/>
      <c r="F73" s="67" t="s">
        <v>87</v>
      </c>
      <c r="G73" s="9"/>
      <c r="H73" s="9"/>
      <c r="I73" s="9"/>
      <c r="J73" s="9"/>
      <c r="K73" s="9"/>
      <c r="L73" s="9"/>
      <c r="M73" s="9"/>
      <c r="N73" s="9"/>
      <c r="O73" s="9"/>
      <c r="P73" s="9"/>
      <c r="Q73" s="9"/>
      <c r="R73" s="9"/>
      <c r="S73" s="9"/>
      <c r="T73" s="9"/>
      <c r="U73" s="9"/>
      <c r="V73" s="9"/>
      <c r="W73" s="9"/>
      <c r="X73" s="9"/>
      <c r="Y73" s="9"/>
      <c r="Z73" s="9"/>
    </row>
    <row r="74" spans="1:26" ht="13.5" hidden="1" customHeight="1" outlineLevel="1" x14ac:dyDescent="0.25">
      <c r="A74" s="46"/>
      <c r="B74" s="9"/>
      <c r="C74" s="9"/>
      <c r="D74" s="9"/>
      <c r="E74" s="9"/>
      <c r="F74" s="9"/>
      <c r="G74" s="9"/>
      <c r="H74" s="9"/>
      <c r="I74" s="9"/>
      <c r="J74" s="9"/>
      <c r="K74" s="9"/>
      <c r="L74" s="9"/>
      <c r="M74" s="9"/>
      <c r="N74" s="9"/>
      <c r="O74" s="9"/>
      <c r="P74" s="9"/>
      <c r="Q74" s="9"/>
      <c r="R74" s="9"/>
      <c r="S74" s="9"/>
      <c r="T74" s="9"/>
      <c r="U74" s="9"/>
      <c r="V74" s="9"/>
      <c r="W74" s="9"/>
      <c r="X74" s="9"/>
      <c r="Y74" s="9"/>
      <c r="Z74" s="9"/>
    </row>
    <row r="75" spans="1:26" ht="13.5" hidden="1" customHeight="1" outlineLevel="1" x14ac:dyDescent="0.25">
      <c r="A75" s="46"/>
      <c r="B75" s="9"/>
      <c r="C75" s="941" t="s">
        <v>88</v>
      </c>
      <c r="D75" s="928"/>
      <c r="E75" s="9"/>
      <c r="F75" s="67" t="s">
        <v>89</v>
      </c>
      <c r="G75" s="9"/>
      <c r="H75" s="9"/>
      <c r="I75" s="9"/>
      <c r="J75" s="9"/>
      <c r="K75" s="9"/>
      <c r="L75" s="9"/>
      <c r="M75" s="9"/>
      <c r="N75" s="9"/>
      <c r="O75" s="9"/>
      <c r="P75" s="9"/>
      <c r="Q75" s="9"/>
      <c r="R75" s="9"/>
      <c r="S75" s="9"/>
      <c r="T75" s="9"/>
      <c r="U75" s="9"/>
      <c r="V75" s="9"/>
      <c r="W75" s="9"/>
      <c r="X75" s="9"/>
      <c r="Y75" s="9"/>
      <c r="Z75" s="9"/>
    </row>
    <row r="76" spans="1:26" ht="13.5" hidden="1" customHeight="1" outlineLevel="1" x14ac:dyDescent="0.25">
      <c r="A76" s="46"/>
      <c r="B76" s="9"/>
      <c r="C76" s="9"/>
      <c r="D76" s="9"/>
      <c r="E76" s="9"/>
      <c r="F76" s="9"/>
      <c r="G76" s="9"/>
      <c r="H76" s="9"/>
      <c r="I76" s="9"/>
      <c r="J76" s="9"/>
      <c r="K76" s="9"/>
      <c r="L76" s="9"/>
      <c r="M76" s="9"/>
      <c r="N76" s="9"/>
      <c r="O76" s="9"/>
      <c r="P76" s="9"/>
      <c r="Q76" s="9"/>
      <c r="R76" s="9"/>
      <c r="S76" s="9"/>
      <c r="T76" s="9"/>
      <c r="U76" s="9"/>
      <c r="V76" s="9"/>
      <c r="W76" s="9"/>
      <c r="X76" s="9"/>
      <c r="Y76" s="9"/>
      <c r="Z76" s="9"/>
    </row>
    <row r="77" spans="1:26" ht="13.5" hidden="1" customHeight="1" outlineLevel="1" x14ac:dyDescent="0.25">
      <c r="A77" s="46"/>
      <c r="B77" s="9"/>
      <c r="C77" s="927" t="s">
        <v>90</v>
      </c>
      <c r="D77" s="928"/>
      <c r="E77" s="9"/>
      <c r="F77" s="67" t="s">
        <v>91</v>
      </c>
      <c r="G77" s="9"/>
      <c r="H77" s="9"/>
      <c r="I77" s="9"/>
      <c r="J77" s="9"/>
      <c r="K77" s="9"/>
      <c r="L77" s="9"/>
      <c r="M77" s="9"/>
      <c r="N77" s="9"/>
      <c r="O77" s="9"/>
      <c r="P77" s="9"/>
      <c r="Q77" s="9"/>
      <c r="R77" s="9"/>
      <c r="S77" s="9"/>
      <c r="T77" s="9"/>
      <c r="U77" s="9"/>
      <c r="V77" s="9"/>
      <c r="W77" s="9"/>
      <c r="X77" s="9"/>
      <c r="Y77" s="9"/>
      <c r="Z77" s="9"/>
    </row>
    <row r="78" spans="1:26" ht="13.5" hidden="1" customHeight="1" outlineLevel="1" x14ac:dyDescent="0.25">
      <c r="A78" s="46"/>
      <c r="B78" s="9"/>
      <c r="C78" s="9"/>
      <c r="D78" s="9"/>
      <c r="E78" s="9"/>
      <c r="F78" s="9"/>
      <c r="G78" s="9"/>
      <c r="H78" s="9"/>
      <c r="I78" s="9"/>
      <c r="J78" s="9"/>
      <c r="K78" s="9"/>
      <c r="L78" s="9"/>
      <c r="M78" s="9"/>
      <c r="N78" s="9"/>
      <c r="O78" s="9"/>
      <c r="P78" s="9"/>
      <c r="Q78" s="9"/>
      <c r="R78" s="9"/>
      <c r="S78" s="9"/>
      <c r="T78" s="9"/>
      <c r="U78" s="9"/>
      <c r="V78" s="9"/>
      <c r="W78" s="9"/>
      <c r="X78" s="9"/>
      <c r="Y78" s="9"/>
      <c r="Z78" s="9"/>
    </row>
    <row r="79" spans="1:26" ht="13.5" hidden="1" customHeight="1" outlineLevel="1" x14ac:dyDescent="0.25">
      <c r="A79" s="46"/>
      <c r="B79" s="9"/>
      <c r="C79" s="929" t="s">
        <v>92</v>
      </c>
      <c r="D79" s="928"/>
      <c r="E79" s="9"/>
      <c r="F79" s="67" t="s">
        <v>93</v>
      </c>
      <c r="G79" s="9"/>
      <c r="H79" s="9"/>
      <c r="I79" s="9"/>
      <c r="J79" s="9"/>
      <c r="K79" s="9"/>
      <c r="L79" s="9"/>
      <c r="M79" s="9"/>
      <c r="N79" s="9"/>
      <c r="O79" s="9"/>
      <c r="P79" s="9"/>
      <c r="Q79" s="9"/>
      <c r="R79" s="9"/>
      <c r="S79" s="9"/>
      <c r="T79" s="9"/>
      <c r="U79" s="9"/>
      <c r="V79" s="9"/>
      <c r="W79" s="9"/>
      <c r="X79" s="9"/>
      <c r="Y79" s="9"/>
      <c r="Z79" s="9"/>
    </row>
    <row r="80" spans="1:26" ht="13.5" hidden="1" customHeight="1" outlineLevel="1" x14ac:dyDescent="0.25">
      <c r="A80" s="46"/>
      <c r="B80" s="9"/>
      <c r="C80" s="9"/>
      <c r="D80" s="9"/>
      <c r="E80" s="9"/>
      <c r="F80" s="9"/>
      <c r="G80" s="9"/>
      <c r="H80" s="9"/>
      <c r="I80" s="9"/>
      <c r="J80" s="9"/>
      <c r="K80" s="9"/>
      <c r="L80" s="9"/>
      <c r="M80" s="9"/>
      <c r="N80" s="9"/>
      <c r="O80" s="9"/>
      <c r="P80" s="9"/>
      <c r="Q80" s="9"/>
      <c r="R80" s="9"/>
      <c r="S80" s="9"/>
      <c r="T80" s="9"/>
      <c r="U80" s="9"/>
      <c r="V80" s="9"/>
      <c r="W80" s="9"/>
      <c r="X80" s="9"/>
      <c r="Y80" s="9"/>
      <c r="Z80" s="9"/>
    </row>
    <row r="81" spans="1:26" ht="13.5" hidden="1" customHeight="1" outlineLevel="1" x14ac:dyDescent="0.25">
      <c r="A81" s="46"/>
      <c r="B81" s="9"/>
      <c r="C81" s="930" t="s">
        <v>94</v>
      </c>
      <c r="D81" s="928"/>
      <c r="E81" s="9"/>
      <c r="F81" s="67" t="s">
        <v>95</v>
      </c>
      <c r="G81" s="9"/>
      <c r="H81" s="9"/>
      <c r="I81" s="9"/>
      <c r="J81" s="9"/>
      <c r="K81" s="9"/>
      <c r="L81" s="9"/>
      <c r="M81" s="9"/>
      <c r="N81" s="9"/>
      <c r="O81" s="9"/>
      <c r="P81" s="9"/>
      <c r="Q81" s="9"/>
      <c r="R81" s="9"/>
      <c r="S81" s="9"/>
      <c r="T81" s="9"/>
      <c r="U81" s="9"/>
      <c r="V81" s="9"/>
      <c r="W81" s="9"/>
      <c r="X81" s="9"/>
      <c r="Y81" s="9"/>
      <c r="Z81" s="9"/>
    </row>
    <row r="82" spans="1:26" ht="13.5" hidden="1" customHeight="1" outlineLevel="1" x14ac:dyDescent="0.25">
      <c r="A82" s="46"/>
      <c r="B82" s="9"/>
      <c r="C82" s="9"/>
      <c r="D82" s="9"/>
      <c r="E82" s="9"/>
      <c r="F82" s="9"/>
      <c r="G82" s="9"/>
      <c r="H82" s="9"/>
      <c r="I82" s="2"/>
      <c r="J82" s="2"/>
      <c r="K82" s="2"/>
      <c r="L82" s="2"/>
      <c r="M82" s="2"/>
      <c r="N82" s="2"/>
      <c r="O82" s="2"/>
      <c r="P82" s="2"/>
      <c r="Q82" s="2"/>
      <c r="R82" s="2"/>
      <c r="S82" s="2"/>
      <c r="T82" s="2"/>
      <c r="U82" s="2"/>
      <c r="V82" s="2"/>
      <c r="W82" s="2"/>
      <c r="X82" s="2"/>
      <c r="Y82" s="2"/>
      <c r="Z82" s="2"/>
    </row>
    <row r="83" spans="1:26" ht="13.5" customHeight="1" collapsed="1" x14ac:dyDescent="0.25">
      <c r="A83" s="46" t="s">
        <v>0</v>
      </c>
      <c r="B83" s="46" t="s">
        <v>0</v>
      </c>
      <c r="C83" s="71" t="s">
        <v>96</v>
      </c>
      <c r="D83" s="72"/>
      <c r="E83" s="72"/>
      <c r="F83" s="72"/>
      <c r="G83" s="72"/>
      <c r="H83" s="72"/>
      <c r="I83" s="72"/>
      <c r="J83" s="72"/>
      <c r="K83" s="72"/>
      <c r="L83" s="72"/>
      <c r="M83" s="72"/>
      <c r="N83" s="72"/>
      <c r="O83" s="72"/>
      <c r="P83" s="73"/>
      <c r="Q83" s="2"/>
      <c r="R83" s="2"/>
      <c r="S83" s="2"/>
      <c r="T83" s="2"/>
      <c r="U83" s="2"/>
      <c r="V83" s="2"/>
      <c r="W83" s="2"/>
      <c r="X83" s="2"/>
      <c r="Y83" s="2"/>
      <c r="Z83" s="2"/>
    </row>
    <row r="84" spans="1:26" ht="13.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73:D73"/>
    <mergeCell ref="C75:D75"/>
    <mergeCell ref="C77:D77"/>
    <mergeCell ref="C79:D79"/>
    <mergeCell ref="C81:D81"/>
    <mergeCell ref="C59:D59"/>
    <mergeCell ref="C61:F61"/>
    <mergeCell ref="C63:D63"/>
    <mergeCell ref="C65:D65"/>
    <mergeCell ref="C67:D67"/>
    <mergeCell ref="C69:D69"/>
    <mergeCell ref="C71:D71"/>
  </mergeCells>
  <conditionalFormatting sqref="F19:F20 F24:F27 F29:F31 F33:F35">
    <cfRule type="expression" dxfId="165" priority="1">
      <formula>$Q$2="Report"</formula>
    </cfRule>
  </conditionalFormatting>
  <conditionalFormatting sqref="F37">
    <cfRule type="expression" dxfId="164" priority="2">
      <formula>$Q$2="Report"</formula>
    </cfRule>
  </conditionalFormatting>
  <conditionalFormatting sqref="I8:L20">
    <cfRule type="expression" dxfId="163" priority="3">
      <formula>$P$2="Report"</formula>
    </cfRule>
  </conditionalFormatting>
  <conditionalFormatting sqref="I6:Q20 F19:F35">
    <cfRule type="expression" dxfId="162" priority="4">
      <formula>$Q$2="Report"</formula>
    </cfRule>
  </conditionalFormatting>
  <conditionalFormatting sqref="N8:Q8 P9:Q9 N10:O10 N11:Q11 N13:Q13 N15:Q15 N17:O17 N18:Q18 N20:Q20">
    <cfRule type="expression" dxfId="161" priority="5">
      <formula>$P$2="Report"</formula>
    </cfRule>
  </conditionalFormatting>
  <conditionalFormatting sqref="P16:Q16">
    <cfRule type="expression" dxfId="160" priority="6">
      <formula>$P$2="Report"</formula>
    </cfRule>
  </conditionalFormatting>
  <dataValidations count="5">
    <dataValidation type="list" allowBlank="1" showErrorMessage="1" sqref="Q2" xr:uid="{00000000-0002-0000-0100-000000000000}">
      <formula1>"Working,Report"</formula1>
    </dataValidation>
    <dataValidation type="list" allowBlank="1" showErrorMessage="1" sqref="F37" xr:uid="{00000000-0002-0000-0100-000001000000}">
      <formula1>"Bottom Up,Top Down"</formula1>
    </dataValidation>
    <dataValidation type="list" allowBlank="1" showErrorMessage="1" sqref="F22" xr:uid="{00000000-0002-0000-0100-000002000000}">
      <formula1>"Bull,Base,Bear"</formula1>
    </dataValidation>
    <dataValidation type="list" allowBlank="1" showErrorMessage="1" sqref="C2" xr:uid="{00000000-0002-0000-0100-000003000000}">
      <formula1>"$ in Thousands Except Per Share Data,$ in Millions Except Per Share Data,$ in Billions Except Per Share Data"</formula1>
    </dataValidation>
    <dataValidation type="list" allowBlank="1" showErrorMessage="1" sqref="F26" xr:uid="{00000000-0002-0000-0100-000004000000}">
      <formula1>"1Q,2Q,3Q,4Q"</formula1>
    </dataValidation>
  </dataValidations>
  <hyperlinks>
    <hyperlink ref="I24" location="Cover!A1" display="Cover" xr:uid="{00000000-0004-0000-0100-000000000000}"/>
    <hyperlink ref="I25" location="Summary!A1" display="Summary" xr:uid="{00000000-0004-0000-0100-000001000000}"/>
    <hyperlink ref="I26" location="'Football Field'!A1" display="Football Field" xr:uid="{00000000-0004-0000-0100-000002000000}"/>
    <hyperlink ref="I27" location="Integrity!A1" display="Integrity" xr:uid="{00000000-0004-0000-0100-000003000000}"/>
    <hyperlink ref="I28" location="'Revenue Build'!A1" display="Revenue Build" xr:uid="{00000000-0004-0000-0100-000004000000}"/>
    <hyperlink ref="I29" location="Model!A1" display="Model" xr:uid="{00000000-0004-0000-0100-000005000000}"/>
    <hyperlink ref="I30" location="'Segment Analysis'!A1" display="Segment Analysis" xr:uid="{00000000-0004-0000-0100-000006000000}"/>
    <hyperlink ref="I31" location="Drivers!A1" display="Drivers" xr:uid="{00000000-0004-0000-0100-000007000000}"/>
    <hyperlink ref="I32" location="WACC!A1" display="WACC" xr:uid="{00000000-0004-0000-0100-000008000000}"/>
    <hyperlink ref="I33" location="Valuation!A1" display="Valuation" xr:uid="{00000000-0004-0000-0100-000009000000}"/>
    <hyperlink ref="I34" location="Comparables!A1" display="Comparables" xr:uid="{00000000-0004-0000-0100-00000A000000}"/>
    <hyperlink ref="I35" location="Charts!A1" display="Charts" xr:uid="{00000000-0004-0000-0100-00000B000000}"/>
    <hyperlink ref="I36" location="Benchmark!A1" display="Benchmark" xr:uid="{00000000-0004-0000-0100-00000C000000}"/>
    <hyperlink ref="I37" location="'Multiples Data'!A1" display="Multiples Data" xr:uid="{00000000-0004-0000-0100-00000D000000}"/>
    <hyperlink ref="I38" location="'Pre-Earnings'!A1" display="Pre-Earnings" xr:uid="{00000000-0004-0000-0100-00000E000000}"/>
    <hyperlink ref="I39" location="'Post-Earnings'!A1" display="Post-Earnings" xr:uid="{00000000-0004-0000-0100-00000F000000}"/>
  </hyperlink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000"/>
  </sheetPr>
  <dimension ref="A1:AM1000"/>
  <sheetViews>
    <sheetView showGridLines="0" zoomScale="80" zoomScaleNormal="80" workbookViewId="0">
      <pane ySplit="2" topLeftCell="A3" activePane="bottomLeft" state="frozen"/>
      <selection pane="bottomLeft"/>
    </sheetView>
  </sheetViews>
  <sheetFormatPr defaultColWidth="14.42578125" defaultRowHeight="15" customHeight="1" outlineLevelRow="1" outlineLevelCol="1" x14ac:dyDescent="0.25"/>
  <cols>
    <col min="1" max="2" width="1.7109375" customWidth="1"/>
    <col min="3" max="6" width="10.5703125" customWidth="1"/>
    <col min="7" max="18" width="12.7109375" hidden="1" customWidth="1" outlineLevel="1"/>
    <col min="19" max="19" width="1.7109375" customWidth="1" collapsed="1"/>
    <col min="20" max="27" width="12.7109375" customWidth="1"/>
    <col min="28" max="28" width="1.7109375" customWidth="1"/>
    <col min="29" max="29" width="10.5703125" customWidth="1"/>
    <col min="30" max="30" width="1.7109375" customWidth="1"/>
    <col min="31" max="31" width="10.5703125" customWidth="1"/>
  </cols>
  <sheetData>
    <row r="1" spans="1:31" ht="13.5" customHeight="1" x14ac:dyDescent="0.35">
      <c r="A1" s="4"/>
      <c r="B1" s="4"/>
      <c r="C1" s="5" t="str">
        <f ca="1">Company_Name&amp;" - "&amp;MID(CELL("filename",A1),FIND("]",CELL("filename",A1))+1,255)&amp;": "&amp;Case_Scenario&amp;" Case"</f>
        <v>American Express Company - Summary: Base Case</v>
      </c>
      <c r="D1" s="4"/>
      <c r="E1" s="4"/>
      <c r="F1" s="4"/>
      <c r="G1" s="4"/>
      <c r="H1" s="4"/>
      <c r="I1" s="4"/>
      <c r="J1" s="4"/>
      <c r="K1" s="4"/>
      <c r="L1" s="4"/>
      <c r="M1" s="4"/>
      <c r="N1" s="4"/>
      <c r="O1" s="4"/>
      <c r="P1" s="4"/>
      <c r="Q1" s="4"/>
      <c r="R1" s="4"/>
      <c r="S1" s="4"/>
      <c r="T1" s="4"/>
      <c r="U1" s="4"/>
      <c r="V1" s="4"/>
      <c r="W1" s="4"/>
      <c r="X1" s="4"/>
      <c r="Y1" s="4"/>
      <c r="Z1" s="4"/>
      <c r="AA1" s="4"/>
      <c r="AB1" s="4"/>
      <c r="AC1" s="4"/>
      <c r="AD1" s="4"/>
      <c r="AE1" s="4"/>
    </row>
    <row r="2" spans="1:31" ht="13.5" customHeight="1" x14ac:dyDescent="0.25">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c r="AA2" s="2"/>
      <c r="AB2" s="2"/>
      <c r="AC2" s="2"/>
      <c r="AD2" s="2"/>
      <c r="AE2" s="2"/>
    </row>
    <row r="3" spans="1:31" ht="13.5" customHeight="1" x14ac:dyDescent="0.25">
      <c r="A3" s="3"/>
      <c r="B3" s="9"/>
      <c r="C3" s="9"/>
      <c r="D3" s="9"/>
      <c r="E3" s="9"/>
      <c r="F3" s="9"/>
      <c r="G3" s="9"/>
      <c r="H3" s="9"/>
      <c r="I3" s="9"/>
      <c r="J3" s="9"/>
      <c r="K3" s="9"/>
      <c r="L3" s="9"/>
      <c r="M3" s="9"/>
      <c r="N3" s="9"/>
      <c r="O3" s="9"/>
      <c r="P3" s="9"/>
      <c r="Q3" s="9"/>
      <c r="R3" s="9"/>
      <c r="S3" s="9"/>
      <c r="T3" s="9"/>
      <c r="U3" s="9"/>
      <c r="V3" s="9"/>
      <c r="W3" s="9"/>
      <c r="X3" s="9"/>
      <c r="Y3" s="9"/>
      <c r="Z3" s="9"/>
      <c r="AA3" s="9"/>
      <c r="AB3" s="9"/>
      <c r="AC3" s="9"/>
      <c r="AD3" s="9"/>
      <c r="AE3" s="9"/>
    </row>
    <row r="4" spans="1:31" ht="13.5" hidden="1" customHeight="1" outlineLevel="1" x14ac:dyDescent="0.25">
      <c r="A4" s="9"/>
      <c r="B4" s="9"/>
      <c r="C4" s="33" t="s">
        <v>97</v>
      </c>
      <c r="D4" s="34"/>
      <c r="E4" s="34"/>
      <c r="F4" s="34"/>
      <c r="G4" s="74"/>
      <c r="H4" s="74"/>
      <c r="I4" s="74"/>
      <c r="J4" s="34"/>
      <c r="K4" s="34"/>
      <c r="L4" s="34"/>
      <c r="M4" s="34"/>
      <c r="N4" s="74"/>
      <c r="O4" s="74"/>
      <c r="P4" s="74"/>
      <c r="Q4" s="74"/>
      <c r="R4" s="74"/>
      <c r="S4" s="34"/>
      <c r="T4" s="75">
        <f>Model!J24</f>
        <v>2023</v>
      </c>
      <c r="U4" s="75">
        <f>Model!O24</f>
        <v>2024</v>
      </c>
      <c r="V4" s="75">
        <f>Model!T24</f>
        <v>2025</v>
      </c>
      <c r="W4" s="75">
        <f>Model!Y24</f>
        <v>2026</v>
      </c>
      <c r="X4" s="75">
        <f>Model!AD24</f>
        <v>2027</v>
      </c>
      <c r="Y4" s="75">
        <f>Model!AE24</f>
        <v>2028</v>
      </c>
      <c r="Z4" s="75">
        <f>Model!AF24</f>
        <v>2029</v>
      </c>
      <c r="AA4" s="35">
        <f>Model!AG24</f>
        <v>2030</v>
      </c>
      <c r="AB4" s="9"/>
      <c r="AC4" s="9"/>
      <c r="AD4" s="9"/>
      <c r="AE4" s="9"/>
    </row>
    <row r="5" spans="1:31" ht="13.5" customHeight="1" collapsed="1" x14ac:dyDescent="0.25">
      <c r="A5" s="9"/>
      <c r="B5" s="9"/>
      <c r="C5" s="76"/>
      <c r="D5" s="76"/>
      <c r="E5" s="76"/>
      <c r="F5" s="76"/>
      <c r="G5" s="953" t="s">
        <v>98</v>
      </c>
      <c r="H5" s="954"/>
      <c r="I5" s="954"/>
      <c r="J5" s="954"/>
      <c r="K5" s="954"/>
      <c r="L5" s="954"/>
      <c r="M5" s="954"/>
      <c r="N5" s="954"/>
      <c r="O5" s="954"/>
      <c r="P5" s="954"/>
      <c r="Q5" s="954"/>
      <c r="R5" s="954"/>
      <c r="S5" s="955"/>
      <c r="T5" s="956" t="s">
        <v>95</v>
      </c>
      <c r="U5" s="957"/>
      <c r="V5" s="957"/>
      <c r="W5" s="957"/>
      <c r="X5" s="957"/>
      <c r="Y5" s="957"/>
      <c r="Z5" s="957"/>
      <c r="AA5" s="958"/>
      <c r="AB5" s="9"/>
      <c r="AC5" s="77" t="s">
        <v>99</v>
      </c>
      <c r="AD5" s="9"/>
      <c r="AE5" s="77" t="s">
        <v>99</v>
      </c>
    </row>
    <row r="6" spans="1:31" ht="13.5" customHeight="1" x14ac:dyDescent="0.25">
      <c r="A6" s="10" t="s">
        <v>0</v>
      </c>
      <c r="B6" s="9"/>
      <c r="C6" s="76" t="str">
        <f>"Consolidated "&amp;Model!C25</f>
        <v>Consolidated Income Statement</v>
      </c>
      <c r="D6" s="76"/>
      <c r="E6" s="76"/>
      <c r="F6" s="76"/>
      <c r="G6" s="78" t="str">
        <f>Model!P25</f>
        <v>1Q25</v>
      </c>
      <c r="H6" s="78" t="str">
        <f>Model!Q25</f>
        <v>2Q25</v>
      </c>
      <c r="I6" s="78" t="str">
        <f>Model!R25</f>
        <v>3Q25</v>
      </c>
      <c r="J6" s="78" t="str">
        <f>Model!S25</f>
        <v>4Q25</v>
      </c>
      <c r="K6" s="78" t="str">
        <f>Model!U25</f>
        <v>1Q26</v>
      </c>
      <c r="L6" s="78" t="str">
        <f>Model!V25</f>
        <v>2Q26e</v>
      </c>
      <c r="M6" s="78" t="str">
        <f>Model!W25</f>
        <v>3Q26e</v>
      </c>
      <c r="N6" s="78" t="str">
        <f>Model!X25</f>
        <v>4Q26e</v>
      </c>
      <c r="O6" s="78" t="str">
        <f>Model!Z25</f>
        <v>1Q27e</v>
      </c>
      <c r="P6" s="78" t="str">
        <f>Model!AA25</f>
        <v>2Q27e</v>
      </c>
      <c r="Q6" s="78" t="str">
        <f>Model!AB25</f>
        <v>3Q27e</v>
      </c>
      <c r="R6" s="78" t="str">
        <f>Model!AC25</f>
        <v>4Q27e</v>
      </c>
      <c r="S6" s="78"/>
      <c r="T6" s="78">
        <f>Model!J25</f>
        <v>2023</v>
      </c>
      <c r="U6" s="78">
        <f>Model!O25</f>
        <v>2024</v>
      </c>
      <c r="V6" s="78">
        <f>Model!T25</f>
        <v>2025</v>
      </c>
      <c r="W6" s="78" t="str">
        <f>Model!Y25</f>
        <v>2026e</v>
      </c>
      <c r="X6" s="78" t="str">
        <f>Model!AD25</f>
        <v>2027e</v>
      </c>
      <c r="Y6" s="78" t="str">
        <f>Model!AE25</f>
        <v>2028e</v>
      </c>
      <c r="Z6" s="78" t="str">
        <f>Model!AF25</f>
        <v>2029e</v>
      </c>
      <c r="AA6" s="78" t="str">
        <f>Model!AG25</f>
        <v>2030e</v>
      </c>
      <c r="AB6" s="9"/>
      <c r="AC6" s="78" t="s">
        <v>100</v>
      </c>
      <c r="AD6" s="9"/>
      <c r="AE6" s="78" t="s">
        <v>101</v>
      </c>
    </row>
    <row r="7" spans="1:31" ht="4.5" customHeight="1" x14ac:dyDescent="0.25">
      <c r="A7" s="10"/>
      <c r="B7" s="9"/>
      <c r="C7" s="9"/>
      <c r="D7" s="9"/>
      <c r="E7" s="9"/>
      <c r="F7" s="9"/>
      <c r="G7" s="9"/>
      <c r="H7" s="9"/>
      <c r="I7" s="9"/>
      <c r="J7" s="9"/>
      <c r="K7" s="9"/>
      <c r="L7" s="9"/>
      <c r="M7" s="9"/>
      <c r="N7" s="9"/>
      <c r="O7" s="9"/>
      <c r="P7" s="9"/>
      <c r="Q7" s="9"/>
      <c r="R7" s="9"/>
      <c r="S7" s="9"/>
      <c r="T7" s="9"/>
      <c r="U7" s="9"/>
      <c r="V7" s="9"/>
      <c r="W7" s="9"/>
      <c r="X7" s="9"/>
      <c r="Y7" s="9"/>
      <c r="Z7" s="9"/>
      <c r="AA7" s="9"/>
      <c r="AB7" s="9"/>
      <c r="AC7" s="79"/>
      <c r="AD7" s="9"/>
      <c r="AE7" s="79"/>
    </row>
    <row r="8" spans="1:31" ht="13.5" customHeight="1" x14ac:dyDescent="0.25">
      <c r="A8" s="10"/>
      <c r="B8" s="9"/>
      <c r="C8" s="9" t="str">
        <f>Model!C28</f>
        <v>Revenue</v>
      </c>
      <c r="D8" s="9"/>
      <c r="E8" s="9"/>
      <c r="F8" s="9"/>
      <c r="G8" s="80">
        <f>Model!P28</f>
        <v>18933</v>
      </c>
      <c r="H8" s="80">
        <f>Model!Q28</f>
        <v>19933</v>
      </c>
      <c r="I8" s="80">
        <f>Model!R28</f>
        <v>20557</v>
      </c>
      <c r="J8" s="81">
        <f>Model!S28</f>
        <v>21040</v>
      </c>
      <c r="K8" s="80">
        <f>Model!U28</f>
        <v>20880</v>
      </c>
      <c r="L8" s="80">
        <f>Model!V28</f>
        <v>21729.203000000001</v>
      </c>
      <c r="M8" s="80">
        <f>Model!W28</f>
        <v>22323.43895</v>
      </c>
      <c r="N8" s="82">
        <f>Model!X28</f>
        <v>23124.4003792</v>
      </c>
      <c r="O8" s="80">
        <f>Model!Z28</f>
        <v>23062.491167255997</v>
      </c>
      <c r="P8" s="80">
        <f>Model!AA28</f>
        <v>24123.962710826741</v>
      </c>
      <c r="Q8" s="80">
        <f>Model!AB28</f>
        <v>24704.224590130412</v>
      </c>
      <c r="R8" s="80">
        <f>Model!AC28</f>
        <v>25658.825330628726</v>
      </c>
      <c r="S8" s="9"/>
      <c r="T8" s="80">
        <f>Model!J28</f>
        <v>67364</v>
      </c>
      <c r="U8" s="80">
        <f>Model!O28</f>
        <v>74201</v>
      </c>
      <c r="V8" s="81">
        <f>Model!T28</f>
        <v>80463</v>
      </c>
      <c r="W8" s="80">
        <f>Model!Y28</f>
        <v>88057.042329200005</v>
      </c>
      <c r="X8" s="80">
        <f>Model!AD28</f>
        <v>97549.503798841877</v>
      </c>
      <c r="Y8" s="80">
        <f>Model!AE28</f>
        <v>104638.90724681984</v>
      </c>
      <c r="Z8" s="80">
        <f>Model!AF28</f>
        <v>111964.7825308442</v>
      </c>
      <c r="AA8" s="80">
        <f>Model!AG28</f>
        <v>118840.28275763517</v>
      </c>
      <c r="AB8" s="9"/>
      <c r="AC8" s="83">
        <f>IFERROR((V8/T8)^(1/(V$4-T$4))-1,"N/A")</f>
        <v>9.2909439111785508E-2</v>
      </c>
      <c r="AD8" s="64"/>
      <c r="AE8" s="83">
        <f>IFERROR((AA8/V8)^(1/(AA$4-V$4))-1,"N/A")</f>
        <v>8.1118978204195002E-2</v>
      </c>
    </row>
    <row r="9" spans="1:31" ht="13.5" customHeight="1" x14ac:dyDescent="0.25">
      <c r="A9" s="10"/>
      <c r="B9" s="9"/>
      <c r="C9" s="84" t="s">
        <v>102</v>
      </c>
      <c r="D9" s="9"/>
      <c r="E9" s="9"/>
      <c r="F9" s="9"/>
      <c r="G9" s="9"/>
      <c r="H9" s="85"/>
      <c r="I9" s="85"/>
      <c r="J9" s="86"/>
      <c r="K9" s="85">
        <f t="shared" ref="K9:R9" si="0">K8/G8-1</f>
        <v>0.1028363175408018</v>
      </c>
      <c r="L9" s="85">
        <f t="shared" si="0"/>
        <v>9.0112025284703856E-2</v>
      </c>
      <c r="M9" s="85">
        <f t="shared" si="0"/>
        <v>8.5928829595758094E-2</v>
      </c>
      <c r="N9" s="87">
        <f t="shared" si="0"/>
        <v>9.9068459087452432E-2</v>
      </c>
      <c r="O9" s="85">
        <f t="shared" si="0"/>
        <v>0.10452543904482736</v>
      </c>
      <c r="P9" s="85">
        <f t="shared" si="0"/>
        <v>0.11020927508600931</v>
      </c>
      <c r="Q9" s="85">
        <f t="shared" si="0"/>
        <v>0.10664959128666918</v>
      </c>
      <c r="R9" s="85">
        <f t="shared" si="0"/>
        <v>0.10959959652438811</v>
      </c>
      <c r="S9" s="9"/>
      <c r="T9" s="85"/>
      <c r="U9" s="85">
        <f t="shared" ref="U9:AA9" si="1">IF(ISERROR(U8/T8-1),"NA",(U8/T8-1))</f>
        <v>0.10149337925301349</v>
      </c>
      <c r="V9" s="86">
        <f t="shared" si="1"/>
        <v>8.4392393633508922E-2</v>
      </c>
      <c r="W9" s="85">
        <f t="shared" si="1"/>
        <v>9.4379308864944278E-2</v>
      </c>
      <c r="X9" s="85">
        <f t="shared" si="1"/>
        <v>0.10779900412910126</v>
      </c>
      <c r="Y9" s="85">
        <f t="shared" si="1"/>
        <v>7.2674930900695545E-2</v>
      </c>
      <c r="Z9" s="85">
        <f t="shared" si="1"/>
        <v>7.0011007155724947E-2</v>
      </c>
      <c r="AA9" s="85">
        <f t="shared" si="1"/>
        <v>6.1407704024226462E-2</v>
      </c>
      <c r="AB9" s="9"/>
      <c r="AC9" s="83"/>
      <c r="AD9" s="64"/>
      <c r="AE9" s="83"/>
    </row>
    <row r="10" spans="1:31" ht="13.5" customHeight="1" x14ac:dyDescent="0.25">
      <c r="A10" s="10"/>
      <c r="B10" s="9"/>
      <c r="C10" s="9"/>
      <c r="D10" s="9"/>
      <c r="E10" s="9"/>
      <c r="F10" s="9"/>
      <c r="G10" s="9"/>
      <c r="H10" s="9"/>
      <c r="I10" s="9"/>
      <c r="J10" s="88"/>
      <c r="K10" s="9"/>
      <c r="L10" s="9"/>
      <c r="M10" s="9"/>
      <c r="N10" s="89"/>
      <c r="O10" s="9"/>
      <c r="P10" s="9"/>
      <c r="Q10" s="9"/>
      <c r="R10" s="9"/>
      <c r="S10" s="9"/>
      <c r="T10" s="9"/>
      <c r="U10" s="9"/>
      <c r="V10" s="88"/>
      <c r="W10" s="9"/>
      <c r="X10" s="9"/>
      <c r="Y10" s="9"/>
      <c r="Z10" s="9"/>
      <c r="AA10" s="9"/>
      <c r="AB10" s="9"/>
      <c r="AC10" s="90"/>
      <c r="AD10" s="64"/>
      <c r="AE10" s="90"/>
    </row>
    <row r="11" spans="1:31" ht="13.5" customHeight="1" x14ac:dyDescent="0.25">
      <c r="A11" s="10"/>
      <c r="B11" s="9"/>
      <c r="C11" s="9" t="str">
        <f>Model!C32</f>
        <v>Gross Profit</v>
      </c>
      <c r="D11" s="9"/>
      <c r="E11" s="9"/>
      <c r="F11" s="9"/>
      <c r="G11" s="80">
        <f>Model!P32</f>
        <v>15817</v>
      </c>
      <c r="H11" s="80">
        <f>Model!Q32</f>
        <v>16451</v>
      </c>
      <c r="I11" s="80">
        <f>Model!R32</f>
        <v>17139</v>
      </c>
      <c r="J11" s="81">
        <f>Model!S32</f>
        <v>17566</v>
      </c>
      <c r="K11" s="80">
        <f>Model!U32</f>
        <v>17656</v>
      </c>
      <c r="L11" s="80">
        <f>Model!V32</f>
        <v>18250.819201999999</v>
      </c>
      <c r="M11" s="80">
        <f>Model!W32</f>
        <v>19007.868735100001</v>
      </c>
      <c r="N11" s="82">
        <f>Model!X32</f>
        <v>19678.935650552001</v>
      </c>
      <c r="O11" s="80">
        <f>Model!Z32</f>
        <v>19900.084281586125</v>
      </c>
      <c r="P11" s="80">
        <f>Model!AA32</f>
        <v>20827.045670081599</v>
      </c>
      <c r="Q11" s="80">
        <f>Model!AB32</f>
        <v>21340.717874229587</v>
      </c>
      <c r="R11" s="80">
        <f>Model!AC32</f>
        <v>22288.52286125211</v>
      </c>
      <c r="S11" s="9"/>
      <c r="T11" s="80">
        <f>Model!J32</f>
        <v>55592</v>
      </c>
      <c r="U11" s="80">
        <f>Model!O32</f>
        <v>60764</v>
      </c>
      <c r="V11" s="81">
        <f>Model!T32</f>
        <v>66973</v>
      </c>
      <c r="W11" s="80">
        <f>Model!Y32</f>
        <v>74593.623587651993</v>
      </c>
      <c r="X11" s="80">
        <f>Model!AD32</f>
        <v>84356.370687149421</v>
      </c>
      <c r="Y11" s="80">
        <f>Model!AE32</f>
        <v>91504.218262559443</v>
      </c>
      <c r="Z11" s="80">
        <f>Model!AF32</f>
        <v>98291.243683908222</v>
      </c>
      <c r="AA11" s="80">
        <f>Model!AG32</f>
        <v>104639.01943144719</v>
      </c>
      <c r="AB11" s="9"/>
      <c r="AC11" s="83">
        <f>IFERROR((V11/T11)^(1/(V$4-T$4))-1,"N/A")</f>
        <v>9.7599062158846284E-2</v>
      </c>
      <c r="AD11" s="64"/>
      <c r="AE11" s="83">
        <f>IFERROR((AA11/V11)^(1/(AA$4-V$4))-1,"N/A")</f>
        <v>9.3348923295938357E-2</v>
      </c>
    </row>
    <row r="12" spans="1:31" ht="13.5" customHeight="1" x14ac:dyDescent="0.25">
      <c r="A12" s="10"/>
      <c r="B12" s="9"/>
      <c r="C12" s="84" t="s">
        <v>103</v>
      </c>
      <c r="D12" s="9"/>
      <c r="E12" s="9"/>
      <c r="F12" s="9"/>
      <c r="G12" s="85">
        <f t="shared" ref="G12:R12" si="2">G11/G$8</f>
        <v>0.83541963766967731</v>
      </c>
      <c r="H12" s="85">
        <f t="shared" si="2"/>
        <v>0.82531480459539452</v>
      </c>
      <c r="I12" s="85">
        <f t="shared" si="2"/>
        <v>0.8337306027144038</v>
      </c>
      <c r="J12" s="86">
        <f t="shared" si="2"/>
        <v>0.83488593155893531</v>
      </c>
      <c r="K12" s="85">
        <f t="shared" si="2"/>
        <v>0.84559386973180073</v>
      </c>
      <c r="L12" s="85">
        <f t="shared" si="2"/>
        <v>0.83992124340685659</v>
      </c>
      <c r="M12" s="85">
        <f t="shared" si="2"/>
        <v>0.85147583119580239</v>
      </c>
      <c r="N12" s="87">
        <f t="shared" si="2"/>
        <v>0.85100306722992325</v>
      </c>
      <c r="O12" s="85">
        <f t="shared" si="2"/>
        <v>0.86287661368690993</v>
      </c>
      <c r="P12" s="85">
        <f t="shared" si="2"/>
        <v>0.86333435015361315</v>
      </c>
      <c r="Q12" s="85">
        <f t="shared" si="2"/>
        <v>0.86384892577261541</v>
      </c>
      <c r="R12" s="85">
        <f t="shared" si="2"/>
        <v>0.86864938570069639</v>
      </c>
      <c r="S12" s="9"/>
      <c r="T12" s="85">
        <f t="shared" ref="T12:AA12" si="3">T11/T$8</f>
        <v>0.82524790689388994</v>
      </c>
      <c r="U12" s="85">
        <f t="shared" si="3"/>
        <v>0.8189107963504535</v>
      </c>
      <c r="V12" s="86">
        <f t="shared" si="3"/>
        <v>0.8323453015671799</v>
      </c>
      <c r="W12" s="85">
        <f t="shared" si="3"/>
        <v>0.84710571255374201</v>
      </c>
      <c r="X12" s="85">
        <f t="shared" si="3"/>
        <v>0.86475448261737764</v>
      </c>
      <c r="Y12" s="85">
        <f t="shared" si="3"/>
        <v>0.87447604978061744</v>
      </c>
      <c r="Z12" s="85">
        <f t="shared" si="3"/>
        <v>0.87787643098249069</v>
      </c>
      <c r="AA12" s="85">
        <f t="shared" si="3"/>
        <v>0.88050126609720147</v>
      </c>
      <c r="AB12" s="9"/>
      <c r="AC12" s="90"/>
      <c r="AD12" s="64"/>
      <c r="AE12" s="90"/>
    </row>
    <row r="13" spans="1:31" ht="13.5" customHeight="1" x14ac:dyDescent="0.25">
      <c r="A13" s="10"/>
      <c r="B13" s="9"/>
      <c r="C13" s="84" t="s">
        <v>102</v>
      </c>
      <c r="D13" s="9"/>
      <c r="E13" s="9"/>
      <c r="F13" s="9"/>
      <c r="G13" s="85"/>
      <c r="H13" s="85"/>
      <c r="I13" s="85"/>
      <c r="J13" s="86"/>
      <c r="K13" s="85">
        <f t="shared" ref="K13:R13" si="4">K11/G11-1</f>
        <v>0.11626730732755886</v>
      </c>
      <c r="L13" s="85">
        <f t="shared" si="4"/>
        <v>0.10940485089052321</v>
      </c>
      <c r="M13" s="85">
        <f t="shared" si="4"/>
        <v>0.10904187730322668</v>
      </c>
      <c r="N13" s="87">
        <f t="shared" si="4"/>
        <v>0.12028553174040768</v>
      </c>
      <c r="O13" s="85">
        <f t="shared" si="4"/>
        <v>0.12710037843147504</v>
      </c>
      <c r="P13" s="85">
        <f t="shared" si="4"/>
        <v>0.1411567579278461</v>
      </c>
      <c r="Q13" s="85">
        <f t="shared" si="4"/>
        <v>0.12273070545893128</v>
      </c>
      <c r="R13" s="85">
        <f t="shared" si="4"/>
        <v>0.13260814797302856</v>
      </c>
      <c r="S13" s="9"/>
      <c r="T13" s="85"/>
      <c r="U13" s="85">
        <f t="shared" ref="U13:AA13" si="5">U11/T11-1</f>
        <v>9.3034969060296513E-2</v>
      </c>
      <c r="V13" s="86">
        <f t="shared" si="5"/>
        <v>0.10218221315252451</v>
      </c>
      <c r="W13" s="85">
        <f t="shared" si="5"/>
        <v>0.11378650482510855</v>
      </c>
      <c r="X13" s="85">
        <f t="shared" si="5"/>
        <v>0.13087911043798028</v>
      </c>
      <c r="Y13" s="85">
        <f t="shared" si="5"/>
        <v>8.4733939087055843E-2</v>
      </c>
      <c r="Z13" s="85">
        <f t="shared" si="5"/>
        <v>7.4171721809308311E-2</v>
      </c>
      <c r="AA13" s="85">
        <f t="shared" si="5"/>
        <v>6.4581294422854096E-2</v>
      </c>
      <c r="AB13" s="9"/>
      <c r="AC13" s="90"/>
      <c r="AD13" s="64"/>
      <c r="AE13" s="90"/>
    </row>
    <row r="14" spans="1:31" ht="13.5" customHeight="1" x14ac:dyDescent="0.25">
      <c r="A14" s="10"/>
      <c r="B14" s="9"/>
      <c r="C14" s="9"/>
      <c r="D14" s="9"/>
      <c r="E14" s="9"/>
      <c r="F14" s="9"/>
      <c r="G14" s="9"/>
      <c r="H14" s="9"/>
      <c r="I14" s="9"/>
      <c r="J14" s="88"/>
      <c r="K14" s="9"/>
      <c r="L14" s="9"/>
      <c r="M14" s="9"/>
      <c r="N14" s="89"/>
      <c r="O14" s="9"/>
      <c r="P14" s="9"/>
      <c r="Q14" s="9"/>
      <c r="R14" s="9"/>
      <c r="S14" s="9"/>
      <c r="T14" s="9"/>
      <c r="U14" s="9"/>
      <c r="V14" s="88"/>
      <c r="W14" s="9"/>
      <c r="X14" s="9"/>
      <c r="Y14" s="9"/>
      <c r="Z14" s="9"/>
      <c r="AA14" s="9"/>
      <c r="AB14" s="9"/>
      <c r="AC14" s="90"/>
      <c r="AD14" s="64"/>
      <c r="AE14" s="90"/>
    </row>
    <row r="15" spans="1:31" ht="13.5" customHeight="1" x14ac:dyDescent="0.25">
      <c r="A15" s="10"/>
      <c r="B15" s="9"/>
      <c r="C15" s="9" t="str">
        <f>Model!C39</f>
        <v>Operating Income</v>
      </c>
      <c r="D15" s="9"/>
      <c r="E15" s="9"/>
      <c r="F15" s="9"/>
      <c r="G15" s="80">
        <f>Model!P39</f>
        <v>3330</v>
      </c>
      <c r="H15" s="80">
        <f>Model!Q39</f>
        <v>3550</v>
      </c>
      <c r="I15" s="80">
        <f>Model!R39</f>
        <v>3825</v>
      </c>
      <c r="J15" s="81">
        <f>Model!S39</f>
        <v>3090</v>
      </c>
      <c r="K15" s="80">
        <f>Model!U39</f>
        <v>3778</v>
      </c>
      <c r="L15" s="80">
        <f>Model!V39</f>
        <v>3757.440800999997</v>
      </c>
      <c r="M15" s="80">
        <f>Model!W39</f>
        <v>4140.4583944000005</v>
      </c>
      <c r="N15" s="82">
        <f>Model!X39</f>
        <v>4416.8314002799998</v>
      </c>
      <c r="O15" s="80">
        <f>Model!Z39</f>
        <v>4494.3401818591192</v>
      </c>
      <c r="P15" s="80">
        <f>Model!AA39</f>
        <v>4808.7344300926434</v>
      </c>
      <c r="Q15" s="80">
        <f>Model!AB39</f>
        <v>5159.4507676941685</v>
      </c>
      <c r="R15" s="80">
        <f>Model!AC39</f>
        <v>5430.674619029036</v>
      </c>
      <c r="S15" s="9"/>
      <c r="T15" s="80">
        <f>Model!J39</f>
        <v>10513</v>
      </c>
      <c r="U15" s="80">
        <f>Model!O39</f>
        <v>12895</v>
      </c>
      <c r="V15" s="81">
        <f>Model!T39</f>
        <v>13795</v>
      </c>
      <c r="W15" s="80">
        <f>Model!Y39</f>
        <v>16092.730595679997</v>
      </c>
      <c r="X15" s="80">
        <f>Model!AD39</f>
        <v>19893.199998674965</v>
      </c>
      <c r="Y15" s="80">
        <f>Model!AE39</f>
        <v>22756.456201398803</v>
      </c>
      <c r="Z15" s="80">
        <f>Model!AF39</f>
        <v>24898.328734939845</v>
      </c>
      <c r="AA15" s="80">
        <f>Model!AG39</f>
        <v>26798.634225196161</v>
      </c>
      <c r="AB15" s="9"/>
      <c r="AC15" s="83">
        <f>IFERROR((V15/T15)^(1/(V$4-T$4))-1,"N/A")</f>
        <v>0.14550640064388287</v>
      </c>
      <c r="AD15" s="64"/>
      <c r="AE15" s="83">
        <f>IFERROR((AA15/V15)^(1/(AA$4-V$4))-1,"N/A")</f>
        <v>0.14203178473099931</v>
      </c>
    </row>
    <row r="16" spans="1:31" ht="13.5" customHeight="1" x14ac:dyDescent="0.25">
      <c r="A16" s="10"/>
      <c r="B16" s="9"/>
      <c r="C16" s="84" t="s">
        <v>104</v>
      </c>
      <c r="D16" s="9"/>
      <c r="E16" s="9"/>
      <c r="F16" s="9"/>
      <c r="G16" s="85">
        <f t="shared" ref="G16:R16" si="6">G15/G$8</f>
        <v>0.17588337822848993</v>
      </c>
      <c r="H16" s="85">
        <f t="shared" si="6"/>
        <v>0.17809662368935936</v>
      </c>
      <c r="I16" s="85">
        <f t="shared" si="6"/>
        <v>0.18606800603200857</v>
      </c>
      <c r="J16" s="86">
        <f t="shared" si="6"/>
        <v>0.14686311787072243</v>
      </c>
      <c r="K16" s="85">
        <f t="shared" si="6"/>
        <v>0.18093869731800766</v>
      </c>
      <c r="L16" s="85">
        <f t="shared" si="6"/>
        <v>0.17292124340685652</v>
      </c>
      <c r="M16" s="85">
        <f t="shared" si="6"/>
        <v>0.18547583119580241</v>
      </c>
      <c r="N16" s="87">
        <f t="shared" si="6"/>
        <v>0.19100306722992322</v>
      </c>
      <c r="O16" s="85">
        <f t="shared" si="6"/>
        <v>0.19487661368690992</v>
      </c>
      <c r="P16" s="85">
        <f t="shared" si="6"/>
        <v>0.19933435015361312</v>
      </c>
      <c r="Q16" s="85">
        <f t="shared" si="6"/>
        <v>0.20884892577261549</v>
      </c>
      <c r="R16" s="85">
        <f t="shared" si="6"/>
        <v>0.21164938570069633</v>
      </c>
      <c r="S16" s="9"/>
      <c r="T16" s="85">
        <f t="shared" ref="T16:AA16" si="7">T15/T$8</f>
        <v>0.15606258535716405</v>
      </c>
      <c r="U16" s="85">
        <f t="shared" si="7"/>
        <v>0.17378471988248137</v>
      </c>
      <c r="V16" s="86">
        <f t="shared" si="7"/>
        <v>0.1714452605545406</v>
      </c>
      <c r="W16" s="85">
        <f t="shared" si="7"/>
        <v>0.18275347626959298</v>
      </c>
      <c r="X16" s="85">
        <f t="shared" si="7"/>
        <v>0.20392927922726287</v>
      </c>
      <c r="Y16" s="85">
        <f t="shared" si="7"/>
        <v>0.21747604978061744</v>
      </c>
      <c r="Z16" s="85">
        <f t="shared" si="7"/>
        <v>0.2223764309824906</v>
      </c>
      <c r="AA16" s="85">
        <f t="shared" si="7"/>
        <v>0.22550126609720156</v>
      </c>
      <c r="AB16" s="9"/>
      <c r="AC16" s="90"/>
      <c r="AD16" s="64"/>
      <c r="AE16" s="90"/>
    </row>
    <row r="17" spans="1:39" ht="13.5" customHeight="1" x14ac:dyDescent="0.25">
      <c r="A17" s="10"/>
      <c r="B17" s="9"/>
      <c r="C17" s="84" t="s">
        <v>102</v>
      </c>
      <c r="D17" s="9"/>
      <c r="E17" s="9"/>
      <c r="F17" s="9"/>
      <c r="G17" s="9"/>
      <c r="H17" s="85"/>
      <c r="I17" s="85"/>
      <c r="J17" s="86"/>
      <c r="K17" s="85">
        <f t="shared" ref="K17:R17" si="8">K15/G15-1</f>
        <v>0.13453453453453457</v>
      </c>
      <c r="L17" s="85">
        <f t="shared" si="8"/>
        <v>5.8434028450703446E-2</v>
      </c>
      <c r="M17" s="85">
        <f t="shared" si="8"/>
        <v>8.2472782849673409E-2</v>
      </c>
      <c r="N17" s="87">
        <f t="shared" si="8"/>
        <v>0.42939527517152087</v>
      </c>
      <c r="O17" s="85">
        <f t="shared" si="8"/>
        <v>0.18960830647409188</v>
      </c>
      <c r="P17" s="85">
        <f t="shared" si="8"/>
        <v>0.27978980502177375</v>
      </c>
      <c r="Q17" s="85">
        <f t="shared" si="8"/>
        <v>0.24610617381697697</v>
      </c>
      <c r="R17" s="85">
        <f t="shared" si="8"/>
        <v>0.22954084656361684</v>
      </c>
      <c r="S17" s="9"/>
      <c r="T17" s="85"/>
      <c r="U17" s="85">
        <f t="shared" ref="U17:AA17" si="9">U15/T15-1</f>
        <v>0.22657661942357077</v>
      </c>
      <c r="V17" s="86">
        <f t="shared" si="9"/>
        <v>6.979449398991866E-2</v>
      </c>
      <c r="W17" s="85">
        <f t="shared" si="9"/>
        <v>0.16656256583399753</v>
      </c>
      <c r="X17" s="85">
        <f t="shared" si="9"/>
        <v>0.23616063044112501</v>
      </c>
      <c r="Y17" s="85">
        <f t="shared" si="9"/>
        <v>0.14393140384224523</v>
      </c>
      <c r="Z17" s="85">
        <f t="shared" si="9"/>
        <v>9.4121532570145217E-2</v>
      </c>
      <c r="AA17" s="85">
        <f t="shared" si="9"/>
        <v>7.6322612271948032E-2</v>
      </c>
      <c r="AB17" s="9"/>
      <c r="AC17" s="90"/>
      <c r="AD17" s="64"/>
      <c r="AE17" s="90"/>
    </row>
    <row r="18" spans="1:39" ht="13.5" customHeight="1" x14ac:dyDescent="0.25">
      <c r="A18" s="10"/>
      <c r="B18" s="9"/>
      <c r="C18" s="9"/>
      <c r="D18" s="9"/>
      <c r="E18" s="9"/>
      <c r="F18" s="9"/>
      <c r="G18" s="9"/>
      <c r="H18" s="9"/>
      <c r="I18" s="9"/>
      <c r="J18" s="88"/>
      <c r="K18" s="9"/>
      <c r="L18" s="9"/>
      <c r="M18" s="9"/>
      <c r="N18" s="89"/>
      <c r="O18" s="9"/>
      <c r="P18" s="9"/>
      <c r="Q18" s="9"/>
      <c r="R18" s="9"/>
      <c r="S18" s="9"/>
      <c r="T18" s="9"/>
      <c r="U18" s="9"/>
      <c r="V18" s="88"/>
      <c r="W18" s="9"/>
      <c r="X18" s="9"/>
      <c r="Y18" s="9"/>
      <c r="Z18" s="9"/>
      <c r="AA18" s="9"/>
      <c r="AB18" s="9"/>
      <c r="AC18" s="90"/>
      <c r="AD18" s="64"/>
      <c r="AE18" s="90"/>
      <c r="AM18">
        <v>1</v>
      </c>
    </row>
    <row r="19" spans="1:39" ht="13.5" customHeight="1" x14ac:dyDescent="0.25">
      <c r="A19" s="10"/>
      <c r="B19" s="9"/>
      <c r="C19" s="9" t="str">
        <f>Model!C45</f>
        <v>Net Income (Loss)</v>
      </c>
      <c r="D19" s="9"/>
      <c r="E19" s="9"/>
      <c r="F19" s="9"/>
      <c r="G19" s="80">
        <f>Model!P45</f>
        <v>2584</v>
      </c>
      <c r="H19" s="80">
        <f>Model!Q45</f>
        <v>2885</v>
      </c>
      <c r="I19" s="80">
        <f>Model!R45</f>
        <v>2902</v>
      </c>
      <c r="J19" s="81">
        <f>Model!S45</f>
        <v>2462</v>
      </c>
      <c r="K19" s="80">
        <f>Model!U45</f>
        <v>2971</v>
      </c>
      <c r="L19" s="80">
        <f>Model!V45</f>
        <v>2953.3484695859979</v>
      </c>
      <c r="M19" s="80">
        <f>Model!W45</f>
        <v>3254.4002979984007</v>
      </c>
      <c r="N19" s="82">
        <f>Model!X45</f>
        <v>3471.6294806200799</v>
      </c>
      <c r="O19" s="80">
        <f>Model!Z45</f>
        <v>3528.0570427594084</v>
      </c>
      <c r="P19" s="80">
        <f>Model!AA45</f>
        <v>3774.856527622725</v>
      </c>
      <c r="Q19" s="80">
        <f>Model!AB45</f>
        <v>4050.1688526399221</v>
      </c>
      <c r="R19" s="80">
        <f>Model!AC45</f>
        <v>4263.0795759377934</v>
      </c>
      <c r="S19" s="9"/>
      <c r="T19" s="80">
        <f>Model!J45</f>
        <v>8374</v>
      </c>
      <c r="U19" s="80">
        <f>Model!O45</f>
        <v>10129</v>
      </c>
      <c r="V19" s="81">
        <f>Model!T45</f>
        <v>10833</v>
      </c>
      <c r="W19" s="80">
        <f>Model!Y45</f>
        <v>12650.378248204479</v>
      </c>
      <c r="X19" s="80">
        <f>Model!AD45</f>
        <v>15616.161998959851</v>
      </c>
      <c r="Y19" s="80">
        <f>Model!AE45</f>
        <v>17841.06166189666</v>
      </c>
      <c r="Z19" s="80">
        <f>Model!AF45</f>
        <v>19545.188056927778</v>
      </c>
      <c r="AA19" s="80">
        <f>Model!AG45</f>
        <v>21063.726501004181</v>
      </c>
      <c r="AB19" s="9"/>
      <c r="AC19" s="83">
        <f>IFERROR((V19/T19)^(1/(V$4-T$4))-1,"N/A")</f>
        <v>0.13738603940226879</v>
      </c>
      <c r="AD19" s="64"/>
      <c r="AE19" s="83">
        <f>IFERROR((AA19/V19)^(1/(AA$4-V$4))-1,"N/A")</f>
        <v>0.14223981109530848</v>
      </c>
    </row>
    <row r="20" spans="1:39" ht="13.5" customHeight="1" x14ac:dyDescent="0.25">
      <c r="A20" s="10"/>
      <c r="B20" s="9"/>
      <c r="C20" s="84" t="s">
        <v>104</v>
      </c>
      <c r="D20" s="9"/>
      <c r="E20" s="9"/>
      <c r="F20" s="9"/>
      <c r="G20" s="85">
        <f t="shared" ref="G20:R20" si="10">G19/G$8</f>
        <v>0.1364812760788042</v>
      </c>
      <c r="H20" s="85">
        <f t="shared" si="10"/>
        <v>0.14473486178698641</v>
      </c>
      <c r="I20" s="85">
        <f t="shared" si="10"/>
        <v>0.14116845843265069</v>
      </c>
      <c r="J20" s="86">
        <f t="shared" si="10"/>
        <v>0.11701520912547529</v>
      </c>
      <c r="K20" s="85">
        <f t="shared" si="10"/>
        <v>0.14228927203065134</v>
      </c>
      <c r="L20" s="85">
        <f t="shared" si="10"/>
        <v>0.13591609731778923</v>
      </c>
      <c r="M20" s="85">
        <f t="shared" si="10"/>
        <v>0.14578400331990071</v>
      </c>
      <c r="N20" s="87">
        <f t="shared" si="10"/>
        <v>0.15012841084271966</v>
      </c>
      <c r="O20" s="85">
        <f t="shared" si="10"/>
        <v>0.15297814174422428</v>
      </c>
      <c r="P20" s="85">
        <f t="shared" si="10"/>
        <v>0.15647746487058628</v>
      </c>
      <c r="Q20" s="85">
        <f t="shared" si="10"/>
        <v>0.16394640673150315</v>
      </c>
      <c r="R20" s="85">
        <f t="shared" si="10"/>
        <v>0.16614476777504661</v>
      </c>
      <c r="S20" s="9"/>
      <c r="T20" s="85">
        <f t="shared" ref="T20:AA20" si="11">T19/T$8</f>
        <v>0.12430972032539635</v>
      </c>
      <c r="U20" s="85">
        <f t="shared" si="11"/>
        <v>0.13650759423727443</v>
      </c>
      <c r="V20" s="86">
        <f t="shared" si="11"/>
        <v>0.13463330971999551</v>
      </c>
      <c r="W20" s="85">
        <f t="shared" si="11"/>
        <v>0.14366117591039704</v>
      </c>
      <c r="X20" s="85">
        <f t="shared" si="11"/>
        <v>0.16008448419340138</v>
      </c>
      <c r="Y20" s="85">
        <f t="shared" si="11"/>
        <v>0.17050122302800405</v>
      </c>
      <c r="Z20" s="85">
        <f t="shared" si="11"/>
        <v>0.17456549832125512</v>
      </c>
      <c r="AA20" s="85">
        <f t="shared" si="11"/>
        <v>0.17724399515240041</v>
      </c>
      <c r="AB20" s="9"/>
      <c r="AC20" s="90"/>
      <c r="AD20" s="64"/>
      <c r="AE20" s="90"/>
    </row>
    <row r="21" spans="1:39" ht="13.5" customHeight="1" x14ac:dyDescent="0.25">
      <c r="A21" s="10"/>
      <c r="B21" s="9"/>
      <c r="C21" s="84" t="s">
        <v>102</v>
      </c>
      <c r="D21" s="9"/>
      <c r="E21" s="9"/>
      <c r="F21" s="9"/>
      <c r="G21" s="9"/>
      <c r="H21" s="85"/>
      <c r="I21" s="85"/>
      <c r="J21" s="86"/>
      <c r="K21" s="85">
        <f t="shared" ref="K21:R21" si="12">K19/G19-1</f>
        <v>0.1497678018575852</v>
      </c>
      <c r="L21" s="85">
        <f t="shared" si="12"/>
        <v>2.3690977326169094E-2</v>
      </c>
      <c r="M21" s="85">
        <f t="shared" si="12"/>
        <v>0.1214335968292215</v>
      </c>
      <c r="N21" s="87">
        <f t="shared" si="12"/>
        <v>0.41008508554836709</v>
      </c>
      <c r="O21" s="85">
        <f t="shared" si="12"/>
        <v>0.1874981631637187</v>
      </c>
      <c r="P21" s="85">
        <f t="shared" si="12"/>
        <v>0.27816157371767458</v>
      </c>
      <c r="Q21" s="85">
        <f t="shared" si="12"/>
        <v>0.24452079700550478</v>
      </c>
      <c r="R21" s="85">
        <f t="shared" si="12"/>
        <v>0.22797654523211097</v>
      </c>
      <c r="S21" s="9"/>
      <c r="T21" s="85"/>
      <c r="U21" s="85">
        <f t="shared" ref="U21:AA21" si="13">U19/T19-1</f>
        <v>0.20957726295677093</v>
      </c>
      <c r="V21" s="86">
        <f t="shared" si="13"/>
        <v>6.9503406061802719E-2</v>
      </c>
      <c r="W21" s="85">
        <f t="shared" si="13"/>
        <v>0.16776315408515452</v>
      </c>
      <c r="X21" s="85">
        <f t="shared" si="13"/>
        <v>0.23444229829067109</v>
      </c>
      <c r="Y21" s="85">
        <f t="shared" si="13"/>
        <v>0.142474166385121</v>
      </c>
      <c r="Z21" s="85">
        <f t="shared" si="13"/>
        <v>9.5517095749444003E-2</v>
      </c>
      <c r="AA21" s="85">
        <f t="shared" si="13"/>
        <v>7.7693723879937782E-2</v>
      </c>
      <c r="AB21" s="9"/>
      <c r="AC21" s="83"/>
      <c r="AD21" s="64"/>
      <c r="AE21" s="83"/>
    </row>
    <row r="22" spans="1:39" ht="13.5" customHeight="1" x14ac:dyDescent="0.25">
      <c r="A22" s="10"/>
      <c r="B22" s="9"/>
      <c r="C22" s="9"/>
      <c r="D22" s="9"/>
      <c r="E22" s="9"/>
      <c r="F22" s="9"/>
      <c r="G22" s="9"/>
      <c r="H22" s="9"/>
      <c r="I22" s="9"/>
      <c r="J22" s="88"/>
      <c r="K22" s="9"/>
      <c r="L22" s="9"/>
      <c r="M22" s="9"/>
      <c r="N22" s="89"/>
      <c r="O22" s="9"/>
      <c r="P22" s="9"/>
      <c r="Q22" s="9"/>
      <c r="R22" s="9"/>
      <c r="S22" s="9"/>
      <c r="T22" s="9"/>
      <c r="U22" s="9"/>
      <c r="V22" s="88"/>
      <c r="W22" s="9"/>
      <c r="X22" s="9"/>
      <c r="Y22" s="9"/>
      <c r="Z22" s="9"/>
      <c r="AA22" s="9"/>
      <c r="AB22" s="9"/>
      <c r="AC22" s="90"/>
      <c r="AD22" s="64"/>
      <c r="AE22" s="90"/>
    </row>
    <row r="23" spans="1:39" ht="13.5" customHeight="1" x14ac:dyDescent="0.25">
      <c r="A23" s="10"/>
      <c r="B23" s="9"/>
      <c r="C23" s="9" t="str">
        <f>Model!C57</f>
        <v>Adj. EPS (Diluted)</v>
      </c>
      <c r="D23" s="9"/>
      <c r="E23" s="9"/>
      <c r="F23" s="9"/>
      <c r="G23" s="91">
        <f>Model!P57</f>
        <v>3.7222222222222223</v>
      </c>
      <c r="H23" s="91">
        <f>Model!Q57</f>
        <v>4.296137339055794</v>
      </c>
      <c r="I23" s="91">
        <f>Model!R57</f>
        <v>4.1861471861471857</v>
      </c>
      <c r="J23" s="92">
        <f>Model!S57</f>
        <v>3.4971264367816093</v>
      </c>
      <c r="K23" s="91">
        <f>Model!U57</f>
        <v>4.2813411078717198</v>
      </c>
      <c r="L23" s="91">
        <f>Model!V57</f>
        <v>4.3066280544531699</v>
      </c>
      <c r="M23" s="91">
        <f>Model!W57</f>
        <v>4.7488381469658387</v>
      </c>
      <c r="N23" s="93">
        <f>Model!X57</f>
        <v>5.0692497463587145</v>
      </c>
      <c r="O23" s="91">
        <f>Model!Z57</f>
        <v>5.1551063616021446</v>
      </c>
      <c r="P23" s="91">
        <f>Model!AA57</f>
        <v>5.5194013637032473</v>
      </c>
      <c r="Q23" s="91">
        <f>Model!AB57</f>
        <v>5.9259003485143333</v>
      </c>
      <c r="R23" s="91">
        <f>Model!AC57</f>
        <v>6.2415799115114803</v>
      </c>
      <c r="S23" s="91"/>
      <c r="T23" s="91">
        <f>Model!J57</f>
        <v>11.565217391304348</v>
      </c>
      <c r="U23" s="91">
        <f>Model!O57</f>
        <v>13.753155680224404</v>
      </c>
      <c r="V23" s="92">
        <f>Model!T57</f>
        <v>15.73419540229885</v>
      </c>
      <c r="W23" s="91">
        <f>Model!Y57</f>
        <v>18.405216391383899</v>
      </c>
      <c r="X23" s="91">
        <f>Model!AD57</f>
        <v>22.840765344319639</v>
      </c>
      <c r="Y23" s="91">
        <f>Model!AE57</f>
        <v>26.164701871155788</v>
      </c>
      <c r="Z23" s="91">
        <f>Model!AF57</f>
        <v>28.74045869927814</v>
      </c>
      <c r="AA23" s="91">
        <f>Model!AG57</f>
        <v>31.056162448062864</v>
      </c>
      <c r="AB23" s="9"/>
      <c r="AC23" s="83">
        <f>IFERROR((V23/T23)^(1/(V$4-T$4))-1,"N/A")</f>
        <v>0.16639424823000382</v>
      </c>
      <c r="AD23" s="64"/>
      <c r="AE23" s="83">
        <f>IFERROR((AA23/V23)^(1/(AA$4-V$4))-1,"N/A")</f>
        <v>0.14567292575510526</v>
      </c>
    </row>
    <row r="24" spans="1:39" ht="13.5" customHeight="1" x14ac:dyDescent="0.25">
      <c r="A24" s="10"/>
      <c r="B24" s="9"/>
      <c r="C24" s="84" t="s">
        <v>102</v>
      </c>
      <c r="D24" s="9"/>
      <c r="E24" s="9"/>
      <c r="F24" s="9"/>
      <c r="G24" s="9"/>
      <c r="H24" s="85"/>
      <c r="I24" s="85"/>
      <c r="J24" s="86"/>
      <c r="K24" s="85">
        <f t="shared" ref="K24:R24" si="14">K23/G23-1</f>
        <v>0.15021104390583506</v>
      </c>
      <c r="L24" s="85">
        <f t="shared" si="14"/>
        <v>2.4418947927957735E-3</v>
      </c>
      <c r="M24" s="85">
        <f t="shared" si="14"/>
        <v>0.13441738567643102</v>
      </c>
      <c r="N24" s="87">
        <f t="shared" si="14"/>
        <v>0.44954717480101292</v>
      </c>
      <c r="O24" s="85">
        <f t="shared" si="14"/>
        <v>0.20408681105177773</v>
      </c>
      <c r="P24" s="85">
        <f t="shared" si="14"/>
        <v>0.28160623437077104</v>
      </c>
      <c r="Q24" s="85">
        <f t="shared" si="14"/>
        <v>0.24786319624318032</v>
      </c>
      <c r="R24" s="85">
        <f t="shared" si="14"/>
        <v>0.23126305149886539</v>
      </c>
      <c r="S24" s="9"/>
      <c r="T24" s="85"/>
      <c r="U24" s="85">
        <f t="shared" ref="U24:AA24" si="15">IF(ISERROR(U23/T23-1),"NA",(U23/T23-1))</f>
        <v>0.18918263400436586</v>
      </c>
      <c r="V24" s="86">
        <f t="shared" si="15"/>
        <v>0.14404255780533148</v>
      </c>
      <c r="W24" s="85">
        <f t="shared" si="15"/>
        <v>0.16975898168232995</v>
      </c>
      <c r="X24" s="85">
        <f t="shared" si="15"/>
        <v>0.24099412137377363</v>
      </c>
      <c r="Y24" s="85">
        <f t="shared" si="15"/>
        <v>0.14552649513834237</v>
      </c>
      <c r="Z24" s="85">
        <f t="shared" si="15"/>
        <v>9.8443958612878024E-2</v>
      </c>
      <c r="AA24" s="85">
        <f t="shared" si="15"/>
        <v>8.057295720345925E-2</v>
      </c>
      <c r="AB24" s="9"/>
      <c r="AC24" s="90"/>
      <c r="AD24" s="64"/>
      <c r="AE24" s="90"/>
    </row>
    <row r="25" spans="1:39" ht="13.5" customHeight="1" x14ac:dyDescent="0.25">
      <c r="A25" s="10"/>
      <c r="B25" s="9"/>
      <c r="C25" s="84"/>
      <c r="D25" s="9"/>
      <c r="E25" s="9"/>
      <c r="F25" s="9"/>
      <c r="G25" s="9"/>
      <c r="H25" s="9"/>
      <c r="I25" s="9"/>
      <c r="J25" s="94"/>
      <c r="K25" s="95"/>
      <c r="L25" s="9"/>
      <c r="M25" s="9"/>
      <c r="N25" s="89"/>
      <c r="O25" s="9"/>
      <c r="P25" s="9"/>
      <c r="Q25" s="9"/>
      <c r="R25" s="9"/>
      <c r="S25" s="9"/>
      <c r="T25" s="9"/>
      <c r="U25" s="9"/>
      <c r="V25" s="88"/>
      <c r="W25" s="9"/>
      <c r="X25" s="9"/>
      <c r="Y25" s="9"/>
      <c r="Z25" s="9"/>
      <c r="AA25" s="9"/>
      <c r="AB25" s="9"/>
      <c r="AC25" s="90"/>
      <c r="AD25" s="64"/>
      <c r="AE25" s="90"/>
    </row>
    <row r="26" spans="1:39" ht="13.5" hidden="1" customHeight="1" outlineLevel="1" x14ac:dyDescent="0.25">
      <c r="A26" s="10"/>
      <c r="B26" s="9"/>
      <c r="C26" s="96"/>
      <c r="D26" s="96"/>
      <c r="E26" s="96"/>
      <c r="F26" s="96"/>
      <c r="G26" s="96"/>
      <c r="H26" s="96"/>
      <c r="I26" s="96"/>
      <c r="J26" s="88"/>
      <c r="K26" s="9"/>
      <c r="L26" s="96"/>
      <c r="M26" s="96"/>
      <c r="N26" s="97"/>
      <c r="O26" s="96"/>
      <c r="P26" s="96"/>
      <c r="Q26" s="96"/>
      <c r="R26" s="96"/>
      <c r="S26" s="9"/>
      <c r="T26" s="96"/>
      <c r="U26" s="96"/>
      <c r="V26" s="98"/>
      <c r="W26" s="96"/>
      <c r="X26" s="96"/>
      <c r="Y26" s="96"/>
      <c r="Z26" s="96"/>
      <c r="AA26" s="96"/>
      <c r="AB26" s="9"/>
      <c r="AC26" s="90"/>
      <c r="AD26" s="64"/>
      <c r="AE26" s="90"/>
    </row>
    <row r="27" spans="1:39" ht="13.5" hidden="1" customHeight="1" outlineLevel="1" x14ac:dyDescent="0.25">
      <c r="A27" s="10"/>
      <c r="B27" s="9"/>
      <c r="C27" s="9" t="str">
        <f>Model!C61</f>
        <v>EBITDA</v>
      </c>
      <c r="D27" s="9"/>
      <c r="E27" s="9"/>
      <c r="F27" s="9"/>
      <c r="G27" s="80">
        <f>Model!P61</f>
        <v>3774.25</v>
      </c>
      <c r="H27" s="80">
        <f>Model!Q61</f>
        <v>3994.25</v>
      </c>
      <c r="I27" s="80">
        <f>Model!R61</f>
        <v>4269.25</v>
      </c>
      <c r="J27" s="81">
        <f>Model!S61</f>
        <v>3534.25</v>
      </c>
      <c r="K27" s="80">
        <f>Model!U61</f>
        <v>4246</v>
      </c>
      <c r="L27" s="80">
        <f>Model!V61</f>
        <v>4326.4001521410128</v>
      </c>
      <c r="M27" s="80">
        <f>Model!W61</f>
        <v>4714.2262014388398</v>
      </c>
      <c r="N27" s="82">
        <f>Model!X61</f>
        <v>4991.121141524296</v>
      </c>
      <c r="O27" s="80">
        <f>Model!Z61</f>
        <v>5068.9301409675827</v>
      </c>
      <c r="P27" s="80">
        <f>Model!AA61</f>
        <v>5387.1041419593084</v>
      </c>
      <c r="Q27" s="80">
        <f>Model!AB61</f>
        <v>5739.7638494902912</v>
      </c>
      <c r="R27" s="80">
        <f>Model!AC61</f>
        <v>6011.9769599080946</v>
      </c>
      <c r="S27" s="9"/>
      <c r="T27" s="80">
        <f>Model!J61</f>
        <v>12164</v>
      </c>
      <c r="U27" s="80">
        <f>Model!O61</f>
        <v>14571</v>
      </c>
      <c r="V27" s="81">
        <f>Model!T61</f>
        <v>15572</v>
      </c>
      <c r="W27" s="80">
        <f>Model!Y61</f>
        <v>18277.747495104151</v>
      </c>
      <c r="X27" s="80">
        <f>Model!AD61</f>
        <v>22207.775092325279</v>
      </c>
      <c r="Y27" s="80">
        <f>Model!AE61</f>
        <v>25108.644648454669</v>
      </c>
      <c r="Z27" s="80">
        <f>Model!AF61</f>
        <v>27242.601478346958</v>
      </c>
      <c r="AA27" s="80">
        <f>Model!AG61</f>
        <v>29356.27501917629</v>
      </c>
      <c r="AB27" s="9"/>
      <c r="AC27" s="83">
        <f>IFERROR((V27/T27)^(1/(V$4-T$4))-1,"N/A")</f>
        <v>0.13144641781339739</v>
      </c>
      <c r="AD27" s="64"/>
      <c r="AE27" s="83">
        <f>IFERROR((AA27/V27)^(1/(AA$4-V$4))-1,"N/A")</f>
        <v>0.13519719809981012</v>
      </c>
    </row>
    <row r="28" spans="1:39" ht="13.5" hidden="1" customHeight="1" outlineLevel="1" x14ac:dyDescent="0.25">
      <c r="A28" s="10"/>
      <c r="B28" s="9"/>
      <c r="C28" s="84" t="s">
        <v>104</v>
      </c>
      <c r="D28" s="9"/>
      <c r="E28" s="9"/>
      <c r="F28" s="9"/>
      <c r="G28" s="85">
        <f t="shared" ref="G28:R28" si="16">G27/G$8</f>
        <v>0.19934769978344688</v>
      </c>
      <c r="H28" s="85">
        <f t="shared" si="16"/>
        <v>0.20038378568203483</v>
      </c>
      <c r="I28" s="85">
        <f t="shared" si="16"/>
        <v>0.2076786496084059</v>
      </c>
      <c r="J28" s="86">
        <f t="shared" si="16"/>
        <v>0.16797766159695818</v>
      </c>
      <c r="K28" s="85">
        <f t="shared" si="16"/>
        <v>0.20335249042145595</v>
      </c>
      <c r="L28" s="85">
        <f t="shared" si="16"/>
        <v>0.19910533083707729</v>
      </c>
      <c r="M28" s="85">
        <f t="shared" si="16"/>
        <v>0.21117831405805151</v>
      </c>
      <c r="N28" s="87">
        <f t="shared" si="16"/>
        <v>0.21583786215765938</v>
      </c>
      <c r="O28" s="85">
        <f t="shared" si="16"/>
        <v>0.21979109300058716</v>
      </c>
      <c r="P28" s="85">
        <f t="shared" si="16"/>
        <v>0.22330925505624319</v>
      </c>
      <c r="Q28" s="85">
        <f t="shared" si="16"/>
        <v>0.23233936481387824</v>
      </c>
      <c r="R28" s="85">
        <f t="shared" si="16"/>
        <v>0.2343044501235077</v>
      </c>
      <c r="S28" s="9"/>
      <c r="T28" s="85">
        <f t="shared" ref="T28:AA28" si="17">T27/T$8</f>
        <v>0.18057122498663974</v>
      </c>
      <c r="U28" s="85">
        <f t="shared" si="17"/>
        <v>0.19637201654964218</v>
      </c>
      <c r="V28" s="86">
        <f t="shared" si="17"/>
        <v>0.1935299454407616</v>
      </c>
      <c r="W28" s="85">
        <f t="shared" si="17"/>
        <v>0.2075671293475092</v>
      </c>
      <c r="X28" s="85">
        <f t="shared" si="17"/>
        <v>0.22765646392338629</v>
      </c>
      <c r="Y28" s="85">
        <f t="shared" si="17"/>
        <v>0.23995514965794679</v>
      </c>
      <c r="Z28" s="85">
        <f t="shared" si="17"/>
        <v>0.24331402127130586</v>
      </c>
      <c r="AA28" s="85">
        <f t="shared" si="17"/>
        <v>0.24702293143349346</v>
      </c>
      <c r="AB28" s="9"/>
      <c r="AC28" s="90"/>
      <c r="AD28" s="64"/>
      <c r="AE28" s="90"/>
    </row>
    <row r="29" spans="1:39" ht="13.5" hidden="1" customHeight="1" outlineLevel="1" x14ac:dyDescent="0.25">
      <c r="A29" s="10"/>
      <c r="B29" s="9"/>
      <c r="C29" s="84" t="s">
        <v>102</v>
      </c>
      <c r="D29" s="9"/>
      <c r="E29" s="9"/>
      <c r="F29" s="9"/>
      <c r="G29" s="9"/>
      <c r="H29" s="85"/>
      <c r="I29" s="85"/>
      <c r="J29" s="86"/>
      <c r="K29" s="85">
        <f t="shared" ref="K29:R29" si="18">K27/G27-1</f>
        <v>0.12499172020931315</v>
      </c>
      <c r="L29" s="85">
        <f t="shared" si="18"/>
        <v>8.315707633248115E-2</v>
      </c>
      <c r="M29" s="85">
        <f t="shared" si="18"/>
        <v>0.10422819030013231</v>
      </c>
      <c r="N29" s="87">
        <f t="shared" si="18"/>
        <v>0.41221507859497653</v>
      </c>
      <c r="O29" s="85">
        <f t="shared" si="18"/>
        <v>0.19381303367112168</v>
      </c>
      <c r="P29" s="85">
        <f t="shared" si="18"/>
        <v>0.24517010736821998</v>
      </c>
      <c r="Q29" s="85">
        <f t="shared" si="18"/>
        <v>0.21754103520498114</v>
      </c>
      <c r="R29" s="85">
        <f t="shared" si="18"/>
        <v>0.2045343700217277</v>
      </c>
      <c r="S29" s="9"/>
      <c r="T29" s="85"/>
      <c r="U29" s="85">
        <f t="shared" ref="U29:AA29" si="19">U27/T27-1</f>
        <v>0.1978789871752713</v>
      </c>
      <c r="V29" s="86">
        <f t="shared" si="19"/>
        <v>6.8698098963694942E-2</v>
      </c>
      <c r="W29" s="85">
        <f t="shared" si="19"/>
        <v>0.17375722419112205</v>
      </c>
      <c r="X29" s="85">
        <f t="shared" si="19"/>
        <v>0.21501706368762452</v>
      </c>
      <c r="Y29" s="85">
        <f t="shared" si="19"/>
        <v>0.13062405144457245</v>
      </c>
      <c r="Z29" s="85">
        <f t="shared" si="19"/>
        <v>8.4988929500964705E-2</v>
      </c>
      <c r="AA29" s="85">
        <f t="shared" si="19"/>
        <v>7.7587066804516658E-2</v>
      </c>
      <c r="AB29" s="9"/>
      <c r="AC29" s="99"/>
      <c r="AD29" s="64"/>
      <c r="AE29" s="99"/>
    </row>
    <row r="30" spans="1:39" ht="4.5" customHeight="1" collapsed="1" x14ac:dyDescent="0.25">
      <c r="A30" s="10"/>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row>
    <row r="31" spans="1:39" ht="13.5" customHeight="1" x14ac:dyDescent="0.25">
      <c r="A31" s="10"/>
      <c r="B31" s="9"/>
      <c r="C31" s="76"/>
      <c r="D31" s="76"/>
      <c r="E31" s="76"/>
      <c r="F31" s="76"/>
      <c r="G31" s="953" t="str">
        <f>G$5</f>
        <v>Quarterly</v>
      </c>
      <c r="H31" s="954"/>
      <c r="I31" s="954"/>
      <c r="J31" s="954"/>
      <c r="K31" s="954"/>
      <c r="L31" s="954"/>
      <c r="M31" s="954"/>
      <c r="N31" s="954"/>
      <c r="O31" s="954"/>
      <c r="P31" s="954"/>
      <c r="Q31" s="954"/>
      <c r="R31" s="954"/>
      <c r="S31" s="955"/>
      <c r="T31" s="956" t="str">
        <f>T$5</f>
        <v>Annuals</v>
      </c>
      <c r="U31" s="957"/>
      <c r="V31" s="957"/>
      <c r="W31" s="957"/>
      <c r="X31" s="957"/>
      <c r="Y31" s="957"/>
      <c r="Z31" s="957"/>
      <c r="AA31" s="958"/>
      <c r="AB31" s="9"/>
      <c r="AC31" s="9"/>
      <c r="AD31" s="9"/>
      <c r="AE31" s="9"/>
    </row>
    <row r="32" spans="1:39" ht="13.5" customHeight="1" x14ac:dyDescent="0.25">
      <c r="A32" s="10" t="s">
        <v>0</v>
      </c>
      <c r="B32" s="9"/>
      <c r="C32" s="76" t="str">
        <f>"Consolidated "&amp;Model!C118</f>
        <v>Consolidated Balance Sheet</v>
      </c>
      <c r="D32" s="76"/>
      <c r="E32" s="76"/>
      <c r="F32" s="76"/>
      <c r="G32" s="78" t="str">
        <f t="shared" ref="G32:R32" si="20">G$6</f>
        <v>1Q25</v>
      </c>
      <c r="H32" s="78" t="str">
        <f t="shared" si="20"/>
        <v>2Q25</v>
      </c>
      <c r="I32" s="78" t="str">
        <f t="shared" si="20"/>
        <v>3Q25</v>
      </c>
      <c r="J32" s="78" t="str">
        <f t="shared" si="20"/>
        <v>4Q25</v>
      </c>
      <c r="K32" s="78" t="str">
        <f t="shared" si="20"/>
        <v>1Q26</v>
      </c>
      <c r="L32" s="78" t="str">
        <f t="shared" si="20"/>
        <v>2Q26e</v>
      </c>
      <c r="M32" s="78" t="str">
        <f t="shared" si="20"/>
        <v>3Q26e</v>
      </c>
      <c r="N32" s="78" t="str">
        <f t="shared" si="20"/>
        <v>4Q26e</v>
      </c>
      <c r="O32" s="78" t="str">
        <f t="shared" si="20"/>
        <v>1Q27e</v>
      </c>
      <c r="P32" s="78" t="str">
        <f t="shared" si="20"/>
        <v>2Q27e</v>
      </c>
      <c r="Q32" s="78" t="str">
        <f t="shared" si="20"/>
        <v>3Q27e</v>
      </c>
      <c r="R32" s="78" t="str">
        <f t="shared" si="20"/>
        <v>4Q27e</v>
      </c>
      <c r="S32" s="78"/>
      <c r="T32" s="78">
        <f t="shared" ref="T32:AA32" si="21">T$6</f>
        <v>2023</v>
      </c>
      <c r="U32" s="78">
        <f t="shared" si="21"/>
        <v>2024</v>
      </c>
      <c r="V32" s="78">
        <f t="shared" si="21"/>
        <v>2025</v>
      </c>
      <c r="W32" s="78" t="str">
        <f t="shared" si="21"/>
        <v>2026e</v>
      </c>
      <c r="X32" s="78" t="str">
        <f t="shared" si="21"/>
        <v>2027e</v>
      </c>
      <c r="Y32" s="78" t="str">
        <f t="shared" si="21"/>
        <v>2028e</v>
      </c>
      <c r="Z32" s="78" t="str">
        <f t="shared" si="21"/>
        <v>2029e</v>
      </c>
      <c r="AA32" s="78" t="str">
        <f t="shared" si="21"/>
        <v>2030e</v>
      </c>
      <c r="AB32" s="9"/>
      <c r="AC32" s="9"/>
      <c r="AD32" s="9"/>
      <c r="AE32" s="9"/>
    </row>
    <row r="33" spans="1:31" ht="4.5" customHeight="1" x14ac:dyDescent="0.25">
      <c r="A33" s="10"/>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row>
    <row r="34" spans="1:31" ht="13.5" customHeight="1" x14ac:dyDescent="0.25">
      <c r="A34" s="10"/>
      <c r="B34" s="9"/>
      <c r="C34" s="9" t="str">
        <f>Model!C120</f>
        <v>Cash &amp; Cash Equivalents</v>
      </c>
      <c r="D34" s="9"/>
      <c r="E34" s="9"/>
      <c r="F34" s="9"/>
      <c r="G34" s="80">
        <f>Model!P120</f>
        <v>52508</v>
      </c>
      <c r="H34" s="80">
        <f>Model!Q120</f>
        <v>57937</v>
      </c>
      <c r="I34" s="80">
        <f>Model!R120</f>
        <v>54706</v>
      </c>
      <c r="J34" s="81">
        <f>Model!S120</f>
        <v>47792</v>
      </c>
      <c r="K34" s="80">
        <f>Model!U120</f>
        <v>53757</v>
      </c>
      <c r="L34" s="80">
        <f ca="1">Model!V120</f>
        <v>62511.832442510888</v>
      </c>
      <c r="M34" s="80">
        <f ca="1">Model!W120</f>
        <v>68333.224136109755</v>
      </c>
      <c r="N34" s="82">
        <f ca="1">Model!X120</f>
        <v>71873.754913976241</v>
      </c>
      <c r="O34" s="80">
        <f ca="1">Model!Z120</f>
        <v>75720.921690075382</v>
      </c>
      <c r="P34" s="80">
        <f ca="1">Model!AA120</f>
        <v>86701.190143069078</v>
      </c>
      <c r="Q34" s="80">
        <f ca="1">Model!AB120</f>
        <v>90740.151146929129</v>
      </c>
      <c r="R34" s="80">
        <f ca="1">Model!AC120</f>
        <v>93787.339816058011</v>
      </c>
      <c r="S34" s="9"/>
      <c r="T34" s="80">
        <f>Model!J120</f>
        <v>46596</v>
      </c>
      <c r="U34" s="80">
        <f>Model!O120</f>
        <v>40640</v>
      </c>
      <c r="V34" s="81">
        <f>Model!T120</f>
        <v>47792</v>
      </c>
      <c r="W34" s="80">
        <f ca="1">Model!Y120</f>
        <v>71873.754913976241</v>
      </c>
      <c r="X34" s="80">
        <f ca="1">Model!AD120</f>
        <v>93787.339816058011</v>
      </c>
      <c r="Y34" s="80">
        <f ca="1">Model!AE120</f>
        <v>109956.47238790397</v>
      </c>
      <c r="Z34" s="80">
        <f ca="1">Model!AF120</f>
        <v>133376.00532693666</v>
      </c>
      <c r="AA34" s="80">
        <f ca="1">Model!AG120</f>
        <v>156792.60587426255</v>
      </c>
      <c r="AB34" s="9"/>
      <c r="AC34" s="9"/>
      <c r="AD34" s="9"/>
      <c r="AE34" s="9"/>
    </row>
    <row r="35" spans="1:31" ht="13.5" customHeight="1" x14ac:dyDescent="0.25">
      <c r="A35" s="10"/>
      <c r="B35" s="9"/>
      <c r="C35" s="9" t="str">
        <f>Model!C121</f>
        <v>Card Member Recievables</v>
      </c>
      <c r="D35" s="9"/>
      <c r="E35" s="9"/>
      <c r="F35" s="9"/>
      <c r="G35" s="100">
        <f>Model!P121</f>
        <v>58355</v>
      </c>
      <c r="H35" s="100">
        <f>Model!Q121</f>
        <v>59405</v>
      </c>
      <c r="I35" s="100">
        <f>Model!R121</f>
        <v>60823</v>
      </c>
      <c r="J35" s="101">
        <f>Model!S121</f>
        <v>61851</v>
      </c>
      <c r="K35" s="100">
        <f>Model!U121</f>
        <v>0</v>
      </c>
      <c r="L35" s="100">
        <f>Model!V121</f>
        <v>65187.609000000004</v>
      </c>
      <c r="M35" s="100">
        <f>Model!W121</f>
        <v>65999.73254782609</v>
      </c>
      <c r="N35" s="102">
        <f>Model!X121</f>
        <v>68367.792425460866</v>
      </c>
      <c r="O35" s="100">
        <f>Model!Z121</f>
        <v>68934.039532897048</v>
      </c>
      <c r="P35" s="100">
        <f>Model!AA121</f>
        <v>71974.240395488581</v>
      </c>
      <c r="Q35" s="100">
        <f>Model!AB121</f>
        <v>72904.314958917457</v>
      </c>
      <c r="R35" s="100">
        <f>Model!AC121</f>
        <v>75581.974615221567</v>
      </c>
      <c r="S35" s="9"/>
      <c r="T35" s="100">
        <f>Model!J121</f>
        <v>60237</v>
      </c>
      <c r="U35" s="100">
        <f>Model!O121</f>
        <v>59240</v>
      </c>
      <c r="V35" s="101">
        <f>Model!T121</f>
        <v>61851</v>
      </c>
      <c r="W35" s="100">
        <f>Model!Y121</f>
        <v>68367.792425460866</v>
      </c>
      <c r="X35" s="100">
        <f>Model!AD121</f>
        <v>75581.974615221567</v>
      </c>
      <c r="Y35" s="100">
        <f>Model!AE121</f>
        <v>77690.805106542946</v>
      </c>
      <c r="Z35" s="100">
        <f>Model!AF121</f>
        <v>83130.016618791167</v>
      </c>
      <c r="AA35" s="100">
        <f>Model!AG121</f>
        <v>87909.250259072593</v>
      </c>
      <c r="AB35" s="9"/>
      <c r="AC35" s="9"/>
      <c r="AD35" s="9"/>
      <c r="AE35" s="9"/>
    </row>
    <row r="36" spans="1:31" ht="13.5" customHeight="1" x14ac:dyDescent="0.25">
      <c r="A36" s="10"/>
      <c r="B36" s="9"/>
      <c r="C36" s="9" t="str">
        <f>Model!C122</f>
        <v>Inventory</v>
      </c>
      <c r="D36" s="9"/>
      <c r="E36" s="9"/>
      <c r="F36" s="9"/>
      <c r="G36" s="100">
        <f>Model!P122</f>
        <v>0</v>
      </c>
      <c r="H36" s="100">
        <f>Model!Q122</f>
        <v>0</v>
      </c>
      <c r="I36" s="100">
        <f>Model!R122</f>
        <v>0</v>
      </c>
      <c r="J36" s="101">
        <f>Model!S122</f>
        <v>0</v>
      </c>
      <c r="K36" s="100">
        <f>Model!U122</f>
        <v>0</v>
      </c>
      <c r="L36" s="100">
        <f>Model!V122</f>
        <v>0</v>
      </c>
      <c r="M36" s="100">
        <f>Model!W122</f>
        <v>0</v>
      </c>
      <c r="N36" s="102">
        <f>Model!X122</f>
        <v>0</v>
      </c>
      <c r="O36" s="100">
        <f>Model!Z122</f>
        <v>0</v>
      </c>
      <c r="P36" s="100">
        <f>Model!AA122</f>
        <v>0</v>
      </c>
      <c r="Q36" s="100">
        <f>Model!AB122</f>
        <v>0</v>
      </c>
      <c r="R36" s="100">
        <f>Model!AC122</f>
        <v>0</v>
      </c>
      <c r="S36" s="9"/>
      <c r="T36" s="100">
        <f>Model!J122</f>
        <v>0</v>
      </c>
      <c r="U36" s="100">
        <f>Model!O122</f>
        <v>0</v>
      </c>
      <c r="V36" s="101">
        <f>Model!T122</f>
        <v>0</v>
      </c>
      <c r="W36" s="100">
        <f>Model!Y122</f>
        <v>0</v>
      </c>
      <c r="X36" s="100">
        <f>Model!AD122</f>
        <v>0</v>
      </c>
      <c r="Y36" s="100">
        <f>Model!AE122</f>
        <v>0</v>
      </c>
      <c r="Z36" s="100">
        <f>Model!AF122</f>
        <v>0</v>
      </c>
      <c r="AA36" s="100">
        <f>Model!AG122</f>
        <v>0</v>
      </c>
      <c r="AB36" s="9"/>
      <c r="AC36" s="9"/>
      <c r="AD36" s="9"/>
      <c r="AE36" s="9"/>
    </row>
    <row r="37" spans="1:31" ht="13.5" customHeight="1" x14ac:dyDescent="0.25">
      <c r="A37" s="10"/>
      <c r="B37" s="9"/>
      <c r="C37" s="9" t="str">
        <f>Model!C123</f>
        <v>Prepaid &amp; Other Current Assets</v>
      </c>
      <c r="D37" s="9"/>
      <c r="E37" s="9"/>
      <c r="F37" s="9"/>
      <c r="G37" s="100">
        <f>Model!P123</f>
        <v>0</v>
      </c>
      <c r="H37" s="100">
        <f>Model!Q123</f>
        <v>0</v>
      </c>
      <c r="I37" s="100">
        <f>Model!R123</f>
        <v>0</v>
      </c>
      <c r="J37" s="101">
        <f>Model!S123</f>
        <v>0</v>
      </c>
      <c r="K37" s="100">
        <f>Model!U123</f>
        <v>0</v>
      </c>
      <c r="L37" s="100">
        <f>Model!V123</f>
        <v>0</v>
      </c>
      <c r="M37" s="100">
        <f>Model!W123</f>
        <v>0</v>
      </c>
      <c r="N37" s="102">
        <f>Model!X123</f>
        <v>0</v>
      </c>
      <c r="O37" s="100">
        <f>Model!Z123</f>
        <v>0</v>
      </c>
      <c r="P37" s="100">
        <f>Model!AA123</f>
        <v>0</v>
      </c>
      <c r="Q37" s="100">
        <f>Model!AB123</f>
        <v>0</v>
      </c>
      <c r="R37" s="100">
        <f>Model!AC123</f>
        <v>0</v>
      </c>
      <c r="S37" s="9"/>
      <c r="T37" s="100">
        <f>Model!J123</f>
        <v>0</v>
      </c>
      <c r="U37" s="100">
        <f>Model!O123</f>
        <v>0</v>
      </c>
      <c r="V37" s="101">
        <f>Model!T123</f>
        <v>0</v>
      </c>
      <c r="W37" s="100">
        <f>Model!Y123</f>
        <v>0</v>
      </c>
      <c r="X37" s="100">
        <f>Model!AD123</f>
        <v>0</v>
      </c>
      <c r="Y37" s="100">
        <f>Model!AE123</f>
        <v>0</v>
      </c>
      <c r="Z37" s="100">
        <f>Model!AF123</f>
        <v>0</v>
      </c>
      <c r="AA37" s="100">
        <f>Model!AG123</f>
        <v>0</v>
      </c>
      <c r="AB37" s="9"/>
      <c r="AC37" s="9"/>
      <c r="AD37" s="9"/>
      <c r="AE37" s="9"/>
    </row>
    <row r="38" spans="1:31" ht="13.5" customHeight="1" x14ac:dyDescent="0.25">
      <c r="A38" s="10"/>
      <c r="B38" s="9"/>
      <c r="C38" s="103" t="str">
        <f>Model!C124</f>
        <v>Total Current Assets</v>
      </c>
      <c r="D38" s="9"/>
      <c r="E38" s="9"/>
      <c r="F38" s="9"/>
      <c r="G38" s="104">
        <f t="shared" ref="G38:R38" si="22">SUM(G34:G37)</f>
        <v>110863</v>
      </c>
      <c r="H38" s="104">
        <f t="shared" si="22"/>
        <v>117342</v>
      </c>
      <c r="I38" s="104">
        <f t="shared" si="22"/>
        <v>115529</v>
      </c>
      <c r="J38" s="105">
        <f t="shared" si="22"/>
        <v>109643</v>
      </c>
      <c r="K38" s="104">
        <f t="shared" si="22"/>
        <v>53757</v>
      </c>
      <c r="L38" s="104">
        <f t="shared" ca="1" si="22"/>
        <v>130021.56205751088</v>
      </c>
      <c r="M38" s="104">
        <f t="shared" ca="1" si="22"/>
        <v>136376.51870502281</v>
      </c>
      <c r="N38" s="106">
        <f t="shared" ca="1" si="22"/>
        <v>142683.42671765696</v>
      </c>
      <c r="O38" s="104">
        <f t="shared" ca="1" si="22"/>
        <v>147091.75043898693</v>
      </c>
      <c r="P38" s="104">
        <f t="shared" ca="1" si="22"/>
        <v>161262.51743476727</v>
      </c>
      <c r="Q38" s="104">
        <f t="shared" ca="1" si="22"/>
        <v>166278.6091735012</v>
      </c>
      <c r="R38" s="104">
        <f t="shared" ca="1" si="22"/>
        <v>172103.8719939802</v>
      </c>
      <c r="S38" s="9"/>
      <c r="T38" s="104">
        <f t="shared" ref="T38:AA38" si="23">SUM(T34:T37)</f>
        <v>106833</v>
      </c>
      <c r="U38" s="104">
        <f t="shared" si="23"/>
        <v>99880</v>
      </c>
      <c r="V38" s="105">
        <f t="shared" si="23"/>
        <v>109643</v>
      </c>
      <c r="W38" s="104">
        <f t="shared" ca="1" si="23"/>
        <v>142683.42671765696</v>
      </c>
      <c r="X38" s="104">
        <f t="shared" ca="1" si="23"/>
        <v>172103.8719939802</v>
      </c>
      <c r="Y38" s="104">
        <f t="shared" ca="1" si="23"/>
        <v>190432.66121750529</v>
      </c>
      <c r="Z38" s="104">
        <f t="shared" ca="1" si="23"/>
        <v>219470.05939807254</v>
      </c>
      <c r="AA38" s="104">
        <f t="shared" ca="1" si="23"/>
        <v>247832.14218079293</v>
      </c>
      <c r="AB38" s="9"/>
      <c r="AC38" s="9"/>
      <c r="AD38" s="9"/>
      <c r="AE38" s="9"/>
    </row>
    <row r="39" spans="1:31" ht="13.5" customHeight="1" x14ac:dyDescent="0.25">
      <c r="A39" s="10"/>
      <c r="B39" s="9"/>
      <c r="C39" s="9"/>
      <c r="D39" s="9"/>
      <c r="E39" s="9"/>
      <c r="F39" s="9"/>
      <c r="G39" s="107"/>
      <c r="H39" s="107"/>
      <c r="I39" s="107"/>
      <c r="J39" s="108"/>
      <c r="K39" s="107"/>
      <c r="L39" s="107"/>
      <c r="M39" s="107"/>
      <c r="N39" s="109"/>
      <c r="O39" s="107"/>
      <c r="P39" s="107"/>
      <c r="Q39" s="107"/>
      <c r="R39" s="107"/>
      <c r="S39" s="9"/>
      <c r="T39" s="107"/>
      <c r="U39" s="107"/>
      <c r="V39" s="108"/>
      <c r="W39" s="107"/>
      <c r="X39" s="107"/>
      <c r="Y39" s="107"/>
      <c r="Z39" s="107"/>
      <c r="AA39" s="107"/>
      <c r="AB39" s="9"/>
      <c r="AC39" s="9"/>
      <c r="AD39" s="9"/>
      <c r="AE39" s="9"/>
    </row>
    <row r="40" spans="1:31" ht="13.5" customHeight="1" x14ac:dyDescent="0.25">
      <c r="A40" s="10"/>
      <c r="B40" s="9"/>
      <c r="C40" s="9" t="str">
        <f>Model!C126</f>
        <v>PP&amp;E, Net</v>
      </c>
      <c r="D40" s="9"/>
      <c r="E40" s="9"/>
      <c r="F40" s="9"/>
      <c r="G40" s="80">
        <f>Model!P126</f>
        <v>5383</v>
      </c>
      <c r="H40" s="80">
        <f>Model!Q126</f>
        <v>5662</v>
      </c>
      <c r="I40" s="80">
        <f>Model!R126</f>
        <v>5861</v>
      </c>
      <c r="J40" s="81">
        <f>Model!S126</f>
        <v>6118</v>
      </c>
      <c r="K40" s="80">
        <f>Model!U126</f>
        <v>7240</v>
      </c>
      <c r="L40" s="80">
        <f>Model!V126</f>
        <v>7301.1875358589841</v>
      </c>
      <c r="M40" s="80">
        <f>Model!W126</f>
        <v>7307.8291415201438</v>
      </c>
      <c r="N40" s="82">
        <f>Model!X126</f>
        <v>7311.649409755848</v>
      </c>
      <c r="O40" s="80">
        <f>Model!Z126</f>
        <v>7359.7467121632963</v>
      </c>
      <c r="P40" s="80">
        <f>Model!AA126</f>
        <v>7384.4760680672998</v>
      </c>
      <c r="Q40" s="80">
        <f>Model!AB126</f>
        <v>7397.0643764343067</v>
      </c>
      <c r="R40" s="80">
        <f>Model!AC126</f>
        <v>7482.891494151595</v>
      </c>
      <c r="S40" s="9"/>
      <c r="T40" s="80">
        <f>Model!J126</f>
        <v>5138</v>
      </c>
      <c r="U40" s="80">
        <f>Model!O126</f>
        <v>5371</v>
      </c>
      <c r="V40" s="81">
        <f>Model!T126</f>
        <v>6118</v>
      </c>
      <c r="W40" s="80">
        <f>Model!Y126</f>
        <v>7311.649409755848</v>
      </c>
      <c r="X40" s="80">
        <f>Model!AD126</f>
        <v>7482.891494151595</v>
      </c>
      <c r="Y40" s="80">
        <f>Model!AE126</f>
        <v>7457.7096888512551</v>
      </c>
      <c r="Z40" s="80">
        <f>Model!AF126</f>
        <v>8136.4860737769341</v>
      </c>
      <c r="AA40" s="80">
        <f>Model!AG126</f>
        <v>8458.2493297847686</v>
      </c>
      <c r="AB40" s="9"/>
      <c r="AC40" s="9"/>
      <c r="AD40" s="9"/>
      <c r="AE40" s="9"/>
    </row>
    <row r="41" spans="1:31" ht="13.5" customHeight="1" x14ac:dyDescent="0.25">
      <c r="A41" s="10"/>
      <c r="B41" s="9"/>
      <c r="C41" s="9" t="str">
        <f>Model!C127</f>
        <v>Card Member Loans</v>
      </c>
      <c r="D41" s="9"/>
      <c r="E41" s="9"/>
      <c r="F41" s="9"/>
      <c r="G41" s="100">
        <f>Model!P127</f>
        <v>134387</v>
      </c>
      <c r="H41" s="100">
        <f>Model!Q127</f>
        <v>138913</v>
      </c>
      <c r="I41" s="100">
        <f>Model!R127</f>
        <v>141370</v>
      </c>
      <c r="J41" s="101">
        <f>Model!S127</f>
        <v>148380</v>
      </c>
      <c r="K41" s="100">
        <f>Model!U127</f>
        <v>209724</v>
      </c>
      <c r="L41" s="100">
        <f>Model!V127</f>
        <v>209724</v>
      </c>
      <c r="M41" s="100">
        <f>Model!W127</f>
        <v>209724</v>
      </c>
      <c r="N41" s="102">
        <f>Model!X127</f>
        <v>209724</v>
      </c>
      <c r="O41" s="100">
        <f>Model!Z127</f>
        <v>209724</v>
      </c>
      <c r="P41" s="100">
        <f>Model!AA127</f>
        <v>209724</v>
      </c>
      <c r="Q41" s="100">
        <f>Model!AB127</f>
        <v>209724</v>
      </c>
      <c r="R41" s="100">
        <f>Model!AC127</f>
        <v>209724</v>
      </c>
      <c r="S41" s="9"/>
      <c r="T41" s="100">
        <f>Model!J127</f>
        <v>120877</v>
      </c>
      <c r="U41" s="100">
        <f>Model!O127</f>
        <v>134753</v>
      </c>
      <c r="V41" s="101">
        <f>Model!T127</f>
        <v>148380</v>
      </c>
      <c r="W41" s="100">
        <f>Model!Y127</f>
        <v>209724</v>
      </c>
      <c r="X41" s="100">
        <f>Model!AD127</f>
        <v>209724</v>
      </c>
      <c r="Y41" s="100">
        <f>Model!AE127</f>
        <v>209724</v>
      </c>
      <c r="Z41" s="100">
        <f>Model!AF127</f>
        <v>209724</v>
      </c>
      <c r="AA41" s="100">
        <f>Model!AG127</f>
        <v>209724</v>
      </c>
      <c r="AB41" s="9"/>
      <c r="AC41" s="9"/>
      <c r="AD41" s="9"/>
      <c r="AE41" s="9"/>
    </row>
    <row r="42" spans="1:31" ht="13.5" customHeight="1" x14ac:dyDescent="0.25">
      <c r="A42" s="10"/>
      <c r="B42" s="9"/>
      <c r="C42" s="9" t="str">
        <f>Model!C128</f>
        <v>Investment Securities</v>
      </c>
      <c r="D42" s="9"/>
      <c r="E42" s="9"/>
      <c r="F42" s="9"/>
      <c r="G42" s="100">
        <f>Model!P128</f>
        <v>1110</v>
      </c>
      <c r="H42" s="100">
        <f>Model!Q128</f>
        <v>1258</v>
      </c>
      <c r="I42" s="100">
        <f>Model!R128</f>
        <v>1374</v>
      </c>
      <c r="J42" s="101">
        <f>Model!S128</f>
        <v>1043</v>
      </c>
      <c r="K42" s="100">
        <f>Model!U128</f>
        <v>2625</v>
      </c>
      <c r="L42" s="100">
        <f>Model!V128</f>
        <v>2625</v>
      </c>
      <c r="M42" s="100">
        <f>Model!W128</f>
        <v>2625</v>
      </c>
      <c r="N42" s="102">
        <f>Model!X128</f>
        <v>2625</v>
      </c>
      <c r="O42" s="100">
        <f>Model!Z128</f>
        <v>2625</v>
      </c>
      <c r="P42" s="100">
        <f>Model!AA128</f>
        <v>2625</v>
      </c>
      <c r="Q42" s="100">
        <f>Model!AB128</f>
        <v>2625</v>
      </c>
      <c r="R42" s="100">
        <f>Model!AC128</f>
        <v>2625</v>
      </c>
      <c r="S42" s="9"/>
      <c r="T42" s="100">
        <f>Model!J128</f>
        <v>2186</v>
      </c>
      <c r="U42" s="100">
        <f>Model!O128</f>
        <v>1240</v>
      </c>
      <c r="V42" s="101">
        <f>Model!T128</f>
        <v>1043</v>
      </c>
      <c r="W42" s="100">
        <f>Model!Y128</f>
        <v>2625</v>
      </c>
      <c r="X42" s="100">
        <f>Model!AD128</f>
        <v>2625</v>
      </c>
      <c r="Y42" s="100">
        <f>Model!AE128</f>
        <v>2625</v>
      </c>
      <c r="Z42" s="100">
        <f>Model!AF128</f>
        <v>2625</v>
      </c>
      <c r="AA42" s="100">
        <f>Model!AG128</f>
        <v>2625</v>
      </c>
      <c r="AB42" s="9"/>
      <c r="AC42" s="9"/>
      <c r="AD42" s="9"/>
      <c r="AE42" s="9"/>
    </row>
    <row r="43" spans="1:31" ht="13.5" customHeight="1" x14ac:dyDescent="0.25">
      <c r="A43" s="10"/>
      <c r="B43" s="9"/>
      <c r="C43" s="9" t="str">
        <f>Model!C129</f>
        <v>Other Assets and Loans</v>
      </c>
      <c r="D43" s="9"/>
      <c r="E43" s="9"/>
      <c r="F43" s="9"/>
      <c r="G43" s="100">
        <f>Model!P129</f>
        <v>30501</v>
      </c>
      <c r="H43" s="100">
        <f>Model!Q129</f>
        <v>32381</v>
      </c>
      <c r="I43" s="100">
        <f>Model!R129</f>
        <v>33416</v>
      </c>
      <c r="J43" s="101">
        <f>Model!S129</f>
        <v>34868</v>
      </c>
      <c r="K43" s="100">
        <f>Model!U129</f>
        <v>35548</v>
      </c>
      <c r="L43" s="100">
        <f>Model!V129</f>
        <v>37041.016000000003</v>
      </c>
      <c r="M43" s="100">
        <f>Model!W129</f>
        <v>38226.328512000007</v>
      </c>
      <c r="N43" s="102">
        <f>Model!X129</f>
        <v>39564.250009920004</v>
      </c>
      <c r="O43" s="100">
        <f>Model!Z129</f>
        <v>41265.512760346559</v>
      </c>
      <c r="P43" s="100">
        <f>Model!AA129</f>
        <v>42668.540194198344</v>
      </c>
      <c r="Q43" s="100">
        <f>Model!AB129</f>
        <v>43991.264940218491</v>
      </c>
      <c r="R43" s="100">
        <f>Model!AC129</f>
        <v>45574.950478066356</v>
      </c>
      <c r="S43" s="9"/>
      <c r="T43" s="100">
        <f>Model!J129</f>
        <v>26074</v>
      </c>
      <c r="U43" s="100">
        <f>Model!O129</f>
        <v>30217</v>
      </c>
      <c r="V43" s="101">
        <f>Model!T129</f>
        <v>34868</v>
      </c>
      <c r="W43" s="100">
        <f>Model!Y129</f>
        <v>39564.250009920004</v>
      </c>
      <c r="X43" s="100">
        <f>Model!AD129</f>
        <v>45574.950478066356</v>
      </c>
      <c r="Y43" s="100">
        <f>Model!AE129</f>
        <v>52183.31829738598</v>
      </c>
      <c r="Z43" s="100">
        <f>Model!AF129</f>
        <v>59488.982859020027</v>
      </c>
      <c r="AA43" s="100">
        <f>Model!AG129</f>
        <v>67519.995544987731</v>
      </c>
      <c r="AB43" s="9"/>
      <c r="AC43" s="9"/>
      <c r="AD43" s="9"/>
      <c r="AE43" s="9"/>
    </row>
    <row r="44" spans="1:31" ht="13.5" customHeight="1" x14ac:dyDescent="0.25">
      <c r="A44" s="10"/>
      <c r="B44" s="9"/>
      <c r="C44" s="103" t="str">
        <f>Model!C130</f>
        <v>Total Non-Current Assets</v>
      </c>
      <c r="D44" s="9"/>
      <c r="E44" s="9"/>
      <c r="F44" s="9"/>
      <c r="G44" s="104">
        <f t="shared" ref="G44:R44" si="24">SUM(G40:G43)</f>
        <v>171381</v>
      </c>
      <c r="H44" s="104">
        <f t="shared" si="24"/>
        <v>178214</v>
      </c>
      <c r="I44" s="104">
        <f t="shared" si="24"/>
        <v>182021</v>
      </c>
      <c r="J44" s="105">
        <f t="shared" si="24"/>
        <v>190409</v>
      </c>
      <c r="K44" s="104">
        <f t="shared" si="24"/>
        <v>255137</v>
      </c>
      <c r="L44" s="104">
        <f t="shared" si="24"/>
        <v>256691.20353585898</v>
      </c>
      <c r="M44" s="104">
        <f t="shared" si="24"/>
        <v>257883.15765352015</v>
      </c>
      <c r="N44" s="106">
        <f t="shared" si="24"/>
        <v>259224.89941967587</v>
      </c>
      <c r="O44" s="104">
        <f t="shared" si="24"/>
        <v>260974.25947250985</v>
      </c>
      <c r="P44" s="104">
        <f t="shared" si="24"/>
        <v>262402.01626226562</v>
      </c>
      <c r="Q44" s="104">
        <f t="shared" si="24"/>
        <v>263737.32931665279</v>
      </c>
      <c r="R44" s="104">
        <f t="shared" si="24"/>
        <v>265406.84197221795</v>
      </c>
      <c r="S44" s="9"/>
      <c r="T44" s="104">
        <f t="shared" ref="T44:AA44" si="25">SUM(T40:T43)</f>
        <v>154275</v>
      </c>
      <c r="U44" s="104">
        <f t="shared" si="25"/>
        <v>171581</v>
      </c>
      <c r="V44" s="105">
        <f t="shared" si="25"/>
        <v>190409</v>
      </c>
      <c r="W44" s="104">
        <f t="shared" si="25"/>
        <v>259224.89941967587</v>
      </c>
      <c r="X44" s="104">
        <f t="shared" si="25"/>
        <v>265406.84197221795</v>
      </c>
      <c r="Y44" s="104">
        <f t="shared" si="25"/>
        <v>271990.02798623726</v>
      </c>
      <c r="Z44" s="104">
        <f t="shared" si="25"/>
        <v>279974.46893279697</v>
      </c>
      <c r="AA44" s="104">
        <f t="shared" si="25"/>
        <v>288327.2448747725</v>
      </c>
      <c r="AB44" s="9"/>
      <c r="AC44" s="9"/>
      <c r="AD44" s="9"/>
      <c r="AE44" s="9"/>
    </row>
    <row r="45" spans="1:31" ht="13.5" customHeight="1" x14ac:dyDescent="0.25">
      <c r="A45" s="10"/>
      <c r="B45" s="9"/>
      <c r="C45" s="9"/>
      <c r="D45" s="9"/>
      <c r="E45" s="9"/>
      <c r="F45" s="9"/>
      <c r="G45" s="107"/>
      <c r="H45" s="107"/>
      <c r="I45" s="107"/>
      <c r="J45" s="108"/>
      <c r="K45" s="107"/>
      <c r="L45" s="107"/>
      <c r="M45" s="107"/>
      <c r="N45" s="109"/>
      <c r="O45" s="107"/>
      <c r="P45" s="107"/>
      <c r="Q45" s="107"/>
      <c r="R45" s="107"/>
      <c r="S45" s="9"/>
      <c r="T45" s="107"/>
      <c r="U45" s="107"/>
      <c r="V45" s="108"/>
      <c r="W45" s="107"/>
      <c r="X45" s="107"/>
      <c r="Y45" s="107"/>
      <c r="Z45" s="107"/>
      <c r="AA45" s="107"/>
      <c r="AB45" s="9"/>
      <c r="AC45" s="9"/>
      <c r="AD45" s="9"/>
      <c r="AE45" s="9"/>
    </row>
    <row r="46" spans="1:31" ht="13.5" customHeight="1" x14ac:dyDescent="0.25">
      <c r="A46" s="10"/>
      <c r="B46" s="9"/>
      <c r="C46" s="103" t="str">
        <f>Model!C132</f>
        <v>Total Assets</v>
      </c>
      <c r="D46" s="9"/>
      <c r="E46" s="9"/>
      <c r="F46" s="9"/>
      <c r="G46" s="110">
        <f t="shared" ref="G46:R46" si="26">SUM(G38,G44)</f>
        <v>282244</v>
      </c>
      <c r="H46" s="110">
        <f t="shared" si="26"/>
        <v>295556</v>
      </c>
      <c r="I46" s="110">
        <f t="shared" si="26"/>
        <v>297550</v>
      </c>
      <c r="J46" s="111">
        <f t="shared" si="26"/>
        <v>300052</v>
      </c>
      <c r="K46" s="110">
        <f t="shared" si="26"/>
        <v>308894</v>
      </c>
      <c r="L46" s="110">
        <f t="shared" ca="1" si="26"/>
        <v>324124.24959986308</v>
      </c>
      <c r="M46" s="110">
        <f t="shared" ca="1" si="26"/>
        <v>331797.19958791457</v>
      </c>
      <c r="N46" s="112">
        <f t="shared" ca="1" si="26"/>
        <v>339572.73552307044</v>
      </c>
      <c r="O46" s="110">
        <f t="shared" ca="1" si="26"/>
        <v>345864.0904982806</v>
      </c>
      <c r="P46" s="110">
        <f t="shared" ca="1" si="26"/>
        <v>361580.04096899473</v>
      </c>
      <c r="Q46" s="110">
        <f t="shared" ca="1" si="26"/>
        <v>368040.37289595173</v>
      </c>
      <c r="R46" s="110">
        <f t="shared" ca="1" si="26"/>
        <v>375650.2195547577</v>
      </c>
      <c r="S46" s="113"/>
      <c r="T46" s="110">
        <f t="shared" ref="T46:AA46" si="27">SUM(T38,T44)</f>
        <v>261108</v>
      </c>
      <c r="U46" s="110">
        <f t="shared" si="27"/>
        <v>271461</v>
      </c>
      <c r="V46" s="111">
        <f t="shared" si="27"/>
        <v>300052</v>
      </c>
      <c r="W46" s="110">
        <f t="shared" ca="1" si="27"/>
        <v>339572.73552307044</v>
      </c>
      <c r="X46" s="110">
        <f t="shared" ca="1" si="27"/>
        <v>375650.2195547577</v>
      </c>
      <c r="Y46" s="110">
        <f t="shared" ca="1" si="27"/>
        <v>400998.53642741474</v>
      </c>
      <c r="Z46" s="110">
        <f t="shared" ca="1" si="27"/>
        <v>438435.08134695957</v>
      </c>
      <c r="AA46" s="110">
        <f t="shared" ca="1" si="27"/>
        <v>475528.31689366873</v>
      </c>
      <c r="AB46" s="9"/>
      <c r="AC46" s="9"/>
      <c r="AD46" s="9"/>
      <c r="AE46" s="9"/>
    </row>
    <row r="47" spans="1:31" ht="13.5" customHeight="1" x14ac:dyDescent="0.25">
      <c r="A47" s="10"/>
      <c r="B47" s="9"/>
      <c r="C47" s="9"/>
      <c r="D47" s="9"/>
      <c r="E47" s="9"/>
      <c r="F47" s="9"/>
      <c r="G47" s="9"/>
      <c r="H47" s="9"/>
      <c r="I47" s="9"/>
      <c r="J47" s="88"/>
      <c r="K47" s="9"/>
      <c r="L47" s="9"/>
      <c r="M47" s="9"/>
      <c r="N47" s="89"/>
      <c r="O47" s="9"/>
      <c r="P47" s="9"/>
      <c r="Q47" s="9"/>
      <c r="R47" s="9"/>
      <c r="S47" s="9"/>
      <c r="T47" s="9"/>
      <c r="U47" s="9"/>
      <c r="V47" s="88"/>
      <c r="W47" s="9"/>
      <c r="X47" s="9"/>
      <c r="Y47" s="9"/>
      <c r="Z47" s="9"/>
      <c r="AA47" s="9"/>
      <c r="AB47" s="9"/>
      <c r="AC47" s="9"/>
      <c r="AD47" s="9"/>
      <c r="AE47" s="9"/>
    </row>
    <row r="48" spans="1:31" ht="13.5" customHeight="1" x14ac:dyDescent="0.25">
      <c r="A48" s="10"/>
      <c r="B48" s="9"/>
      <c r="C48" s="9" t="str">
        <f>Model!C134</f>
        <v>Accounts Payable</v>
      </c>
      <c r="D48" s="9"/>
      <c r="E48" s="9"/>
      <c r="F48" s="9"/>
      <c r="G48" s="100">
        <f>Model!P134</f>
        <v>13564</v>
      </c>
      <c r="H48" s="100">
        <f>Model!Q134</f>
        <v>14121</v>
      </c>
      <c r="I48" s="100">
        <f>Model!R134</f>
        <v>14708</v>
      </c>
      <c r="J48" s="101">
        <f>Model!S134</f>
        <v>14700</v>
      </c>
      <c r="K48" s="100">
        <f>Model!U134</f>
        <v>14635</v>
      </c>
      <c r="L48" s="100">
        <f>Model!V134</f>
        <v>14428.190792000003</v>
      </c>
      <c r="M48" s="100">
        <f>Model!W134</f>
        <v>14712.116852352174</v>
      </c>
      <c r="N48" s="102">
        <f>Model!X134</f>
        <v>15109.282126026854</v>
      </c>
      <c r="O48" s="100">
        <f>Model!Z134</f>
        <v>15534.36183892901</v>
      </c>
      <c r="P48" s="100">
        <f>Model!AA134</f>
        <v>16109.505121005706</v>
      </c>
      <c r="Q48" s="100">
        <f>Model!AB134</f>
        <v>16204.360186043585</v>
      </c>
      <c r="R48" s="100">
        <f>Model!AC134</f>
        <v>16771.668057145205</v>
      </c>
      <c r="S48" s="9"/>
      <c r="T48" s="100">
        <f>Model!J134</f>
        <v>13109</v>
      </c>
      <c r="U48" s="100">
        <f>Model!O134</f>
        <v>13884</v>
      </c>
      <c r="V48" s="101">
        <f>Model!T134</f>
        <v>14700</v>
      </c>
      <c r="W48" s="100">
        <f>Model!Y134</f>
        <v>15109.282126026854</v>
      </c>
      <c r="X48" s="100">
        <f>Model!AD134</f>
        <v>16771.668057145205</v>
      </c>
      <c r="Y48" s="100">
        <f>Model!AE134</f>
        <v>16778.777106543144</v>
      </c>
      <c r="Z48" s="100">
        <f>Model!AF134</f>
        <v>17906.312943177716</v>
      </c>
      <c r="AA48" s="100">
        <f>Model!AG134</f>
        <v>18989.212030499115</v>
      </c>
      <c r="AB48" s="9"/>
      <c r="AC48" s="9"/>
      <c r="AD48" s="9"/>
      <c r="AE48" s="9"/>
    </row>
    <row r="49" spans="1:31" ht="13.5" customHeight="1" x14ac:dyDescent="0.25">
      <c r="A49" s="10"/>
      <c r="B49" s="9"/>
      <c r="C49" s="9" t="str">
        <f>Model!C135</f>
        <v>Customer Deposits</v>
      </c>
      <c r="D49" s="9"/>
      <c r="E49" s="9"/>
      <c r="F49" s="9"/>
      <c r="G49" s="100">
        <f>Model!P135</f>
        <v>146396</v>
      </c>
      <c r="H49" s="100">
        <f>Model!Q135</f>
        <v>149386</v>
      </c>
      <c r="I49" s="100">
        <f>Model!R135</f>
        <v>149883</v>
      </c>
      <c r="J49" s="101">
        <f>Model!S135</f>
        <v>152488</v>
      </c>
      <c r="K49" s="100">
        <f>Model!U135</f>
        <v>157948</v>
      </c>
      <c r="L49" s="100">
        <f>Model!V135</f>
        <v>162969.02250000002</v>
      </c>
      <c r="M49" s="100">
        <f>Model!W135</f>
        <v>165395.32976485215</v>
      </c>
      <c r="N49" s="102">
        <f>Model!X135</f>
        <v>171261.32002577945</v>
      </c>
      <c r="O49" s="100">
        <f>Model!Z135</f>
        <v>173024.43922757157</v>
      </c>
      <c r="P49" s="100">
        <f>Model!AA135</f>
        <v>181087.18883504928</v>
      </c>
      <c r="Q49" s="100">
        <f>Model!AB135</f>
        <v>183864.68232638983</v>
      </c>
      <c r="R49" s="100">
        <f>Model!AC135</f>
        <v>190466.57603035835</v>
      </c>
      <c r="S49" s="9"/>
      <c r="T49" s="100">
        <f>Model!J135</f>
        <v>129144</v>
      </c>
      <c r="U49" s="100">
        <f>Model!O135</f>
        <v>139413</v>
      </c>
      <c r="V49" s="101">
        <f>Model!T135</f>
        <v>152488</v>
      </c>
      <c r="W49" s="100">
        <f>Model!Y135</f>
        <v>171261.32002577945</v>
      </c>
      <c r="X49" s="100">
        <f>Model!AD135</f>
        <v>190466.57603035835</v>
      </c>
      <c r="Y49" s="100">
        <f>Model!AE135</f>
        <v>196557.73691955363</v>
      </c>
      <c r="Z49" s="100">
        <f>Model!AF135</f>
        <v>211150.24221172958</v>
      </c>
      <c r="AA49" s="100">
        <f>Model!AG135</f>
        <v>224168.58816063509</v>
      </c>
      <c r="AB49" s="9"/>
      <c r="AC49" s="9"/>
      <c r="AD49" s="9"/>
      <c r="AE49" s="9"/>
    </row>
    <row r="50" spans="1:31" ht="13.5" customHeight="1" x14ac:dyDescent="0.25">
      <c r="A50" s="10"/>
      <c r="B50" s="9"/>
      <c r="C50" s="9" t="str">
        <f>Model!C136</f>
        <v>Other Current Liabilities</v>
      </c>
      <c r="D50" s="9"/>
      <c r="E50" s="9"/>
      <c r="F50" s="9"/>
      <c r="G50" s="100">
        <f>Model!P136</f>
        <v>0</v>
      </c>
      <c r="H50" s="100">
        <f>Model!Q136</f>
        <v>0</v>
      </c>
      <c r="I50" s="100">
        <f>Model!R136</f>
        <v>0</v>
      </c>
      <c r="J50" s="101">
        <f>Model!S136</f>
        <v>0</v>
      </c>
      <c r="K50" s="100">
        <f>Model!U136</f>
        <v>0</v>
      </c>
      <c r="L50" s="100">
        <f>Model!V136</f>
        <v>0</v>
      </c>
      <c r="M50" s="100">
        <f>Model!W136</f>
        <v>0</v>
      </c>
      <c r="N50" s="102">
        <f>Model!X136</f>
        <v>0</v>
      </c>
      <c r="O50" s="100">
        <f>Model!Z136</f>
        <v>0</v>
      </c>
      <c r="P50" s="100">
        <f>Model!AA136</f>
        <v>0</v>
      </c>
      <c r="Q50" s="100">
        <f>Model!AB136</f>
        <v>0</v>
      </c>
      <c r="R50" s="100">
        <f>Model!AC136</f>
        <v>0</v>
      </c>
      <c r="S50" s="9"/>
      <c r="T50" s="100">
        <f>Model!J136</f>
        <v>0</v>
      </c>
      <c r="U50" s="100">
        <f>Model!O136</f>
        <v>0</v>
      </c>
      <c r="V50" s="101">
        <f>Model!T136</f>
        <v>0</v>
      </c>
      <c r="W50" s="100">
        <f>Model!Y136</f>
        <v>0</v>
      </c>
      <c r="X50" s="100">
        <f>Model!AD136</f>
        <v>0</v>
      </c>
      <c r="Y50" s="100">
        <f>Model!AE136</f>
        <v>0</v>
      </c>
      <c r="Z50" s="100">
        <f>Model!AF136</f>
        <v>0</v>
      </c>
      <c r="AA50" s="100">
        <f>Model!AG136</f>
        <v>0</v>
      </c>
      <c r="AB50" s="9"/>
      <c r="AC50" s="9"/>
      <c r="AD50" s="9"/>
      <c r="AE50" s="9"/>
    </row>
    <row r="51" spans="1:31" ht="13.5" customHeight="1" x14ac:dyDescent="0.25">
      <c r="A51" s="10"/>
      <c r="B51" s="9"/>
      <c r="C51" s="103" t="str">
        <f>Model!C137</f>
        <v>Total Current Liabilities (Excl. Debt)</v>
      </c>
      <c r="D51" s="9"/>
      <c r="E51" s="9"/>
      <c r="F51" s="9"/>
      <c r="G51" s="104">
        <f t="shared" ref="G51:R51" si="28">SUM(G48:G50)</f>
        <v>159960</v>
      </c>
      <c r="H51" s="104">
        <f t="shared" si="28"/>
        <v>163507</v>
      </c>
      <c r="I51" s="104">
        <f t="shared" si="28"/>
        <v>164591</v>
      </c>
      <c r="J51" s="105">
        <f t="shared" si="28"/>
        <v>167188</v>
      </c>
      <c r="K51" s="104">
        <f t="shared" si="28"/>
        <v>172583</v>
      </c>
      <c r="L51" s="104">
        <f t="shared" si="28"/>
        <v>177397.21329200003</v>
      </c>
      <c r="M51" s="104">
        <f t="shared" si="28"/>
        <v>180107.44661720432</v>
      </c>
      <c r="N51" s="106">
        <f t="shared" si="28"/>
        <v>186370.60215180629</v>
      </c>
      <c r="O51" s="104">
        <f t="shared" si="28"/>
        <v>188558.80106650057</v>
      </c>
      <c r="P51" s="104">
        <f t="shared" si="28"/>
        <v>197196.69395605498</v>
      </c>
      <c r="Q51" s="104">
        <f t="shared" si="28"/>
        <v>200069.0425124334</v>
      </c>
      <c r="R51" s="104">
        <f t="shared" si="28"/>
        <v>207238.24408750355</v>
      </c>
      <c r="S51" s="9"/>
      <c r="T51" s="104">
        <f t="shared" ref="T51:AA51" si="29">SUM(T48:T50)</f>
        <v>142253</v>
      </c>
      <c r="U51" s="104">
        <f t="shared" si="29"/>
        <v>153297</v>
      </c>
      <c r="V51" s="105">
        <f t="shared" si="29"/>
        <v>167188</v>
      </c>
      <c r="W51" s="104">
        <f t="shared" si="29"/>
        <v>186370.60215180629</v>
      </c>
      <c r="X51" s="104">
        <f t="shared" si="29"/>
        <v>207238.24408750355</v>
      </c>
      <c r="Y51" s="104">
        <f t="shared" si="29"/>
        <v>213336.51402609679</v>
      </c>
      <c r="Z51" s="104">
        <f t="shared" si="29"/>
        <v>229056.55515490728</v>
      </c>
      <c r="AA51" s="104">
        <f t="shared" si="29"/>
        <v>243157.80019113421</v>
      </c>
      <c r="AB51" s="9"/>
      <c r="AC51" s="9"/>
      <c r="AD51" s="9"/>
      <c r="AE51" s="9"/>
    </row>
    <row r="52" spans="1:31" ht="13.5" customHeight="1" x14ac:dyDescent="0.25">
      <c r="A52" s="10"/>
      <c r="B52" s="9"/>
      <c r="C52" s="9"/>
      <c r="D52" s="9"/>
      <c r="E52" s="9"/>
      <c r="F52" s="9"/>
      <c r="G52" s="107"/>
      <c r="H52" s="107"/>
      <c r="I52" s="107"/>
      <c r="J52" s="108"/>
      <c r="K52" s="107"/>
      <c r="L52" s="107"/>
      <c r="M52" s="107"/>
      <c r="N52" s="109"/>
      <c r="O52" s="107"/>
      <c r="P52" s="107"/>
      <c r="Q52" s="107"/>
      <c r="R52" s="107"/>
      <c r="S52" s="9"/>
      <c r="T52" s="107"/>
      <c r="U52" s="107"/>
      <c r="V52" s="108"/>
      <c r="W52" s="107"/>
      <c r="X52" s="107"/>
      <c r="Y52" s="107"/>
      <c r="Z52" s="107"/>
      <c r="AA52" s="107"/>
      <c r="AB52" s="9"/>
      <c r="AC52" s="9"/>
      <c r="AD52" s="9"/>
      <c r="AE52" s="9"/>
    </row>
    <row r="53" spans="1:31" ht="13.5" customHeight="1" x14ac:dyDescent="0.25">
      <c r="A53" s="10"/>
      <c r="B53" s="9"/>
      <c r="C53" s="9" t="str">
        <f>Model!C139</f>
        <v>Short-term Borrowings</v>
      </c>
      <c r="D53" s="9"/>
      <c r="E53" s="9"/>
      <c r="F53" s="9"/>
      <c r="G53" s="80">
        <f>Model!P139</f>
        <v>1559</v>
      </c>
      <c r="H53" s="80">
        <f>Model!Q139</f>
        <v>1493</v>
      </c>
      <c r="I53" s="80">
        <f>Model!R139</f>
        <v>1446</v>
      </c>
      <c r="J53" s="81">
        <f>Model!S139</f>
        <v>1371</v>
      </c>
      <c r="K53" s="80">
        <f>Model!U139</f>
        <v>1692</v>
      </c>
      <c r="L53" s="80">
        <f ca="1">Model!V139</f>
        <v>0</v>
      </c>
      <c r="M53" s="80">
        <f ca="1">Model!W139</f>
        <v>0</v>
      </c>
      <c r="N53" s="82">
        <f ca="1">Model!X139</f>
        <v>0</v>
      </c>
      <c r="O53" s="80">
        <f ca="1">Model!Z139</f>
        <v>0</v>
      </c>
      <c r="P53" s="80">
        <f ca="1">Model!AA139</f>
        <v>0</v>
      </c>
      <c r="Q53" s="80">
        <f ca="1">Model!AB139</f>
        <v>0</v>
      </c>
      <c r="R53" s="80">
        <f ca="1">Model!AC139</f>
        <v>0</v>
      </c>
      <c r="S53" s="9"/>
      <c r="T53" s="80">
        <f>Model!J139</f>
        <v>1293</v>
      </c>
      <c r="U53" s="80">
        <f>Model!O139</f>
        <v>1374</v>
      </c>
      <c r="V53" s="81">
        <f>Model!T139</f>
        <v>1371</v>
      </c>
      <c r="W53" s="80">
        <f ca="1">Model!Y139</f>
        <v>0</v>
      </c>
      <c r="X53" s="80">
        <f ca="1">Model!AD139</f>
        <v>0</v>
      </c>
      <c r="Y53" s="80">
        <f ca="1">Model!AE139</f>
        <v>0</v>
      </c>
      <c r="Z53" s="80">
        <f ca="1">Model!AF139</f>
        <v>0</v>
      </c>
      <c r="AA53" s="80">
        <f ca="1">Model!AG139</f>
        <v>0</v>
      </c>
      <c r="AB53" s="9"/>
      <c r="AC53" s="9"/>
      <c r="AD53" s="9"/>
      <c r="AE53" s="9"/>
    </row>
    <row r="54" spans="1:31" ht="13.5" customHeight="1" x14ac:dyDescent="0.25">
      <c r="A54" s="10"/>
      <c r="B54" s="9"/>
      <c r="C54" s="9" t="str">
        <f>Model!C140</f>
        <v>LT Debt (Incl. Current Portion)</v>
      </c>
      <c r="D54" s="9"/>
      <c r="E54" s="9"/>
      <c r="F54" s="9"/>
      <c r="G54" s="100">
        <f>Model!P140</f>
        <v>51236</v>
      </c>
      <c r="H54" s="100">
        <f>Model!Q140</f>
        <v>58202</v>
      </c>
      <c r="I54" s="100">
        <f>Model!R140</f>
        <v>57787</v>
      </c>
      <c r="J54" s="101">
        <f>Model!S140</f>
        <v>56387</v>
      </c>
      <c r="K54" s="100">
        <f>Model!U140</f>
        <v>58750</v>
      </c>
      <c r="L54" s="100">
        <f>Model!V140</f>
        <v>61950</v>
      </c>
      <c r="M54" s="100">
        <f>Model!W140</f>
        <v>64950</v>
      </c>
      <c r="N54" s="102">
        <f>Model!X140</f>
        <v>62450</v>
      </c>
      <c r="O54" s="100">
        <f>Model!Z140</f>
        <v>63650</v>
      </c>
      <c r="P54" s="100">
        <f>Model!AA140</f>
        <v>67150</v>
      </c>
      <c r="Q54" s="100">
        <f>Model!AB140</f>
        <v>67150</v>
      </c>
      <c r="R54" s="100">
        <f>Model!AC140</f>
        <v>63650</v>
      </c>
      <c r="S54" s="9"/>
      <c r="T54" s="100">
        <f>Model!J140</f>
        <v>47866</v>
      </c>
      <c r="U54" s="100">
        <f>Model!O140</f>
        <v>49715</v>
      </c>
      <c r="V54" s="101">
        <f>Model!T140</f>
        <v>56387</v>
      </c>
      <c r="W54" s="100">
        <f>Model!Y140</f>
        <v>62450</v>
      </c>
      <c r="X54" s="100">
        <f>Model!AD140</f>
        <v>63650</v>
      </c>
      <c r="Y54" s="100">
        <f>Model!AE140</f>
        <v>67650</v>
      </c>
      <c r="Z54" s="100">
        <f>Model!AF140</f>
        <v>71850</v>
      </c>
      <c r="AA54" s="100">
        <f>Model!AG140</f>
        <v>75850</v>
      </c>
      <c r="AB54" s="9"/>
      <c r="AC54" s="9"/>
      <c r="AD54" s="9"/>
      <c r="AE54" s="9"/>
    </row>
    <row r="55" spans="1:31" ht="13.5" customHeight="1" x14ac:dyDescent="0.25">
      <c r="A55" s="10"/>
      <c r="B55" s="9"/>
      <c r="C55" s="9" t="str">
        <f>Model!C141</f>
        <v>Deferred Income Taxes</v>
      </c>
      <c r="D55" s="9"/>
      <c r="E55" s="9"/>
      <c r="F55" s="9"/>
      <c r="G55" s="100">
        <f>Model!P141</f>
        <v>0</v>
      </c>
      <c r="H55" s="100">
        <f>Model!Q141</f>
        <v>0</v>
      </c>
      <c r="I55" s="100">
        <f>Model!R141</f>
        <v>0</v>
      </c>
      <c r="J55" s="101">
        <f>Model!S141</f>
        <v>0</v>
      </c>
      <c r="K55" s="100">
        <f>Model!U141</f>
        <v>0</v>
      </c>
      <c r="L55" s="100">
        <f>Model!V141</f>
        <v>0</v>
      </c>
      <c r="M55" s="100">
        <f>Model!W141</f>
        <v>0</v>
      </c>
      <c r="N55" s="102">
        <f>Model!X141</f>
        <v>0</v>
      </c>
      <c r="O55" s="100">
        <f>Model!Z141</f>
        <v>0</v>
      </c>
      <c r="P55" s="100">
        <f>Model!AA141</f>
        <v>0</v>
      </c>
      <c r="Q55" s="100">
        <f>Model!AB141</f>
        <v>0</v>
      </c>
      <c r="R55" s="100">
        <f>Model!AC141</f>
        <v>0</v>
      </c>
      <c r="S55" s="9"/>
      <c r="T55" s="100">
        <f>Model!J141</f>
        <v>0</v>
      </c>
      <c r="U55" s="100">
        <f>Model!O141</f>
        <v>0</v>
      </c>
      <c r="V55" s="101">
        <f>Model!T141</f>
        <v>0</v>
      </c>
      <c r="W55" s="100">
        <f>Model!Y141</f>
        <v>0</v>
      </c>
      <c r="X55" s="100">
        <f>Model!AD141</f>
        <v>0</v>
      </c>
      <c r="Y55" s="100">
        <f>Model!AE141</f>
        <v>0</v>
      </c>
      <c r="Z55" s="100">
        <f>Model!AF141</f>
        <v>0</v>
      </c>
      <c r="AA55" s="100">
        <f>Model!AG141</f>
        <v>0</v>
      </c>
      <c r="AB55" s="9"/>
      <c r="AC55" s="9"/>
      <c r="AD55" s="9"/>
      <c r="AE55" s="9"/>
    </row>
    <row r="56" spans="1:31" ht="13.5" customHeight="1" x14ac:dyDescent="0.25">
      <c r="A56" s="10"/>
      <c r="B56" s="9"/>
      <c r="C56" s="9" t="str">
        <f>Model!C142</f>
        <v>Other Non-Current Liabilities</v>
      </c>
      <c r="D56" s="9"/>
      <c r="E56" s="9"/>
      <c r="F56" s="9"/>
      <c r="G56" s="100">
        <f>Model!P142</f>
        <v>38287</v>
      </c>
      <c r="H56" s="100">
        <f>Model!Q142</f>
        <v>40043</v>
      </c>
      <c r="I56" s="100">
        <f>Model!R142</f>
        <v>41309</v>
      </c>
      <c r="J56" s="101">
        <f>Model!S142</f>
        <v>41632</v>
      </c>
      <c r="K56" s="100">
        <f>Model!U142</f>
        <v>41874</v>
      </c>
      <c r="L56" s="100">
        <f>Model!V142</f>
        <v>41874</v>
      </c>
      <c r="M56" s="114">
        <f>Model!W142</f>
        <v>41874</v>
      </c>
      <c r="N56" s="102">
        <f>Model!X142</f>
        <v>41874</v>
      </c>
      <c r="O56" s="100">
        <f>Model!Z142</f>
        <v>41874</v>
      </c>
      <c r="P56" s="100">
        <f>Model!AA142</f>
        <v>41874</v>
      </c>
      <c r="Q56" s="100">
        <f>Model!AB142</f>
        <v>41874</v>
      </c>
      <c r="R56" s="100">
        <f>Model!AC142</f>
        <v>41874</v>
      </c>
      <c r="S56" s="9"/>
      <c r="T56" s="100">
        <f>Model!J142</f>
        <v>41639</v>
      </c>
      <c r="U56" s="100">
        <f>Model!O142</f>
        <v>36811</v>
      </c>
      <c r="V56" s="101">
        <f>Model!T142</f>
        <v>41632</v>
      </c>
      <c r="W56" s="100">
        <f>Model!Y142</f>
        <v>41874</v>
      </c>
      <c r="X56" s="100">
        <f>Model!AD142</f>
        <v>41874</v>
      </c>
      <c r="Y56" s="100">
        <f>Model!AE142</f>
        <v>41874</v>
      </c>
      <c r="Z56" s="100">
        <f>Model!AF142</f>
        <v>41874</v>
      </c>
      <c r="AA56" s="100">
        <f>Model!AG142</f>
        <v>41874</v>
      </c>
      <c r="AB56" s="9"/>
      <c r="AC56" s="9"/>
      <c r="AD56" s="9"/>
      <c r="AE56" s="9"/>
    </row>
    <row r="57" spans="1:31" ht="13.5" customHeight="1" x14ac:dyDescent="0.25">
      <c r="A57" s="10"/>
      <c r="B57" s="9"/>
      <c r="C57" s="103" t="str">
        <f>Model!C143</f>
        <v>Total Non-Current Liabilities</v>
      </c>
      <c r="D57" s="9"/>
      <c r="E57" s="9"/>
      <c r="F57" s="9"/>
      <c r="G57" s="104">
        <f>SUM(G53:G56)</f>
        <v>91082</v>
      </c>
      <c r="H57" s="104">
        <f t="array" ref="H57">INDEX(Data,MATCH($C57,Line_Items,0),MATCH(H$32,Fiscal_Periods,0))</f>
        <v>99738</v>
      </c>
      <c r="I57" s="104">
        <f t="array" ref="I57">INDEX(Data,MATCH($C57,Line_Items,0),MATCH(I$32,Fiscal_Periods,0))</f>
        <v>100542</v>
      </c>
      <c r="J57" s="105">
        <f t="array" ref="J57">INDEX(Data,MATCH($C57,Line_Items,0),MATCH(J$32,Fiscal_Periods,0))</f>
        <v>99390</v>
      </c>
      <c r="K57" s="104">
        <f t="array" ref="K57">INDEX(Data,MATCH($C57,Line_Items,0),MATCH(K$32,Fiscal_Periods,0))</f>
        <v>102316</v>
      </c>
      <c r="L57" s="104">
        <f t="array" aca="1" ref="L57" ca="1">INDEX(Data,MATCH($C57,Line_Items,0),MATCH(L$32,Fiscal_Periods,0))</f>
        <v>102419</v>
      </c>
      <c r="M57" s="104">
        <f t="array" aca="1" ref="M57" ca="1">INDEX(Data,MATCH($C57,Line_Items,0),MATCH(M$32,Fiscal_Periods,0))</f>
        <v>105419</v>
      </c>
      <c r="N57" s="106">
        <f t="array" aca="1" ref="N57" ca="1">INDEX(Data,MATCH($C57,Line_Items,0),MATCH(N$32,Fiscal_Periods,0))</f>
        <v>102919</v>
      </c>
      <c r="O57" s="104">
        <f t="array" aca="1" ref="O57" ca="1">INDEX(Data,MATCH($C57,Line_Items,0),MATCH(O$32,Fiscal_Periods,0))</f>
        <v>104119</v>
      </c>
      <c r="P57" s="104">
        <f t="array" aca="1" ref="P57" ca="1">INDEX(Data,MATCH($C57,Line_Items,0),MATCH(P$32,Fiscal_Periods,0))</f>
        <v>107619</v>
      </c>
      <c r="Q57" s="104">
        <f t="array" aca="1" ref="Q57" ca="1">INDEX(Data,MATCH($C57,Line_Items,0),MATCH(Q$32,Fiscal_Periods,0))</f>
        <v>107619</v>
      </c>
      <c r="R57" s="104">
        <f t="array" aca="1" ref="R57" ca="1">INDEX(Data,MATCH($C57,Line_Items,0),MATCH(R$32,Fiscal_Periods,0))</f>
        <v>104119</v>
      </c>
      <c r="S57" s="9"/>
      <c r="T57" s="104">
        <f t="array" ref="T57">INDEX(Data,MATCH($C57,Line_Items,0),MATCH(T$32,Fiscal_Periods,0))</f>
        <v>90798</v>
      </c>
      <c r="U57" s="104">
        <f t="array" ref="U57">INDEX(Data,MATCH($C57,Line_Items,0),MATCH(U$32,Fiscal_Periods,0))</f>
        <v>87900</v>
      </c>
      <c r="V57" s="105">
        <f t="array" ref="V57">INDEX(Data,MATCH($C57,Line_Items,0),MATCH(V$32,Fiscal_Periods,0))</f>
        <v>99390</v>
      </c>
      <c r="W57" s="104">
        <f t="array" aca="1" ref="W57" ca="1">INDEX(Data,MATCH($C57,Line_Items,0),MATCH(W$32,Fiscal_Periods,0))</f>
        <v>102919</v>
      </c>
      <c r="X57" s="104">
        <f t="array" aca="1" ref="X57" ca="1">INDEX(Data,MATCH($C57,Line_Items,0),MATCH(X$32,Fiscal_Periods,0))</f>
        <v>104119</v>
      </c>
      <c r="Y57" s="104">
        <f t="array" aca="1" ref="Y57" ca="1">INDEX(Data,MATCH($C57,Line_Items,0),MATCH(Y$32,Fiscal_Periods,0))</f>
        <v>108119</v>
      </c>
      <c r="Z57" s="104">
        <f t="array" aca="1" ref="Z57" ca="1">INDEX(Data,MATCH($C57,Line_Items,0),MATCH(Z$32,Fiscal_Periods,0))</f>
        <v>112319</v>
      </c>
      <c r="AA57" s="104">
        <f t="array" aca="1" ref="AA57" ca="1">INDEX(Data,MATCH($C57,Line_Items,0),MATCH(AA$32,Fiscal_Periods,0))</f>
        <v>116319</v>
      </c>
      <c r="AB57" s="9"/>
      <c r="AC57" s="9"/>
      <c r="AD57" s="9"/>
      <c r="AE57" s="9"/>
    </row>
    <row r="58" spans="1:31" ht="13.5" customHeight="1" x14ac:dyDescent="0.25">
      <c r="A58" s="10"/>
      <c r="B58" s="9"/>
      <c r="C58" s="9"/>
      <c r="D58" s="9"/>
      <c r="E58" s="9"/>
      <c r="F58" s="9"/>
      <c r="G58" s="107"/>
      <c r="H58" s="107"/>
      <c r="I58" s="107"/>
      <c r="J58" s="108"/>
      <c r="K58" s="107"/>
      <c r="L58" s="107"/>
      <c r="M58" s="107"/>
      <c r="N58" s="109"/>
      <c r="O58" s="107"/>
      <c r="P58" s="107"/>
      <c r="Q58" s="107"/>
      <c r="R58" s="107"/>
      <c r="S58" s="9"/>
      <c r="T58" s="107"/>
      <c r="U58" s="107"/>
      <c r="V58" s="108"/>
      <c r="W58" s="107"/>
      <c r="X58" s="107"/>
      <c r="Y58" s="107"/>
      <c r="Z58" s="107"/>
      <c r="AA58" s="107"/>
      <c r="AB58" s="9"/>
      <c r="AC58" s="9"/>
      <c r="AD58" s="9"/>
      <c r="AE58" s="9"/>
    </row>
    <row r="59" spans="1:31" ht="13.5" customHeight="1" x14ac:dyDescent="0.25">
      <c r="A59" s="10"/>
      <c r="B59" s="9"/>
      <c r="C59" s="103" t="str">
        <f>Model!C145</f>
        <v>Total Liabilities</v>
      </c>
      <c r="D59" s="9"/>
      <c r="E59" s="9"/>
      <c r="F59" s="9"/>
      <c r="G59" s="104">
        <f t="shared" ref="G59:R59" si="30">SUM(G51,G57)</f>
        <v>251042</v>
      </c>
      <c r="H59" s="104">
        <f t="shared" si="30"/>
        <v>263245</v>
      </c>
      <c r="I59" s="104">
        <f t="shared" si="30"/>
        <v>265133</v>
      </c>
      <c r="J59" s="105">
        <f t="shared" si="30"/>
        <v>266578</v>
      </c>
      <c r="K59" s="104">
        <f t="shared" si="30"/>
        <v>274899</v>
      </c>
      <c r="L59" s="104">
        <f t="shared" ca="1" si="30"/>
        <v>286135.47752561996</v>
      </c>
      <c r="M59" s="104">
        <f t="shared" ca="1" si="30"/>
        <v>291103.14705845469</v>
      </c>
      <c r="N59" s="106">
        <f t="shared" ca="1" si="30"/>
        <v>295946.16533683357</v>
      </c>
      <c r="O59" s="104">
        <f t="shared" ca="1" si="30"/>
        <v>299343.27513616096</v>
      </c>
      <c r="P59" s="104">
        <f t="shared" ca="1" si="30"/>
        <v>311903.85466614075</v>
      </c>
      <c r="Q59" s="104">
        <f t="shared" ca="1" si="30"/>
        <v>314916.83934953972</v>
      </c>
      <c r="R59" s="104">
        <f t="shared" ca="1" si="30"/>
        <v>318855.12847773416</v>
      </c>
      <c r="S59" s="9"/>
      <c r="T59" s="104">
        <f t="shared" ref="T59:AA59" si="31">SUM(T51,T57)</f>
        <v>233051</v>
      </c>
      <c r="U59" s="104">
        <f t="shared" si="31"/>
        <v>241197</v>
      </c>
      <c r="V59" s="105">
        <f t="shared" si="31"/>
        <v>266578</v>
      </c>
      <c r="W59" s="104">
        <f t="shared" ca="1" si="31"/>
        <v>295946.16533683357</v>
      </c>
      <c r="X59" s="104">
        <f t="shared" ca="1" si="31"/>
        <v>318855.12847773416</v>
      </c>
      <c r="Y59" s="104">
        <f t="shared" ca="1" si="31"/>
        <v>329104.09036518092</v>
      </c>
      <c r="Z59" s="104">
        <f t="shared" ca="1" si="31"/>
        <v>349542.66777919058</v>
      </c>
      <c r="AA59" s="104">
        <f t="shared" ca="1" si="31"/>
        <v>368135.20038253249</v>
      </c>
      <c r="AB59" s="9"/>
      <c r="AC59" s="9"/>
      <c r="AD59" s="9"/>
      <c r="AE59" s="9"/>
    </row>
    <row r="60" spans="1:31" ht="13.5" customHeight="1" x14ac:dyDescent="0.25">
      <c r="A60" s="10"/>
      <c r="B60" s="9"/>
      <c r="C60" s="9"/>
      <c r="D60" s="9"/>
      <c r="E60" s="9"/>
      <c r="F60" s="9"/>
      <c r="G60" s="9"/>
      <c r="H60" s="9"/>
      <c r="I60" s="9"/>
      <c r="J60" s="88"/>
      <c r="K60" s="9"/>
      <c r="L60" s="9"/>
      <c r="M60" s="9"/>
      <c r="N60" s="89"/>
      <c r="O60" s="9"/>
      <c r="P60" s="9"/>
      <c r="Q60" s="9"/>
      <c r="R60" s="9"/>
      <c r="S60" s="9"/>
      <c r="T60" s="9"/>
      <c r="U60" s="9"/>
      <c r="V60" s="88"/>
      <c r="W60" s="9"/>
      <c r="X60" s="9"/>
      <c r="Y60" s="9"/>
      <c r="Z60" s="9"/>
      <c r="AA60" s="9"/>
      <c r="AB60" s="9"/>
      <c r="AC60" s="9"/>
      <c r="AD60" s="9"/>
      <c r="AE60" s="9"/>
    </row>
    <row r="61" spans="1:31" ht="13.5" customHeight="1" x14ac:dyDescent="0.25">
      <c r="A61" s="10"/>
      <c r="B61" s="9"/>
      <c r="C61" s="9" t="str">
        <f>Model!C147</f>
        <v>Common Stock &amp; APIC</v>
      </c>
      <c r="D61" s="9"/>
      <c r="E61" s="9"/>
      <c r="F61" s="9"/>
      <c r="G61" s="80">
        <f>Model!P147</f>
        <v>11177</v>
      </c>
      <c r="H61" s="80">
        <f>Model!Q147</f>
        <v>11192</v>
      </c>
      <c r="I61" s="80">
        <f>Model!R147</f>
        <v>11197</v>
      </c>
      <c r="J61" s="81">
        <f>Model!S147</f>
        <v>11264</v>
      </c>
      <c r="K61" s="80">
        <f>Model!U147</f>
        <v>11218</v>
      </c>
      <c r="L61" s="80">
        <f>Model!V147</f>
        <v>11429.256140277777</v>
      </c>
      <c r="M61" s="80">
        <f>Model!W147</f>
        <v>11646.289574513889</v>
      </c>
      <c r="N61" s="82">
        <f>Model!X147</f>
        <v>11871.11013375611</v>
      </c>
      <c r="O61" s="80">
        <f>Model!Z147</f>
        <v>12095.32879788221</v>
      </c>
      <c r="P61" s="80">
        <f>Model!AA147</f>
        <v>12329.86732423747</v>
      </c>
      <c r="Q61" s="80">
        <f>Model!AB147</f>
        <v>12570.047285530405</v>
      </c>
      <c r="R61" s="80">
        <f>Model!AC147</f>
        <v>12819.508087355962</v>
      </c>
      <c r="S61" s="9"/>
      <c r="T61" s="80">
        <f>Model!J147</f>
        <v>11517</v>
      </c>
      <c r="U61" s="80">
        <f>Model!O147</f>
        <v>11511</v>
      </c>
      <c r="V61" s="81">
        <f>Model!T147</f>
        <v>11264</v>
      </c>
      <c r="W61" s="80">
        <f>Model!Y147</f>
        <v>11871.11013375611</v>
      </c>
      <c r="X61" s="80">
        <f>Model!AD147</f>
        <v>12819.508087355962</v>
      </c>
      <c r="Y61" s="80">
        <f>Model!AE147</f>
        <v>13836.830796700044</v>
      </c>
      <c r="Z61" s="80">
        <f>Model!AF147</f>
        <v>14925.377293527696</v>
      </c>
      <c r="AA61" s="80">
        <f>Model!AG147</f>
        <v>16080.768931449149</v>
      </c>
      <c r="AB61" s="9"/>
      <c r="AC61" s="9"/>
      <c r="AD61" s="9"/>
      <c r="AE61" s="9"/>
    </row>
    <row r="62" spans="1:31" ht="13.5" customHeight="1" x14ac:dyDescent="0.25">
      <c r="A62" s="10"/>
      <c r="B62" s="9"/>
      <c r="C62" s="9" t="str">
        <f>Model!C148</f>
        <v>Retained Earnings</v>
      </c>
      <c r="D62" s="9"/>
      <c r="E62" s="9"/>
      <c r="F62" s="9"/>
      <c r="G62" s="100">
        <f>Model!P148</f>
        <v>23391</v>
      </c>
      <c r="H62" s="100">
        <f>Model!Q148</f>
        <v>24367</v>
      </c>
      <c r="I62" s="100">
        <f>Model!R148</f>
        <v>24469</v>
      </c>
      <c r="J62" s="101">
        <f>Model!S148</f>
        <v>25487</v>
      </c>
      <c r="K62" s="100">
        <f>Model!U148</f>
        <v>26088</v>
      </c>
      <c r="L62" s="100">
        <f>Model!V148</f>
        <v>28379.428469585997</v>
      </c>
      <c r="M62" s="100">
        <f>Model!W148</f>
        <v>30977.298767584398</v>
      </c>
      <c r="N62" s="102">
        <f>Model!X148</f>
        <v>33791.268248204477</v>
      </c>
      <c r="O62" s="100">
        <f>Model!Z148</f>
        <v>36566.745290963881</v>
      </c>
      <c r="P62" s="100">
        <f>Model!AA148</f>
        <v>39593.632218586608</v>
      </c>
      <c r="Q62" s="100">
        <f>Model!AB148</f>
        <v>42898.639521226534</v>
      </c>
      <c r="R62" s="100">
        <f>Model!AC148</f>
        <v>46417.247977164327</v>
      </c>
      <c r="S62" s="9"/>
      <c r="T62" s="100">
        <f>Model!J148</f>
        <v>19612</v>
      </c>
      <c r="U62" s="100">
        <f>Model!O148</f>
        <v>22148</v>
      </c>
      <c r="V62" s="101">
        <f>Model!T148</f>
        <v>25487</v>
      </c>
      <c r="W62" s="100">
        <f>Model!Y148</f>
        <v>33791.268248204477</v>
      </c>
      <c r="X62" s="100">
        <f>Model!AD148</f>
        <v>46417.247977164327</v>
      </c>
      <c r="Y62" s="100">
        <f>Model!AE148</f>
        <v>60879.403673960995</v>
      </c>
      <c r="Z62" s="100">
        <f>Model!AF148</f>
        <v>77153.81075667197</v>
      </c>
      <c r="AA62" s="100">
        <f>Model!AG148</f>
        <v>94848.632854232856</v>
      </c>
      <c r="AB62" s="9"/>
      <c r="AC62" s="9"/>
      <c r="AD62" s="9"/>
      <c r="AE62" s="9"/>
    </row>
    <row r="63" spans="1:31" ht="13.5" customHeight="1" x14ac:dyDescent="0.25">
      <c r="A63" s="10"/>
      <c r="B63" s="9"/>
      <c r="C63" s="9" t="str">
        <f>Model!C149</f>
        <v>Treasury Stock</v>
      </c>
      <c r="D63" s="9"/>
      <c r="E63" s="9"/>
      <c r="F63" s="9"/>
      <c r="G63" s="100">
        <f>Model!P149</f>
        <v>0</v>
      </c>
      <c r="H63" s="100">
        <f>Model!Q149</f>
        <v>0</v>
      </c>
      <c r="I63" s="100">
        <f>Model!R149</f>
        <v>0</v>
      </c>
      <c r="J63" s="101">
        <f>Model!S149</f>
        <v>0</v>
      </c>
      <c r="K63" s="100">
        <f>Model!U149</f>
        <v>0</v>
      </c>
      <c r="L63" s="100">
        <f>Model!V149</f>
        <v>-144.21250000000001</v>
      </c>
      <c r="M63" s="100">
        <f>Model!W149</f>
        <v>-288.42500000000001</v>
      </c>
      <c r="N63" s="102">
        <f>Model!X149</f>
        <v>-432.63750000000005</v>
      </c>
      <c r="O63" s="100">
        <f>Model!Z149</f>
        <v>-574.48638026861499</v>
      </c>
      <c r="P63" s="100">
        <f>Model!AA149</f>
        <v>-716.33526053722994</v>
      </c>
      <c r="Q63" s="100">
        <f>Model!AB149</f>
        <v>-858.18414080584489</v>
      </c>
      <c r="R63" s="100">
        <f>Model!AC149</f>
        <v>-1000.0330210744598</v>
      </c>
      <c r="S63" s="9"/>
      <c r="T63" s="100">
        <f>Model!J149</f>
        <v>0</v>
      </c>
      <c r="U63" s="100">
        <f>Model!O149</f>
        <v>0</v>
      </c>
      <c r="V63" s="101">
        <f>Model!T149</f>
        <v>0</v>
      </c>
      <c r="W63" s="100">
        <f>Model!Y149</f>
        <v>-432.63750000000005</v>
      </c>
      <c r="X63" s="100">
        <f>Model!AD149</f>
        <v>-1000.0330210744598</v>
      </c>
      <c r="Y63" s="100">
        <f>Model!AE149</f>
        <v>-1565.9144658806204</v>
      </c>
      <c r="Z63" s="100">
        <f>Model!AF149</f>
        <v>-2130.2858746811576</v>
      </c>
      <c r="AA63" s="100">
        <f>Model!AG149</f>
        <v>-2693.1512769574392</v>
      </c>
      <c r="AB63" s="9"/>
      <c r="AC63" s="9"/>
      <c r="AD63" s="9"/>
      <c r="AE63" s="9"/>
    </row>
    <row r="64" spans="1:31" ht="13.5" customHeight="1" x14ac:dyDescent="0.25">
      <c r="A64" s="10"/>
      <c r="B64" s="9"/>
      <c r="C64" s="9" t="str">
        <f>Model!C150</f>
        <v>Accumulated Other Comprehensive Income (AOCI)</v>
      </c>
      <c r="D64" s="9"/>
      <c r="E64" s="9"/>
      <c r="F64" s="9"/>
      <c r="G64" s="100">
        <f>Model!P150</f>
        <v>-3366</v>
      </c>
      <c r="H64" s="100">
        <f>Model!Q150</f>
        <v>-3248</v>
      </c>
      <c r="I64" s="100">
        <f>Model!R150</f>
        <v>-3249</v>
      </c>
      <c r="J64" s="101">
        <f>Model!S150</f>
        <v>-3277</v>
      </c>
      <c r="K64" s="100">
        <f>Model!U150</f>
        <v>-3311</v>
      </c>
      <c r="L64" s="100">
        <f>Model!V150</f>
        <v>-3311</v>
      </c>
      <c r="M64" s="100">
        <f>Model!W150</f>
        <v>-3311</v>
      </c>
      <c r="N64" s="102">
        <f>Model!X150</f>
        <v>-3311</v>
      </c>
      <c r="O64" s="100">
        <f>Model!Z150</f>
        <v>-3311</v>
      </c>
      <c r="P64" s="100">
        <f>Model!AA150</f>
        <v>-3311</v>
      </c>
      <c r="Q64" s="100">
        <f>Model!AB150</f>
        <v>-3311</v>
      </c>
      <c r="R64" s="100">
        <f>Model!AC150</f>
        <v>-3311</v>
      </c>
      <c r="S64" s="9"/>
      <c r="T64" s="100">
        <f>Model!J150</f>
        <v>-3072</v>
      </c>
      <c r="U64" s="100">
        <f>Model!O150</f>
        <v>-3395</v>
      </c>
      <c r="V64" s="101">
        <f>Model!T150</f>
        <v>-3277</v>
      </c>
      <c r="W64" s="100">
        <f>Model!Y150</f>
        <v>-3311</v>
      </c>
      <c r="X64" s="100">
        <f>Model!AD150</f>
        <v>-3311</v>
      </c>
      <c r="Y64" s="100">
        <f>Model!AE150</f>
        <v>-3311</v>
      </c>
      <c r="Z64" s="100">
        <f>Model!AF150</f>
        <v>-3311</v>
      </c>
      <c r="AA64" s="100">
        <f>Model!AG150</f>
        <v>-3311</v>
      </c>
      <c r="AB64" s="9"/>
      <c r="AC64" s="9"/>
      <c r="AD64" s="9"/>
      <c r="AE64" s="9"/>
    </row>
    <row r="65" spans="1:31" ht="13.5" customHeight="1" x14ac:dyDescent="0.25">
      <c r="A65" s="10"/>
      <c r="B65" s="9"/>
      <c r="C65" s="103" t="str">
        <f>Model!C151</f>
        <v>Total Shareholder's Equity</v>
      </c>
      <c r="D65" s="9"/>
      <c r="E65" s="9"/>
      <c r="F65" s="9"/>
      <c r="G65" s="104">
        <f t="shared" ref="G65:R65" si="32">SUM(G61:G64)</f>
        <v>31202</v>
      </c>
      <c r="H65" s="104">
        <f t="shared" si="32"/>
        <v>32311</v>
      </c>
      <c r="I65" s="104">
        <f t="shared" si="32"/>
        <v>32417</v>
      </c>
      <c r="J65" s="105">
        <f t="shared" si="32"/>
        <v>33474</v>
      </c>
      <c r="K65" s="104">
        <f t="shared" si="32"/>
        <v>33995</v>
      </c>
      <c r="L65" s="104">
        <f t="shared" si="32"/>
        <v>36353.472109863775</v>
      </c>
      <c r="M65" s="104">
        <f t="shared" si="32"/>
        <v>39024.163342098283</v>
      </c>
      <c r="N65" s="106">
        <f t="shared" si="32"/>
        <v>41918.740881960592</v>
      </c>
      <c r="O65" s="104">
        <f t="shared" si="32"/>
        <v>44776.587708577477</v>
      </c>
      <c r="P65" s="104">
        <f t="shared" si="32"/>
        <v>47896.164282286853</v>
      </c>
      <c r="Q65" s="104">
        <f t="shared" si="32"/>
        <v>51299.502665951091</v>
      </c>
      <c r="R65" s="104">
        <f t="shared" si="32"/>
        <v>54925.723043445832</v>
      </c>
      <c r="S65" s="9"/>
      <c r="T65" s="104">
        <f t="shared" ref="T65:AA65" si="33">SUM(T61:T64)</f>
        <v>28057</v>
      </c>
      <c r="U65" s="104">
        <f t="shared" si="33"/>
        <v>30264</v>
      </c>
      <c r="V65" s="105">
        <f t="shared" si="33"/>
        <v>33474</v>
      </c>
      <c r="W65" s="104">
        <f t="shared" si="33"/>
        <v>41918.740881960592</v>
      </c>
      <c r="X65" s="104">
        <f t="shared" si="33"/>
        <v>54925.723043445832</v>
      </c>
      <c r="Y65" s="104">
        <f t="shared" si="33"/>
        <v>69839.320004780413</v>
      </c>
      <c r="Z65" s="104">
        <f t="shared" si="33"/>
        <v>86637.902175518509</v>
      </c>
      <c r="AA65" s="104">
        <f t="shared" si="33"/>
        <v>104925.25050872457</v>
      </c>
      <c r="AB65" s="9"/>
      <c r="AC65" s="9"/>
      <c r="AD65" s="9"/>
      <c r="AE65" s="9"/>
    </row>
    <row r="66" spans="1:31" ht="13.5" customHeight="1" x14ac:dyDescent="0.25">
      <c r="A66" s="10"/>
      <c r="B66" s="9"/>
      <c r="C66" s="9"/>
      <c r="D66" s="9"/>
      <c r="E66" s="9"/>
      <c r="F66" s="9"/>
      <c r="G66" s="107"/>
      <c r="H66" s="107"/>
      <c r="I66" s="107"/>
      <c r="J66" s="108"/>
      <c r="K66" s="107"/>
      <c r="L66" s="107"/>
      <c r="M66" s="107"/>
      <c r="N66" s="109"/>
      <c r="O66" s="107"/>
      <c r="P66" s="107"/>
      <c r="Q66" s="107"/>
      <c r="R66" s="107"/>
      <c r="S66" s="9"/>
      <c r="T66" s="107"/>
      <c r="U66" s="107"/>
      <c r="V66" s="108"/>
      <c r="W66" s="107"/>
      <c r="X66" s="107"/>
      <c r="Y66" s="107"/>
      <c r="Z66" s="107"/>
      <c r="AA66" s="107"/>
      <c r="AB66" s="9"/>
      <c r="AC66" s="9"/>
      <c r="AD66" s="9"/>
      <c r="AE66" s="9"/>
    </row>
    <row r="67" spans="1:31" ht="13.5" customHeight="1" x14ac:dyDescent="0.25">
      <c r="A67" s="10"/>
      <c r="B67" s="9"/>
      <c r="C67" s="9" t="str">
        <f>Model!C153</f>
        <v>Noncontrolling Interests</v>
      </c>
      <c r="D67" s="9"/>
      <c r="E67" s="9"/>
      <c r="F67" s="9"/>
      <c r="G67" s="100">
        <f>Model!P153</f>
        <v>0</v>
      </c>
      <c r="H67" s="100">
        <f>Model!Q153</f>
        <v>0</v>
      </c>
      <c r="I67" s="100">
        <f>Model!R153</f>
        <v>0</v>
      </c>
      <c r="J67" s="101">
        <f>Model!S153</f>
        <v>0</v>
      </c>
      <c r="K67" s="100">
        <f>Model!U153</f>
        <v>0</v>
      </c>
      <c r="L67" s="100">
        <f>Model!V153</f>
        <v>0</v>
      </c>
      <c r="M67" s="100">
        <f>Model!W153</f>
        <v>0</v>
      </c>
      <c r="N67" s="102">
        <f>Model!X153</f>
        <v>0</v>
      </c>
      <c r="O67" s="100">
        <f>Model!Z153</f>
        <v>0</v>
      </c>
      <c r="P67" s="100">
        <f>Model!AA153</f>
        <v>0</v>
      </c>
      <c r="Q67" s="100">
        <f>Model!AB153</f>
        <v>0</v>
      </c>
      <c r="R67" s="100">
        <f>Model!AC153</f>
        <v>0</v>
      </c>
      <c r="S67" s="9"/>
      <c r="T67" s="100">
        <f>Model!J153</f>
        <v>0</v>
      </c>
      <c r="U67" s="100">
        <f>Model!O153</f>
        <v>0</v>
      </c>
      <c r="V67" s="101">
        <f>Model!T153</f>
        <v>0</v>
      </c>
      <c r="W67" s="100">
        <f>Model!Y153</f>
        <v>0</v>
      </c>
      <c r="X67" s="100">
        <f>Model!AD153</f>
        <v>0</v>
      </c>
      <c r="Y67" s="100">
        <f>Model!AE153</f>
        <v>0</v>
      </c>
      <c r="Z67" s="100">
        <f>Model!AF153</f>
        <v>0</v>
      </c>
      <c r="AA67" s="100">
        <f>Model!AG153</f>
        <v>0</v>
      </c>
      <c r="AB67" s="9"/>
      <c r="AC67" s="9"/>
      <c r="AD67" s="9"/>
      <c r="AE67" s="9"/>
    </row>
    <row r="68" spans="1:31" ht="13.5" customHeight="1" x14ac:dyDescent="0.25">
      <c r="A68" s="10"/>
      <c r="B68" s="9"/>
      <c r="C68" s="103" t="str">
        <f>Model!C154</f>
        <v>Total Equity</v>
      </c>
      <c r="D68" s="9"/>
      <c r="E68" s="9"/>
      <c r="F68" s="9"/>
      <c r="G68" s="104">
        <f t="shared" ref="G68:R68" si="34">SUM(G65,G67)</f>
        <v>31202</v>
      </c>
      <c r="H68" s="104">
        <f t="shared" si="34"/>
        <v>32311</v>
      </c>
      <c r="I68" s="104">
        <f t="shared" si="34"/>
        <v>32417</v>
      </c>
      <c r="J68" s="105">
        <f t="shared" si="34"/>
        <v>33474</v>
      </c>
      <c r="K68" s="104">
        <f t="shared" si="34"/>
        <v>33995</v>
      </c>
      <c r="L68" s="104">
        <f t="shared" si="34"/>
        <v>36353.472109863775</v>
      </c>
      <c r="M68" s="104">
        <f t="shared" si="34"/>
        <v>39024.163342098283</v>
      </c>
      <c r="N68" s="106">
        <f t="shared" si="34"/>
        <v>41918.740881960592</v>
      </c>
      <c r="O68" s="104">
        <f t="shared" si="34"/>
        <v>44776.587708577477</v>
      </c>
      <c r="P68" s="104">
        <f t="shared" si="34"/>
        <v>47896.164282286853</v>
      </c>
      <c r="Q68" s="104">
        <f t="shared" si="34"/>
        <v>51299.502665951091</v>
      </c>
      <c r="R68" s="104">
        <f t="shared" si="34"/>
        <v>54925.723043445832</v>
      </c>
      <c r="S68" s="9"/>
      <c r="T68" s="104">
        <f t="shared" ref="T68:AA68" si="35">SUM(T65,T67)</f>
        <v>28057</v>
      </c>
      <c r="U68" s="104">
        <f t="shared" si="35"/>
        <v>30264</v>
      </c>
      <c r="V68" s="105">
        <f t="shared" si="35"/>
        <v>33474</v>
      </c>
      <c r="W68" s="104">
        <f t="shared" si="35"/>
        <v>41918.740881960592</v>
      </c>
      <c r="X68" s="104">
        <f t="shared" si="35"/>
        <v>54925.723043445832</v>
      </c>
      <c r="Y68" s="104">
        <f t="shared" si="35"/>
        <v>69839.320004780413</v>
      </c>
      <c r="Z68" s="104">
        <f t="shared" si="35"/>
        <v>86637.902175518509</v>
      </c>
      <c r="AA68" s="104">
        <f t="shared" si="35"/>
        <v>104925.25050872457</v>
      </c>
      <c r="AB68" s="9"/>
      <c r="AC68" s="9"/>
      <c r="AD68" s="9"/>
      <c r="AE68" s="9"/>
    </row>
    <row r="69" spans="1:31" ht="13.5" customHeight="1" x14ac:dyDescent="0.25">
      <c r="A69" s="10"/>
      <c r="B69" s="9"/>
      <c r="C69" s="9"/>
      <c r="D69" s="9"/>
      <c r="E69" s="9"/>
      <c r="F69" s="9"/>
      <c r="G69" s="107"/>
      <c r="H69" s="107"/>
      <c r="I69" s="107"/>
      <c r="J69" s="108"/>
      <c r="K69" s="107"/>
      <c r="L69" s="107"/>
      <c r="M69" s="107"/>
      <c r="N69" s="109"/>
      <c r="O69" s="107"/>
      <c r="P69" s="107"/>
      <c r="Q69" s="107"/>
      <c r="R69" s="107"/>
      <c r="S69" s="9"/>
      <c r="T69" s="107"/>
      <c r="U69" s="107"/>
      <c r="V69" s="108"/>
      <c r="W69" s="107"/>
      <c r="X69" s="107"/>
      <c r="Y69" s="107"/>
      <c r="Z69" s="107"/>
      <c r="AA69" s="107"/>
      <c r="AB69" s="9"/>
      <c r="AC69" s="9"/>
      <c r="AD69" s="9"/>
      <c r="AE69" s="9"/>
    </row>
    <row r="70" spans="1:31" ht="13.5" customHeight="1" x14ac:dyDescent="0.25">
      <c r="A70" s="10"/>
      <c r="B70" s="9"/>
      <c r="C70" s="103" t="str">
        <f>Model!C156</f>
        <v>Total Liabilities &amp; Shareholder's Equity</v>
      </c>
      <c r="D70" s="9"/>
      <c r="E70" s="9"/>
      <c r="F70" s="9"/>
      <c r="G70" s="110">
        <f t="shared" ref="G70:R70" si="36">SUM(G59,G68)</f>
        <v>282244</v>
      </c>
      <c r="H70" s="110">
        <f t="shared" si="36"/>
        <v>295556</v>
      </c>
      <c r="I70" s="110">
        <f t="shared" si="36"/>
        <v>297550</v>
      </c>
      <c r="J70" s="111">
        <f t="shared" si="36"/>
        <v>300052</v>
      </c>
      <c r="K70" s="110">
        <f t="shared" si="36"/>
        <v>308894</v>
      </c>
      <c r="L70" s="110">
        <f t="shared" ca="1" si="36"/>
        <v>324124.24959986308</v>
      </c>
      <c r="M70" s="110">
        <f t="shared" ca="1" si="36"/>
        <v>331797.19958791457</v>
      </c>
      <c r="N70" s="112">
        <f t="shared" ca="1" si="36"/>
        <v>339572.73552307038</v>
      </c>
      <c r="O70" s="110">
        <f t="shared" ca="1" si="36"/>
        <v>345864.0904982806</v>
      </c>
      <c r="P70" s="110">
        <f t="shared" ca="1" si="36"/>
        <v>361580.04096899478</v>
      </c>
      <c r="Q70" s="110">
        <f t="shared" ca="1" si="36"/>
        <v>368040.37289595173</v>
      </c>
      <c r="R70" s="110">
        <f t="shared" ca="1" si="36"/>
        <v>375650.2195547577</v>
      </c>
      <c r="S70" s="113"/>
      <c r="T70" s="110">
        <f t="shared" ref="T70:AA70" si="37">SUM(T59,T68)</f>
        <v>261108</v>
      </c>
      <c r="U70" s="110">
        <f t="shared" si="37"/>
        <v>271461</v>
      </c>
      <c r="V70" s="111">
        <f t="shared" si="37"/>
        <v>300052</v>
      </c>
      <c r="W70" s="110">
        <f t="shared" ca="1" si="37"/>
        <v>339572.73552307038</v>
      </c>
      <c r="X70" s="110">
        <f t="shared" ca="1" si="37"/>
        <v>375650.2195547577</v>
      </c>
      <c r="Y70" s="110">
        <f t="shared" ca="1" si="37"/>
        <v>400998.53642741474</v>
      </c>
      <c r="Z70" s="110">
        <f t="shared" ca="1" si="37"/>
        <v>438435.08134695957</v>
      </c>
      <c r="AA70" s="110">
        <f t="shared" ca="1" si="37"/>
        <v>475528.31689366873</v>
      </c>
      <c r="AB70" s="9"/>
      <c r="AC70" s="9"/>
      <c r="AD70" s="9"/>
      <c r="AE70" s="9"/>
    </row>
    <row r="71" spans="1:31" ht="4.5" customHeight="1" x14ac:dyDescent="0.25">
      <c r="A71" s="10"/>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row>
    <row r="72" spans="1:31" ht="13.5" customHeight="1" x14ac:dyDescent="0.25">
      <c r="A72" s="10"/>
      <c r="B72" s="9"/>
      <c r="C72" s="76"/>
      <c r="D72" s="76"/>
      <c r="E72" s="76"/>
      <c r="F72" s="76"/>
      <c r="G72" s="953" t="str">
        <f>G$5</f>
        <v>Quarterly</v>
      </c>
      <c r="H72" s="954"/>
      <c r="I72" s="954"/>
      <c r="J72" s="954"/>
      <c r="K72" s="954"/>
      <c r="L72" s="954"/>
      <c r="M72" s="954"/>
      <c r="N72" s="954"/>
      <c r="O72" s="954"/>
      <c r="P72" s="954"/>
      <c r="Q72" s="954"/>
      <c r="R72" s="954"/>
      <c r="S72" s="955"/>
      <c r="T72" s="956" t="str">
        <f>T$31</f>
        <v>Annuals</v>
      </c>
      <c r="U72" s="957"/>
      <c r="V72" s="957"/>
      <c r="W72" s="957"/>
      <c r="X72" s="957"/>
      <c r="Y72" s="957"/>
      <c r="Z72" s="957"/>
      <c r="AA72" s="958"/>
      <c r="AB72" s="9"/>
      <c r="AC72" s="9"/>
      <c r="AD72" s="9"/>
      <c r="AE72" s="9"/>
    </row>
    <row r="73" spans="1:31" ht="13.5" customHeight="1" x14ac:dyDescent="0.25">
      <c r="A73" s="10" t="s">
        <v>0</v>
      </c>
      <c r="B73" s="9"/>
      <c r="C73" s="76" t="s">
        <v>105</v>
      </c>
      <c r="D73" s="76"/>
      <c r="E73" s="76"/>
      <c r="F73" s="76"/>
      <c r="G73" s="78" t="str">
        <f t="shared" ref="G73:R73" si="38">G$6</f>
        <v>1Q25</v>
      </c>
      <c r="H73" s="78" t="str">
        <f t="shared" si="38"/>
        <v>2Q25</v>
      </c>
      <c r="I73" s="78" t="str">
        <f t="shared" si="38"/>
        <v>3Q25</v>
      </c>
      <c r="J73" s="78" t="str">
        <f t="shared" si="38"/>
        <v>4Q25</v>
      </c>
      <c r="K73" s="78" t="str">
        <f t="shared" si="38"/>
        <v>1Q26</v>
      </c>
      <c r="L73" s="78" t="str">
        <f t="shared" si="38"/>
        <v>2Q26e</v>
      </c>
      <c r="M73" s="78" t="str">
        <f t="shared" si="38"/>
        <v>3Q26e</v>
      </c>
      <c r="N73" s="78" t="str">
        <f t="shared" si="38"/>
        <v>4Q26e</v>
      </c>
      <c r="O73" s="78" t="str">
        <f t="shared" si="38"/>
        <v>1Q27e</v>
      </c>
      <c r="P73" s="78" t="str">
        <f t="shared" si="38"/>
        <v>2Q27e</v>
      </c>
      <c r="Q73" s="78" t="str">
        <f t="shared" si="38"/>
        <v>3Q27e</v>
      </c>
      <c r="R73" s="78" t="str">
        <f t="shared" si="38"/>
        <v>4Q27e</v>
      </c>
      <c r="S73" s="78"/>
      <c r="T73" s="78">
        <f t="shared" ref="T73:AA73" si="39">T$6</f>
        <v>2023</v>
      </c>
      <c r="U73" s="78">
        <f t="shared" si="39"/>
        <v>2024</v>
      </c>
      <c r="V73" s="78">
        <f t="shared" si="39"/>
        <v>2025</v>
      </c>
      <c r="W73" s="78" t="str">
        <f t="shared" si="39"/>
        <v>2026e</v>
      </c>
      <c r="X73" s="78" t="str">
        <f t="shared" si="39"/>
        <v>2027e</v>
      </c>
      <c r="Y73" s="78" t="str">
        <f t="shared" si="39"/>
        <v>2028e</v>
      </c>
      <c r="Z73" s="78" t="str">
        <f t="shared" si="39"/>
        <v>2029e</v>
      </c>
      <c r="AA73" s="78" t="str">
        <f t="shared" si="39"/>
        <v>2030e</v>
      </c>
      <c r="AB73" s="9"/>
      <c r="AC73" s="9"/>
      <c r="AD73" s="9"/>
      <c r="AE73" s="9"/>
    </row>
    <row r="74" spans="1:31" ht="4.5" customHeight="1" x14ac:dyDescent="0.25">
      <c r="A74" s="10"/>
      <c r="B74" s="9"/>
      <c r="C74" s="37"/>
      <c r="D74" s="37"/>
      <c r="E74" s="37"/>
      <c r="F74" s="37"/>
      <c r="G74" s="115"/>
      <c r="H74" s="115"/>
      <c r="I74" s="115"/>
      <c r="J74" s="115"/>
      <c r="K74" s="115"/>
      <c r="L74" s="115"/>
      <c r="M74" s="115"/>
      <c r="N74" s="116"/>
      <c r="O74" s="116"/>
      <c r="P74" s="116"/>
      <c r="Q74" s="116"/>
      <c r="R74" s="116"/>
      <c r="S74" s="9"/>
      <c r="T74" s="9"/>
      <c r="U74" s="9"/>
      <c r="V74" s="9"/>
      <c r="W74" s="9"/>
      <c r="X74" s="9"/>
      <c r="Y74" s="9"/>
      <c r="Z74" s="9"/>
      <c r="AA74" s="9"/>
      <c r="AB74" s="9"/>
      <c r="AC74" s="9"/>
      <c r="AD74" s="9"/>
      <c r="AE74" s="9"/>
    </row>
    <row r="75" spans="1:31" ht="13.5" customHeight="1" x14ac:dyDescent="0.25">
      <c r="A75" s="10"/>
      <c r="B75" s="9"/>
      <c r="C75" s="95" t="s">
        <v>106</v>
      </c>
      <c r="D75" s="95"/>
      <c r="E75" s="95"/>
      <c r="F75" s="9"/>
      <c r="G75" s="9"/>
      <c r="H75" s="9"/>
      <c r="I75" s="9"/>
      <c r="J75" s="88"/>
      <c r="K75" s="9"/>
      <c r="L75" s="9"/>
      <c r="M75" s="9"/>
      <c r="N75" s="89"/>
      <c r="O75" s="9"/>
      <c r="P75" s="9"/>
      <c r="Q75" s="9"/>
      <c r="R75" s="9"/>
      <c r="S75" s="9"/>
      <c r="T75" s="9"/>
      <c r="U75" s="9"/>
      <c r="V75" s="88"/>
      <c r="W75" s="9"/>
      <c r="X75" s="9"/>
      <c r="Y75" s="9"/>
      <c r="Z75" s="9"/>
      <c r="AA75" s="9"/>
      <c r="AB75" s="9"/>
      <c r="AC75" s="9"/>
      <c r="AD75" s="9"/>
      <c r="AE75" s="9"/>
    </row>
    <row r="76" spans="1:31" ht="13.5" customHeight="1" x14ac:dyDescent="0.25">
      <c r="A76" s="10"/>
      <c r="B76" s="9"/>
      <c r="C76" s="103" t="s">
        <v>107</v>
      </c>
      <c r="D76" s="9"/>
      <c r="E76" s="9"/>
      <c r="F76" s="9"/>
      <c r="G76" s="117">
        <f t="shared" ref="G76:R76" si="40">G12</f>
        <v>0.83541963766967731</v>
      </c>
      <c r="H76" s="117">
        <f t="shared" si="40"/>
        <v>0.82531480459539452</v>
      </c>
      <c r="I76" s="117">
        <f t="shared" si="40"/>
        <v>0.8337306027144038</v>
      </c>
      <c r="J76" s="118">
        <f t="shared" si="40"/>
        <v>0.83488593155893531</v>
      </c>
      <c r="K76" s="117">
        <f t="shared" si="40"/>
        <v>0.84559386973180073</v>
      </c>
      <c r="L76" s="117">
        <f t="shared" si="40"/>
        <v>0.83992124340685659</v>
      </c>
      <c r="M76" s="117">
        <f t="shared" si="40"/>
        <v>0.85147583119580239</v>
      </c>
      <c r="N76" s="119">
        <f t="shared" si="40"/>
        <v>0.85100306722992325</v>
      </c>
      <c r="O76" s="117">
        <f t="shared" si="40"/>
        <v>0.86287661368690993</v>
      </c>
      <c r="P76" s="117">
        <f t="shared" si="40"/>
        <v>0.86333435015361315</v>
      </c>
      <c r="Q76" s="117">
        <f t="shared" si="40"/>
        <v>0.86384892577261541</v>
      </c>
      <c r="R76" s="117">
        <f t="shared" si="40"/>
        <v>0.86864938570069639</v>
      </c>
      <c r="S76" s="9"/>
      <c r="T76" s="117">
        <f t="shared" ref="T76:AA76" si="41">T12</f>
        <v>0.82524790689388994</v>
      </c>
      <c r="U76" s="117">
        <f t="shared" si="41"/>
        <v>0.8189107963504535</v>
      </c>
      <c r="V76" s="118">
        <f t="shared" si="41"/>
        <v>0.8323453015671799</v>
      </c>
      <c r="W76" s="117">
        <f t="shared" si="41"/>
        <v>0.84710571255374201</v>
      </c>
      <c r="X76" s="117">
        <f t="shared" si="41"/>
        <v>0.86475448261737764</v>
      </c>
      <c r="Y76" s="117">
        <f t="shared" si="41"/>
        <v>0.87447604978061744</v>
      </c>
      <c r="Z76" s="117">
        <f t="shared" si="41"/>
        <v>0.87787643098249069</v>
      </c>
      <c r="AA76" s="117">
        <f t="shared" si="41"/>
        <v>0.88050126609720147</v>
      </c>
      <c r="AB76" s="9"/>
      <c r="AC76" s="9"/>
      <c r="AD76" s="9"/>
      <c r="AE76" s="9"/>
    </row>
    <row r="77" spans="1:31" ht="13.5" customHeight="1" x14ac:dyDescent="0.25">
      <c r="A77" s="10"/>
      <c r="B77" s="9"/>
      <c r="C77" s="103" t="s">
        <v>108</v>
      </c>
      <c r="D77" s="9"/>
      <c r="E77" s="9"/>
      <c r="F77" s="9"/>
      <c r="G77" s="117">
        <f t="shared" ref="G77:R77" si="42">G28</f>
        <v>0.19934769978344688</v>
      </c>
      <c r="H77" s="117">
        <f t="shared" si="42"/>
        <v>0.20038378568203483</v>
      </c>
      <c r="I77" s="117">
        <f t="shared" si="42"/>
        <v>0.2076786496084059</v>
      </c>
      <c r="J77" s="118">
        <f t="shared" si="42"/>
        <v>0.16797766159695818</v>
      </c>
      <c r="K77" s="117">
        <f t="shared" si="42"/>
        <v>0.20335249042145595</v>
      </c>
      <c r="L77" s="117">
        <f t="shared" si="42"/>
        <v>0.19910533083707729</v>
      </c>
      <c r="M77" s="117">
        <f t="shared" si="42"/>
        <v>0.21117831405805151</v>
      </c>
      <c r="N77" s="119">
        <f t="shared" si="42"/>
        <v>0.21583786215765938</v>
      </c>
      <c r="O77" s="117">
        <f t="shared" si="42"/>
        <v>0.21979109300058716</v>
      </c>
      <c r="P77" s="117">
        <f t="shared" si="42"/>
        <v>0.22330925505624319</v>
      </c>
      <c r="Q77" s="117">
        <f t="shared" si="42"/>
        <v>0.23233936481387824</v>
      </c>
      <c r="R77" s="117">
        <f t="shared" si="42"/>
        <v>0.2343044501235077</v>
      </c>
      <c r="S77" s="9"/>
      <c r="T77" s="117">
        <f t="shared" ref="T77:AA77" si="43">T28</f>
        <v>0.18057122498663974</v>
      </c>
      <c r="U77" s="117">
        <f t="shared" si="43"/>
        <v>0.19637201654964218</v>
      </c>
      <c r="V77" s="118">
        <f t="shared" si="43"/>
        <v>0.1935299454407616</v>
      </c>
      <c r="W77" s="117">
        <f t="shared" si="43"/>
        <v>0.2075671293475092</v>
      </c>
      <c r="X77" s="117">
        <f t="shared" si="43"/>
        <v>0.22765646392338629</v>
      </c>
      <c r="Y77" s="117">
        <f t="shared" si="43"/>
        <v>0.23995514965794679</v>
      </c>
      <c r="Z77" s="117">
        <f t="shared" si="43"/>
        <v>0.24331402127130586</v>
      </c>
      <c r="AA77" s="117">
        <f t="shared" si="43"/>
        <v>0.24702293143349346</v>
      </c>
      <c r="AB77" s="9"/>
      <c r="AC77" s="9"/>
      <c r="AD77" s="9"/>
      <c r="AE77" s="9"/>
    </row>
    <row r="78" spans="1:31" ht="13.5" customHeight="1" x14ac:dyDescent="0.25">
      <c r="A78" s="10"/>
      <c r="B78" s="9"/>
      <c r="C78" s="103" t="s">
        <v>109</v>
      </c>
      <c r="D78" s="9"/>
      <c r="E78" s="9"/>
      <c r="F78" s="9"/>
      <c r="G78" s="117">
        <f t="shared" ref="G78:R78" si="44">G16</f>
        <v>0.17588337822848993</v>
      </c>
      <c r="H78" s="117">
        <f t="shared" si="44"/>
        <v>0.17809662368935936</v>
      </c>
      <c r="I78" s="117">
        <f t="shared" si="44"/>
        <v>0.18606800603200857</v>
      </c>
      <c r="J78" s="118">
        <f t="shared" si="44"/>
        <v>0.14686311787072243</v>
      </c>
      <c r="K78" s="117">
        <f t="shared" si="44"/>
        <v>0.18093869731800766</v>
      </c>
      <c r="L78" s="117">
        <f t="shared" si="44"/>
        <v>0.17292124340685652</v>
      </c>
      <c r="M78" s="117">
        <f t="shared" si="44"/>
        <v>0.18547583119580241</v>
      </c>
      <c r="N78" s="119">
        <f t="shared" si="44"/>
        <v>0.19100306722992322</v>
      </c>
      <c r="O78" s="117">
        <f t="shared" si="44"/>
        <v>0.19487661368690992</v>
      </c>
      <c r="P78" s="117">
        <f t="shared" si="44"/>
        <v>0.19933435015361312</v>
      </c>
      <c r="Q78" s="117">
        <f t="shared" si="44"/>
        <v>0.20884892577261549</v>
      </c>
      <c r="R78" s="117">
        <f t="shared" si="44"/>
        <v>0.21164938570069633</v>
      </c>
      <c r="S78" s="9"/>
      <c r="T78" s="117">
        <f t="shared" ref="T78:AA78" si="45">T16</f>
        <v>0.15606258535716405</v>
      </c>
      <c r="U78" s="117">
        <f t="shared" si="45"/>
        <v>0.17378471988248137</v>
      </c>
      <c r="V78" s="118">
        <f t="shared" si="45"/>
        <v>0.1714452605545406</v>
      </c>
      <c r="W78" s="117">
        <f t="shared" si="45"/>
        <v>0.18275347626959298</v>
      </c>
      <c r="X78" s="117">
        <f t="shared" si="45"/>
        <v>0.20392927922726287</v>
      </c>
      <c r="Y78" s="117">
        <f t="shared" si="45"/>
        <v>0.21747604978061744</v>
      </c>
      <c r="Z78" s="117">
        <f t="shared" si="45"/>
        <v>0.2223764309824906</v>
      </c>
      <c r="AA78" s="117">
        <f t="shared" si="45"/>
        <v>0.22550126609720156</v>
      </c>
      <c r="AB78" s="9"/>
      <c r="AC78" s="9"/>
      <c r="AD78" s="9"/>
      <c r="AE78" s="9"/>
    </row>
    <row r="79" spans="1:31" ht="13.5" customHeight="1" x14ac:dyDescent="0.25">
      <c r="A79" s="10"/>
      <c r="B79" s="9"/>
      <c r="C79" s="103" t="s">
        <v>110</v>
      </c>
      <c r="D79" s="9"/>
      <c r="E79" s="9"/>
      <c r="F79" s="9"/>
      <c r="G79" s="117">
        <f t="shared" ref="G79:R79" si="46">G20</f>
        <v>0.1364812760788042</v>
      </c>
      <c r="H79" s="117">
        <f t="shared" si="46"/>
        <v>0.14473486178698641</v>
      </c>
      <c r="I79" s="117">
        <f t="shared" si="46"/>
        <v>0.14116845843265069</v>
      </c>
      <c r="J79" s="118">
        <f t="shared" si="46"/>
        <v>0.11701520912547529</v>
      </c>
      <c r="K79" s="117">
        <f t="shared" si="46"/>
        <v>0.14228927203065134</v>
      </c>
      <c r="L79" s="117">
        <f t="shared" si="46"/>
        <v>0.13591609731778923</v>
      </c>
      <c r="M79" s="117">
        <f t="shared" si="46"/>
        <v>0.14578400331990071</v>
      </c>
      <c r="N79" s="119">
        <f t="shared" si="46"/>
        <v>0.15012841084271966</v>
      </c>
      <c r="O79" s="117">
        <f t="shared" si="46"/>
        <v>0.15297814174422428</v>
      </c>
      <c r="P79" s="117">
        <f t="shared" si="46"/>
        <v>0.15647746487058628</v>
      </c>
      <c r="Q79" s="117">
        <f t="shared" si="46"/>
        <v>0.16394640673150315</v>
      </c>
      <c r="R79" s="117">
        <f t="shared" si="46"/>
        <v>0.16614476777504661</v>
      </c>
      <c r="S79" s="9"/>
      <c r="T79" s="117">
        <f t="shared" ref="T79:AA79" si="47">T20</f>
        <v>0.12430972032539635</v>
      </c>
      <c r="U79" s="117">
        <f t="shared" si="47"/>
        <v>0.13650759423727443</v>
      </c>
      <c r="V79" s="118">
        <f t="shared" si="47"/>
        <v>0.13463330971999551</v>
      </c>
      <c r="W79" s="117">
        <f t="shared" si="47"/>
        <v>0.14366117591039704</v>
      </c>
      <c r="X79" s="117">
        <f t="shared" si="47"/>
        <v>0.16008448419340138</v>
      </c>
      <c r="Y79" s="117">
        <f t="shared" si="47"/>
        <v>0.17050122302800405</v>
      </c>
      <c r="Z79" s="117">
        <f t="shared" si="47"/>
        <v>0.17456549832125512</v>
      </c>
      <c r="AA79" s="117">
        <f t="shared" si="47"/>
        <v>0.17724399515240041</v>
      </c>
      <c r="AB79" s="9"/>
      <c r="AC79" s="9"/>
      <c r="AD79" s="9"/>
      <c r="AE79" s="9"/>
    </row>
    <row r="80" spans="1:31" ht="13.5" customHeight="1" x14ac:dyDescent="0.25">
      <c r="A80" s="10"/>
      <c r="B80" s="9"/>
      <c r="C80" s="103" t="s">
        <v>111</v>
      </c>
      <c r="D80" s="9"/>
      <c r="E80" s="9"/>
      <c r="F80" s="9"/>
      <c r="G80" s="117">
        <f t="shared" ref="G80:R80" si="48">G19/G46</f>
        <v>9.1551990476325448E-3</v>
      </c>
      <c r="H80" s="117">
        <f t="shared" si="48"/>
        <v>9.7612635168969671E-3</v>
      </c>
      <c r="I80" s="117">
        <f t="shared" si="48"/>
        <v>9.7529826919845412E-3</v>
      </c>
      <c r="J80" s="118">
        <f t="shared" si="48"/>
        <v>8.2052444242997884E-3</v>
      </c>
      <c r="K80" s="117">
        <f t="shared" si="48"/>
        <v>9.6181861738978414E-3</v>
      </c>
      <c r="L80" s="117">
        <f t="shared" ca="1" si="48"/>
        <v>9.6129496603052714E-3</v>
      </c>
      <c r="M80" s="117">
        <f t="shared" ca="1" si="48"/>
        <v>1.0322805375274774E-2</v>
      </c>
      <c r="N80" s="119">
        <f t="shared" ca="1" si="48"/>
        <v>1.0749255823025335E-2</v>
      </c>
      <c r="O80" s="117">
        <f t="shared" ca="1" si="48"/>
        <v>1.0700298876418103E-2</v>
      </c>
      <c r="P80" s="117">
        <f t="shared" ca="1" si="48"/>
        <v>1.0950064395702978E-2</v>
      </c>
      <c r="Q80" s="117">
        <f t="shared" ca="1" si="48"/>
        <v>1.1537762858780045E-2</v>
      </c>
      <c r="R80" s="117">
        <f t="shared" ca="1" si="48"/>
        <v>1.1889782159707298E-2</v>
      </c>
      <c r="S80" s="9"/>
      <c r="T80" s="117">
        <f t="shared" ref="T80:AA80" si="49">T19/T46</f>
        <v>3.2071020420668839E-2</v>
      </c>
      <c r="U80" s="117">
        <f t="shared" si="49"/>
        <v>3.7312910510165366E-2</v>
      </c>
      <c r="V80" s="118">
        <f t="shared" si="49"/>
        <v>3.6103742018050201E-2</v>
      </c>
      <c r="W80" s="117">
        <f t="shared" ca="1" si="49"/>
        <v>3.8419882953237249E-2</v>
      </c>
      <c r="X80" s="117">
        <f t="shared" ca="1" si="49"/>
        <v>4.3585587983556724E-2</v>
      </c>
      <c r="Y80" s="117">
        <f t="shared" ca="1" si="49"/>
        <v>4.6545301739058083E-2</v>
      </c>
      <c r="Z80" s="117">
        <f t="shared" ca="1" si="49"/>
        <v>4.6591536773484418E-2</v>
      </c>
      <c r="AA80" s="117">
        <f t="shared" ca="1" si="49"/>
        <v>4.6267880833774845E-2</v>
      </c>
      <c r="AB80" s="9"/>
      <c r="AC80" s="9"/>
      <c r="AD80" s="9"/>
      <c r="AE80" s="9"/>
    </row>
    <row r="81" spans="1:31" ht="13.5" customHeight="1" x14ac:dyDescent="0.25">
      <c r="A81" s="10"/>
      <c r="B81" s="9"/>
      <c r="C81" s="103" t="s">
        <v>112</v>
      </c>
      <c r="D81" s="9"/>
      <c r="E81" s="9"/>
      <c r="F81" s="9"/>
      <c r="G81" s="117">
        <f t="shared" ref="G81:R81" si="50">G19*4/G68</f>
        <v>0.33126081661431961</v>
      </c>
      <c r="H81" s="117">
        <f t="shared" si="50"/>
        <v>0.3571539104329795</v>
      </c>
      <c r="I81" s="117">
        <f t="shared" si="50"/>
        <v>0.35808372150414908</v>
      </c>
      <c r="J81" s="118">
        <f t="shared" si="50"/>
        <v>0.29419848240425406</v>
      </c>
      <c r="K81" s="117">
        <f t="shared" si="50"/>
        <v>0.34958082070892776</v>
      </c>
      <c r="L81" s="117">
        <f t="shared" si="50"/>
        <v>0.32495916325798951</v>
      </c>
      <c r="M81" s="117">
        <f t="shared" si="50"/>
        <v>0.33357797008681905</v>
      </c>
      <c r="N81" s="119">
        <f t="shared" si="50"/>
        <v>0.33127230518644407</v>
      </c>
      <c r="O81" s="117">
        <f t="shared" si="50"/>
        <v>0.31516979951409457</v>
      </c>
      <c r="P81" s="117">
        <f t="shared" si="50"/>
        <v>0.3152533472513378</v>
      </c>
      <c r="Q81" s="117">
        <f t="shared" si="50"/>
        <v>0.3158057011985913</v>
      </c>
      <c r="R81" s="117">
        <f t="shared" si="50"/>
        <v>0.31046142606557803</v>
      </c>
      <c r="S81" s="9"/>
      <c r="T81" s="117">
        <f t="shared" ref="T81:AA81" si="51">T19/T68</f>
        <v>0.29846384146558791</v>
      </c>
      <c r="U81" s="117">
        <f t="shared" si="51"/>
        <v>0.33468807824477925</v>
      </c>
      <c r="V81" s="118">
        <f t="shared" si="51"/>
        <v>0.32362430543108084</v>
      </c>
      <c r="W81" s="117">
        <f t="shared" si="51"/>
        <v>0.30178335470110629</v>
      </c>
      <c r="X81" s="117">
        <f t="shared" si="51"/>
        <v>0.28431418165597172</v>
      </c>
      <c r="Y81" s="117">
        <f t="shared" si="51"/>
        <v>0.25545869662928367</v>
      </c>
      <c r="Z81" s="117">
        <f t="shared" si="51"/>
        <v>0.22559627560385126</v>
      </c>
      <c r="AA81" s="117">
        <f t="shared" si="51"/>
        <v>0.20074983284650558</v>
      </c>
      <c r="AB81" s="9"/>
      <c r="AC81" s="9"/>
      <c r="AD81" s="9"/>
      <c r="AE81" s="9"/>
    </row>
    <row r="82" spans="1:31" ht="13.5" customHeight="1" x14ac:dyDescent="0.25">
      <c r="A82" s="10"/>
      <c r="B82" s="9"/>
      <c r="C82" s="103" t="s">
        <v>113</v>
      </c>
      <c r="D82" s="9"/>
      <c r="E82" s="9"/>
      <c r="F82" s="9"/>
      <c r="G82" s="117">
        <f t="shared" ref="G82:S82" si="52">G19*4/(G53+G54+G68)</f>
        <v>0.12305201376239627</v>
      </c>
      <c r="H82" s="117">
        <f t="shared" si="52"/>
        <v>0.12542660261287308</v>
      </c>
      <c r="I82" s="117">
        <f t="shared" si="52"/>
        <v>0.12665575559192579</v>
      </c>
      <c r="J82" s="118">
        <f t="shared" si="52"/>
        <v>0.10794458084882497</v>
      </c>
      <c r="K82" s="117">
        <f t="shared" si="52"/>
        <v>0.12584050742823258</v>
      </c>
      <c r="L82" s="117">
        <f t="shared" ca="1" si="52"/>
        <v>0.12617628917122611</v>
      </c>
      <c r="M82" s="117">
        <f t="shared" ca="1" si="52"/>
        <v>0.13112723627823303</v>
      </c>
      <c r="N82" s="119">
        <f t="shared" ca="1" si="52"/>
        <v>0.13916804844911684</v>
      </c>
      <c r="O82" s="117">
        <f t="shared" ca="1" si="52"/>
        <v>0.13580124054988341</v>
      </c>
      <c r="P82" s="117">
        <f t="shared" ca="1" si="52"/>
        <v>0.13692601282638933</v>
      </c>
      <c r="Q82" s="117">
        <f t="shared" ca="1" si="52"/>
        <v>0.14260241872817583</v>
      </c>
      <c r="R82" s="117">
        <f t="shared" ca="1" si="52"/>
        <v>0.14977602214797586</v>
      </c>
      <c r="S82" s="117" t="e">
        <f t="shared" si="52"/>
        <v>#DIV/0!</v>
      </c>
      <c r="T82" s="117">
        <f t="shared" ref="T82:AA82" si="53">T19/(T53+T54+T68)</f>
        <v>0.10844902610857854</v>
      </c>
      <c r="U82" s="117">
        <f t="shared" si="53"/>
        <v>0.12450677909849668</v>
      </c>
      <c r="V82" s="118">
        <f t="shared" si="53"/>
        <v>0.11874123114696598</v>
      </c>
      <c r="W82" s="117">
        <f t="shared" ca="1" si="53"/>
        <v>0.12435326268801832</v>
      </c>
      <c r="X82" s="117">
        <f t="shared" ca="1" si="53"/>
        <v>0.13726231278821113</v>
      </c>
      <c r="Y82" s="117">
        <f t="shared" ca="1" si="53"/>
        <v>0.13487789299831945</v>
      </c>
      <c r="Z82" s="117">
        <f t="shared" ca="1" si="53"/>
        <v>0.12800751524686835</v>
      </c>
      <c r="AA82" s="117">
        <f t="shared" ca="1" si="53"/>
        <v>0.12083520112299651</v>
      </c>
      <c r="AB82" s="9"/>
      <c r="AC82" s="9"/>
      <c r="AD82" s="9"/>
      <c r="AE82" s="9"/>
    </row>
    <row r="83" spans="1:31" ht="13.5" customHeight="1" x14ac:dyDescent="0.25">
      <c r="A83" s="10"/>
      <c r="B83" s="9"/>
      <c r="C83" s="9"/>
      <c r="D83" s="9"/>
      <c r="E83" s="9"/>
      <c r="F83" s="9"/>
      <c r="G83" s="9"/>
      <c r="H83" s="9"/>
      <c r="I83" s="9"/>
      <c r="J83" s="88"/>
      <c r="K83" s="9"/>
      <c r="L83" s="9"/>
      <c r="M83" s="9"/>
      <c r="N83" s="89"/>
      <c r="O83" s="9"/>
      <c r="P83" s="9"/>
      <c r="Q83" s="9"/>
      <c r="R83" s="9"/>
      <c r="S83" s="9"/>
      <c r="T83" s="9"/>
      <c r="U83" s="9"/>
      <c r="V83" s="88"/>
      <c r="W83" s="9"/>
      <c r="X83" s="9"/>
      <c r="Y83" s="9"/>
      <c r="Z83" s="9"/>
      <c r="AA83" s="9"/>
      <c r="AB83" s="9"/>
      <c r="AC83" s="9"/>
      <c r="AD83" s="9"/>
      <c r="AE83" s="9"/>
    </row>
    <row r="84" spans="1:31" ht="13.5" customHeight="1" x14ac:dyDescent="0.25">
      <c r="A84" s="10"/>
      <c r="B84" s="9"/>
      <c r="C84" s="95" t="s">
        <v>114</v>
      </c>
      <c r="D84" s="95"/>
      <c r="E84" s="95"/>
      <c r="F84" s="9"/>
      <c r="G84" s="9"/>
      <c r="H84" s="9"/>
      <c r="I84" s="9"/>
      <c r="J84" s="88"/>
      <c r="K84" s="9"/>
      <c r="L84" s="9"/>
      <c r="M84" s="9"/>
      <c r="N84" s="89"/>
      <c r="O84" s="9"/>
      <c r="P84" s="9"/>
      <c r="Q84" s="9"/>
      <c r="R84" s="9"/>
      <c r="S84" s="9"/>
      <c r="T84" s="9"/>
      <c r="U84" s="9"/>
      <c r="V84" s="88"/>
      <c r="W84" s="9"/>
      <c r="X84" s="9"/>
      <c r="Y84" s="9"/>
      <c r="Z84" s="9"/>
      <c r="AA84" s="9"/>
      <c r="AB84" s="9"/>
      <c r="AC84" s="9"/>
      <c r="AD84" s="9"/>
      <c r="AE84" s="9"/>
    </row>
    <row r="85" spans="1:31" ht="13.5" customHeight="1" x14ac:dyDescent="0.25">
      <c r="A85" s="10"/>
      <c r="B85" s="9"/>
      <c r="C85" s="103" t="s">
        <v>115</v>
      </c>
      <c r="D85" s="9"/>
      <c r="E85" s="9"/>
      <c r="F85" s="9"/>
      <c r="G85" s="80" t="e">
        <f>-Model!#REF!</f>
        <v>#REF!</v>
      </c>
      <c r="H85" s="80" t="e">
        <f>-Model!#REF!</f>
        <v>#REF!</v>
      </c>
      <c r="I85" s="80" t="e">
        <f>-Model!#REF!</f>
        <v>#REF!</v>
      </c>
      <c r="J85" s="81" t="e">
        <f>-Model!#REF!</f>
        <v>#REF!</v>
      </c>
      <c r="K85" s="80" t="e">
        <f>-Model!#REF!</f>
        <v>#REF!</v>
      </c>
      <c r="L85" s="80" t="e">
        <f>-Model!#REF!</f>
        <v>#REF!</v>
      </c>
      <c r="M85" s="80" t="e">
        <f>-Model!#REF!</f>
        <v>#REF!</v>
      </c>
      <c r="N85" s="82" t="e">
        <f>-Model!#REF!</f>
        <v>#REF!</v>
      </c>
      <c r="O85" s="80" t="e">
        <f>-Model!#REF!</f>
        <v>#REF!</v>
      </c>
      <c r="P85" s="80" t="e">
        <f>-Model!#REF!</f>
        <v>#REF!</v>
      </c>
      <c r="Q85" s="80" t="e">
        <f>-Model!#REF!</f>
        <v>#REF!</v>
      </c>
      <c r="R85" s="80" t="e">
        <f>-Model!#REF!</f>
        <v>#REF!</v>
      </c>
      <c r="S85" s="9"/>
      <c r="T85" s="80">
        <f>-Model!J29</f>
        <v>6849</v>
      </c>
      <c r="U85" s="80">
        <f>-Model!O29</f>
        <v>8252</v>
      </c>
      <c r="V85" s="81">
        <f>-Model!T29</f>
        <v>8234</v>
      </c>
      <c r="W85" s="80">
        <f>-Model!Y29</f>
        <v>7891.1521039999998</v>
      </c>
      <c r="X85" s="80">
        <f>-Model!AD29</f>
        <v>6947.2616636001312</v>
      </c>
      <c r="Y85" s="80">
        <f>-Model!AE29</f>
        <v>6542.4378277107453</v>
      </c>
      <c r="Z85" s="80">
        <f>-Model!AF29</f>
        <v>6619.7575474927817</v>
      </c>
      <c r="AA85" s="80">
        <f>-Model!AG29</f>
        <v>6714.3255124569641</v>
      </c>
      <c r="AB85" s="9"/>
      <c r="AC85" s="9"/>
      <c r="AD85" s="9"/>
      <c r="AE85" s="9"/>
    </row>
    <row r="86" spans="1:31" ht="13.5" customHeight="1" x14ac:dyDescent="0.25">
      <c r="A86" s="10"/>
      <c r="B86" s="9"/>
      <c r="C86" s="103" t="s">
        <v>116</v>
      </c>
      <c r="D86" s="9"/>
      <c r="E86" s="9"/>
      <c r="F86" s="9"/>
      <c r="G86" s="100">
        <f>Model!P193</f>
        <v>430</v>
      </c>
      <c r="H86" s="100">
        <f>Model!Q193</f>
        <v>619</v>
      </c>
      <c r="I86" s="100">
        <f>Model!R193</f>
        <v>654</v>
      </c>
      <c r="J86" s="101">
        <f>Model!S193</f>
        <v>722</v>
      </c>
      <c r="K86" s="100">
        <f>Model!U193</f>
        <v>1149</v>
      </c>
      <c r="L86" s="100">
        <f>Model!V193</f>
        <v>630.14688700000011</v>
      </c>
      <c r="M86" s="100">
        <f>Model!W193</f>
        <v>580.40941269999996</v>
      </c>
      <c r="N86" s="102">
        <f>Model!X193</f>
        <v>578.11000948000003</v>
      </c>
      <c r="O86" s="100">
        <f>Model!Z193</f>
        <v>622.68726151591193</v>
      </c>
      <c r="P86" s="100">
        <f>Model!AA193</f>
        <v>603.09906777066851</v>
      </c>
      <c r="Q86" s="100">
        <f>Model!AB193</f>
        <v>592.90139016312992</v>
      </c>
      <c r="R86" s="100">
        <f>Model!AC193</f>
        <v>667.12945859634681</v>
      </c>
      <c r="S86" s="9"/>
      <c r="T86" s="100">
        <f>Model!J193</f>
        <v>1563</v>
      </c>
      <c r="U86" s="100">
        <f>Model!O193</f>
        <v>1911</v>
      </c>
      <c r="V86" s="101">
        <f>Model!T193</f>
        <v>2425</v>
      </c>
      <c r="W86" s="100">
        <f>Model!Y193</f>
        <v>2937.6663091800001</v>
      </c>
      <c r="X86" s="100">
        <f>Model!AD193</f>
        <v>2485.8171780460571</v>
      </c>
      <c r="Y86" s="100">
        <f>Model!AE193</f>
        <v>2327.0066417555263</v>
      </c>
      <c r="Z86" s="100">
        <f>Model!AF193</f>
        <v>3023.0491283327933</v>
      </c>
      <c r="AA86" s="100">
        <f>Model!AG193</f>
        <v>2879.4040499879652</v>
      </c>
      <c r="AB86" s="9"/>
      <c r="AC86" s="9"/>
      <c r="AD86" s="9"/>
      <c r="AE86" s="9"/>
    </row>
    <row r="87" spans="1:31" ht="13.5" customHeight="1" x14ac:dyDescent="0.25">
      <c r="A87" s="10"/>
      <c r="B87" s="9"/>
      <c r="C87" s="103" t="s">
        <v>117</v>
      </c>
      <c r="D87" s="9"/>
      <c r="E87" s="9"/>
      <c r="F87" s="9"/>
      <c r="G87" s="120" t="str">
        <f t="shared" ref="G87:R87" si="54">IF(ISERROR(G15/G85),"N/A",(G15/G85))</f>
        <v>N/A</v>
      </c>
      <c r="H87" s="120" t="str">
        <f t="shared" si="54"/>
        <v>N/A</v>
      </c>
      <c r="I87" s="120" t="str">
        <f t="shared" si="54"/>
        <v>N/A</v>
      </c>
      <c r="J87" s="121" t="str">
        <f t="shared" si="54"/>
        <v>N/A</v>
      </c>
      <c r="K87" s="120" t="str">
        <f t="shared" si="54"/>
        <v>N/A</v>
      </c>
      <c r="L87" s="120" t="str">
        <f t="shared" si="54"/>
        <v>N/A</v>
      </c>
      <c r="M87" s="120" t="str">
        <f t="shared" si="54"/>
        <v>N/A</v>
      </c>
      <c r="N87" s="122" t="str">
        <f t="shared" si="54"/>
        <v>N/A</v>
      </c>
      <c r="O87" s="120" t="str">
        <f t="shared" si="54"/>
        <v>N/A</v>
      </c>
      <c r="P87" s="120" t="str">
        <f t="shared" si="54"/>
        <v>N/A</v>
      </c>
      <c r="Q87" s="120" t="str">
        <f t="shared" si="54"/>
        <v>N/A</v>
      </c>
      <c r="R87" s="120" t="str">
        <f t="shared" si="54"/>
        <v>N/A</v>
      </c>
      <c r="S87" s="9"/>
      <c r="T87" s="120">
        <f t="shared" ref="T87:AA87" si="55">IF(ISERROR(T15/T85),"N/A",(T15/T85))</f>
        <v>1.5349686085559935</v>
      </c>
      <c r="U87" s="120">
        <f t="shared" si="55"/>
        <v>1.5626514784294716</v>
      </c>
      <c r="V87" s="121">
        <f t="shared" si="55"/>
        <v>1.6753704153509836</v>
      </c>
      <c r="W87" s="120">
        <f t="shared" si="55"/>
        <v>2.0393385380979594</v>
      </c>
      <c r="X87" s="120">
        <f t="shared" si="55"/>
        <v>2.8634591529644697</v>
      </c>
      <c r="Y87" s="120">
        <f t="shared" si="55"/>
        <v>3.4782839058879498</v>
      </c>
      <c r="Z87" s="120">
        <f t="shared" si="55"/>
        <v>3.7612145998262476</v>
      </c>
      <c r="AA87" s="120">
        <f t="shared" si="55"/>
        <v>3.9912622906764277</v>
      </c>
      <c r="AB87" s="9"/>
      <c r="AC87" s="9"/>
      <c r="AD87" s="9"/>
      <c r="AE87" s="9"/>
    </row>
    <row r="88" spans="1:31" ht="13.5" customHeight="1" x14ac:dyDescent="0.25">
      <c r="A88" s="10"/>
      <c r="B88" s="9"/>
      <c r="C88" s="103" t="s">
        <v>118</v>
      </c>
      <c r="D88" s="9"/>
      <c r="E88" s="9"/>
      <c r="F88" s="9"/>
      <c r="G88" s="120" t="str">
        <f t="shared" ref="G88:R88" si="56">IF(ISERROR(G27/G85),"N/A",(G27/G85))</f>
        <v>N/A</v>
      </c>
      <c r="H88" s="120" t="str">
        <f t="shared" si="56"/>
        <v>N/A</v>
      </c>
      <c r="I88" s="120" t="str">
        <f t="shared" si="56"/>
        <v>N/A</v>
      </c>
      <c r="J88" s="121" t="str">
        <f t="shared" si="56"/>
        <v>N/A</v>
      </c>
      <c r="K88" s="120" t="str">
        <f t="shared" si="56"/>
        <v>N/A</v>
      </c>
      <c r="L88" s="120" t="str">
        <f t="shared" si="56"/>
        <v>N/A</v>
      </c>
      <c r="M88" s="120" t="str">
        <f t="shared" si="56"/>
        <v>N/A</v>
      </c>
      <c r="N88" s="122" t="str">
        <f t="shared" si="56"/>
        <v>N/A</v>
      </c>
      <c r="O88" s="120" t="str">
        <f t="shared" si="56"/>
        <v>N/A</v>
      </c>
      <c r="P88" s="120" t="str">
        <f t="shared" si="56"/>
        <v>N/A</v>
      </c>
      <c r="Q88" s="120" t="str">
        <f t="shared" si="56"/>
        <v>N/A</v>
      </c>
      <c r="R88" s="120" t="str">
        <f t="shared" si="56"/>
        <v>N/A</v>
      </c>
      <c r="S88" s="9"/>
      <c r="T88" s="120">
        <f t="shared" ref="T88:AA88" si="57">IF(ISERROR(T27/T85),"N/A",(T27/T85))</f>
        <v>1.7760256971820705</v>
      </c>
      <c r="U88" s="120">
        <f t="shared" si="57"/>
        <v>1.765753756665051</v>
      </c>
      <c r="V88" s="121">
        <f t="shared" si="57"/>
        <v>1.8911829001700267</v>
      </c>
      <c r="W88" s="120">
        <f t="shared" si="57"/>
        <v>2.3162330739815826</v>
      </c>
      <c r="X88" s="120">
        <f t="shared" si="57"/>
        <v>3.1966228087653485</v>
      </c>
      <c r="Y88" s="120">
        <f t="shared" si="57"/>
        <v>3.8378117316004206</v>
      </c>
      <c r="Z88" s="120">
        <f t="shared" si="57"/>
        <v>4.1153473194294001</v>
      </c>
      <c r="AA88" s="120">
        <f t="shared" si="57"/>
        <v>4.3721852574338458</v>
      </c>
      <c r="AB88" s="9"/>
      <c r="AC88" s="9"/>
      <c r="AD88" s="9"/>
      <c r="AE88" s="9"/>
    </row>
    <row r="89" spans="1:31" ht="13.5" customHeight="1" x14ac:dyDescent="0.25">
      <c r="A89" s="10"/>
      <c r="B89" s="9"/>
      <c r="C89" s="103" t="s">
        <v>119</v>
      </c>
      <c r="D89" s="9"/>
      <c r="E89" s="9"/>
      <c r="F89" s="9"/>
      <c r="G89" s="120" t="str">
        <f t="shared" ref="G89:R89" si="58">IF(ISERROR((G27-G86)/G85),"N/A",((G27-G86)/G85))</f>
        <v>N/A</v>
      </c>
      <c r="H89" s="120" t="str">
        <f t="shared" si="58"/>
        <v>N/A</v>
      </c>
      <c r="I89" s="120" t="str">
        <f t="shared" si="58"/>
        <v>N/A</v>
      </c>
      <c r="J89" s="121" t="str">
        <f t="shared" si="58"/>
        <v>N/A</v>
      </c>
      <c r="K89" s="120" t="str">
        <f t="shared" si="58"/>
        <v>N/A</v>
      </c>
      <c r="L89" s="120" t="str">
        <f t="shared" si="58"/>
        <v>N/A</v>
      </c>
      <c r="M89" s="120" t="str">
        <f t="shared" si="58"/>
        <v>N/A</v>
      </c>
      <c r="N89" s="122" t="str">
        <f t="shared" si="58"/>
        <v>N/A</v>
      </c>
      <c r="O89" s="120" t="str">
        <f t="shared" si="58"/>
        <v>N/A</v>
      </c>
      <c r="P89" s="120" t="str">
        <f t="shared" si="58"/>
        <v>N/A</v>
      </c>
      <c r="Q89" s="120" t="str">
        <f t="shared" si="58"/>
        <v>N/A</v>
      </c>
      <c r="R89" s="120" t="str">
        <f t="shared" si="58"/>
        <v>N/A</v>
      </c>
      <c r="S89" s="9"/>
      <c r="T89" s="120">
        <f t="shared" ref="T89:AA89" si="59">IF(ISERROR((T27-T86)/T85),"N/A",((T27-T86)/T85))</f>
        <v>1.5478171995911811</v>
      </c>
      <c r="U89" s="120">
        <f t="shared" si="59"/>
        <v>1.5341735336888027</v>
      </c>
      <c r="V89" s="121">
        <f t="shared" si="59"/>
        <v>1.5966723342239495</v>
      </c>
      <c r="W89" s="120">
        <f t="shared" si="59"/>
        <v>1.9439596378009636</v>
      </c>
      <c r="X89" s="120">
        <f t="shared" si="59"/>
        <v>2.838810292350372</v>
      </c>
      <c r="Y89" s="120">
        <f t="shared" si="59"/>
        <v>3.4821329000952277</v>
      </c>
      <c r="Z89" s="120">
        <f t="shared" si="59"/>
        <v>3.6586766473323884</v>
      </c>
      <c r="AA89" s="120">
        <f t="shared" si="59"/>
        <v>3.9433403876631052</v>
      </c>
      <c r="AB89" s="9"/>
      <c r="AC89" s="9"/>
      <c r="AD89" s="9"/>
      <c r="AE89" s="9"/>
    </row>
    <row r="90" spans="1:31" ht="13.5" customHeight="1" x14ac:dyDescent="0.25">
      <c r="A90" s="10"/>
      <c r="B90" s="9"/>
      <c r="C90" s="9"/>
      <c r="D90" s="9"/>
      <c r="E90" s="9"/>
      <c r="F90" s="9"/>
      <c r="G90" s="9"/>
      <c r="H90" s="9"/>
      <c r="I90" s="9"/>
      <c r="J90" s="88"/>
      <c r="K90" s="9"/>
      <c r="L90" s="9"/>
      <c r="M90" s="9"/>
      <c r="N90" s="89"/>
      <c r="O90" s="9"/>
      <c r="P90" s="9"/>
      <c r="Q90" s="9"/>
      <c r="R90" s="9"/>
      <c r="S90" s="9"/>
      <c r="T90" s="9"/>
      <c r="U90" s="9"/>
      <c r="V90" s="88"/>
      <c r="W90" s="9"/>
      <c r="X90" s="9"/>
      <c r="Y90" s="9"/>
      <c r="Z90" s="9"/>
      <c r="AA90" s="9"/>
      <c r="AB90" s="9"/>
      <c r="AC90" s="9"/>
      <c r="AD90" s="9"/>
      <c r="AE90" s="9"/>
    </row>
    <row r="91" spans="1:31" ht="13.5" customHeight="1" x14ac:dyDescent="0.25">
      <c r="A91" s="10"/>
      <c r="B91" s="9"/>
      <c r="C91" s="95" t="s">
        <v>120</v>
      </c>
      <c r="D91" s="95"/>
      <c r="E91" s="95"/>
      <c r="F91" s="9"/>
      <c r="G91" s="9"/>
      <c r="H91" s="9"/>
      <c r="I91" s="9"/>
      <c r="J91" s="88"/>
      <c r="K91" s="9"/>
      <c r="L91" s="9"/>
      <c r="M91" s="9"/>
      <c r="N91" s="89"/>
      <c r="O91" s="9"/>
      <c r="P91" s="9"/>
      <c r="Q91" s="9"/>
      <c r="R91" s="9"/>
      <c r="S91" s="9"/>
      <c r="T91" s="9"/>
      <c r="U91" s="9"/>
      <c r="V91" s="88"/>
      <c r="W91" s="9"/>
      <c r="X91" s="9"/>
      <c r="Y91" s="9"/>
      <c r="Z91" s="9"/>
      <c r="AA91" s="9"/>
      <c r="AB91" s="9"/>
      <c r="AC91" s="9"/>
      <c r="AD91" s="9"/>
      <c r="AE91" s="9"/>
    </row>
    <row r="92" spans="1:31" ht="13.5" customHeight="1" x14ac:dyDescent="0.25">
      <c r="A92" s="10"/>
      <c r="B92" s="9"/>
      <c r="C92" s="103" t="s">
        <v>121</v>
      </c>
      <c r="D92" s="9"/>
      <c r="E92" s="9"/>
      <c r="F92" s="9"/>
      <c r="G92" s="120">
        <f t="shared" ref="G92:R92" si="60">IF(ISERROR((G53+G54)/G27),"NA",((G53+G54)/G27))</f>
        <v>13.988209578061866</v>
      </c>
      <c r="H92" s="120">
        <f t="shared" si="60"/>
        <v>14.945233773549477</v>
      </c>
      <c r="I92" s="120">
        <f t="shared" si="60"/>
        <v>13.87433389939685</v>
      </c>
      <c r="J92" s="121">
        <f t="shared" si="60"/>
        <v>16.342364009337199</v>
      </c>
      <c r="K92" s="120">
        <f t="shared" si="60"/>
        <v>14.235044747998115</v>
      </c>
      <c r="L92" s="120">
        <f t="shared" ca="1" si="60"/>
        <v>13.641186901147034</v>
      </c>
      <c r="M92" s="120">
        <f t="shared" ca="1" si="60"/>
        <v>13.118820015709121</v>
      </c>
      <c r="N92" s="123">
        <f t="shared" ca="1" si="60"/>
        <v>11.88659958163842</v>
      </c>
      <c r="O92" s="120">
        <f t="shared" ca="1" si="60"/>
        <v>11.940297838731027</v>
      </c>
      <c r="P92" s="120">
        <f t="shared" ca="1" si="60"/>
        <v>11.84165724822563</v>
      </c>
      <c r="Q92" s="120">
        <f t="shared" ca="1" si="60"/>
        <v>11.098369202939118</v>
      </c>
      <c r="R92" s="120">
        <f t="shared" ca="1" si="60"/>
        <v>10.026662297659461</v>
      </c>
      <c r="S92" s="120"/>
      <c r="T92" s="120">
        <f t="shared" ref="T92:AA92" si="61">IF(ISERROR((T53+T54)/T27),"NA",((T53+T54)/T27))</f>
        <v>4.0413515291022692</v>
      </c>
      <c r="U92" s="120">
        <f t="shared" si="61"/>
        <v>3.506210966989225</v>
      </c>
      <c r="V92" s="121">
        <f t="shared" si="61"/>
        <v>3.7090932442846136</v>
      </c>
      <c r="W92" s="120">
        <f t="shared" ca="1" si="61"/>
        <v>3.2971493736760316</v>
      </c>
      <c r="X92" s="120">
        <f t="shared" ca="1" si="61"/>
        <v>2.7187806477364878</v>
      </c>
      <c r="Y92" s="120">
        <f t="shared" ca="1" si="61"/>
        <v>2.554903521530163</v>
      </c>
      <c r="Z92" s="120">
        <f t="shared" ca="1" si="61"/>
        <v>2.49781639089935</v>
      </c>
      <c r="AA92" s="120">
        <f t="shared" ca="1" si="61"/>
        <v>2.4457359155328851</v>
      </c>
      <c r="AB92" s="9"/>
      <c r="AC92" s="9"/>
      <c r="AD92" s="9"/>
      <c r="AE92" s="9"/>
    </row>
    <row r="93" spans="1:31" ht="13.5" customHeight="1" x14ac:dyDescent="0.25">
      <c r="A93" s="10"/>
      <c r="B93" s="9"/>
      <c r="C93" s="103" t="s">
        <v>122</v>
      </c>
      <c r="D93" s="9"/>
      <c r="E93" s="9"/>
      <c r="F93" s="9"/>
      <c r="G93" s="120">
        <f t="shared" ref="G93:R93" si="62">IF(ISERROR((G53+G54)/G68),"NA",((G53+G54)/G68))</f>
        <v>1.6920389718607782</v>
      </c>
      <c r="H93" s="120">
        <f t="shared" si="62"/>
        <v>1.8475132307882765</v>
      </c>
      <c r="I93" s="120">
        <f t="shared" si="62"/>
        <v>1.8272202856525896</v>
      </c>
      <c r="J93" s="121">
        <f t="shared" si="62"/>
        <v>1.7254585648563063</v>
      </c>
      <c r="K93" s="120">
        <f t="shared" si="62"/>
        <v>1.7779673481394322</v>
      </c>
      <c r="L93" s="120">
        <f t="shared" ca="1" si="62"/>
        <v>1.600130688120198</v>
      </c>
      <c r="M93" s="120">
        <f t="shared" ca="1" si="62"/>
        <v>1.5674772119051619</v>
      </c>
      <c r="N93" s="123">
        <f t="shared" ca="1" si="62"/>
        <v>1.4048090358323568</v>
      </c>
      <c r="O93" s="120">
        <f t="shared" ca="1" si="62"/>
        <v>1.343205176297944</v>
      </c>
      <c r="P93" s="120">
        <f t="shared" ca="1" si="62"/>
        <v>1.3283427112883832</v>
      </c>
      <c r="Q93" s="120">
        <f t="shared" ca="1" si="62"/>
        <v>1.2421425231879517</v>
      </c>
      <c r="R93" s="120">
        <f t="shared" ca="1" si="62"/>
        <v>1.1002183254756523</v>
      </c>
      <c r="S93" s="120"/>
      <c r="T93" s="120">
        <f t="shared" ref="T93:AA93" si="63">IF(ISERROR((T53+T54)/T68),"NA",((T53+T54)/T68))</f>
        <v>1.7521117724631998</v>
      </c>
      <c r="U93" s="120">
        <f t="shared" si="63"/>
        <v>1.6881112873380915</v>
      </c>
      <c r="V93" s="121">
        <f t="shared" si="63"/>
        <v>1.7254585648563063</v>
      </c>
      <c r="W93" s="120">
        <f t="shared" ca="1" si="63"/>
        <v>1.4048090358323568</v>
      </c>
      <c r="X93" s="120">
        <f t="shared" ca="1" si="63"/>
        <v>1.1002183254756523</v>
      </c>
      <c r="Y93" s="120">
        <f t="shared" ca="1" si="63"/>
        <v>0.92478631718571114</v>
      </c>
      <c r="Z93" s="120">
        <f t="shared" ca="1" si="63"/>
        <v>0.79519721833303914</v>
      </c>
      <c r="AA93" s="120">
        <f t="shared" ca="1" si="63"/>
        <v>0.69545425653286885</v>
      </c>
      <c r="AB93" s="9"/>
      <c r="AC93" s="9"/>
      <c r="AD93" s="9"/>
      <c r="AE93" s="9"/>
    </row>
    <row r="94" spans="1:31" ht="13.5" customHeight="1" x14ac:dyDescent="0.25">
      <c r="A94" s="10"/>
      <c r="B94" s="9"/>
      <c r="C94" s="103" t="s">
        <v>123</v>
      </c>
      <c r="D94" s="9"/>
      <c r="E94" s="9"/>
      <c r="F94" s="9"/>
      <c r="G94" s="120">
        <f t="shared" ref="G94:R94" si="64">IF(ISERROR((G53+G54)/G46),"NA",((G53+G54)/G46))</f>
        <v>0.18705446351383909</v>
      </c>
      <c r="H94" s="120">
        <f t="shared" si="64"/>
        <v>0.20197526018757866</v>
      </c>
      <c r="I94" s="120">
        <f t="shared" si="64"/>
        <v>0.19906906402285329</v>
      </c>
      <c r="J94" s="121">
        <f t="shared" si="64"/>
        <v>0.19249330116113206</v>
      </c>
      <c r="K94" s="120">
        <f t="shared" si="64"/>
        <v>0.19567230182522161</v>
      </c>
      <c r="L94" s="120">
        <f t="shared" ca="1" si="64"/>
        <v>0.1875422776143488</v>
      </c>
      <c r="M94" s="120">
        <f t="shared" ca="1" si="64"/>
        <v>0.19224695108705608</v>
      </c>
      <c r="N94" s="123">
        <f t="shared" ca="1" si="64"/>
        <v>0.18048268776818857</v>
      </c>
      <c r="O94" s="120">
        <f t="shared" ca="1" si="64"/>
        <v>0.18066923313714364</v>
      </c>
      <c r="P94" s="120">
        <f t="shared" ca="1" si="64"/>
        <v>0.18249624570859083</v>
      </c>
      <c r="Q94" s="120">
        <f t="shared" ca="1" si="64"/>
        <v>0.17929282997073559</v>
      </c>
      <c r="R94" s="120">
        <f t="shared" ca="1" si="64"/>
        <v>0.16634357374810854</v>
      </c>
      <c r="S94" s="120"/>
      <c r="T94" s="120">
        <f t="shared" ref="T94:AA94" si="65">IF(ISERROR((T53+T54)/T46),"NA",((T53+T54)/T46))</f>
        <v>0.18827075386430137</v>
      </c>
      <c r="U94" s="120">
        <f t="shared" si="65"/>
        <v>0.18820014661406242</v>
      </c>
      <c r="V94" s="121">
        <f t="shared" si="65"/>
        <v>0.19249330116113206</v>
      </c>
      <c r="W94" s="120">
        <f t="shared" ca="1" si="65"/>
        <v>0.18048268776818857</v>
      </c>
      <c r="X94" s="120">
        <f t="shared" ca="1" si="65"/>
        <v>0.16634357374810854</v>
      </c>
      <c r="Y94" s="120">
        <f t="shared" ca="1" si="65"/>
        <v>0.16580359766982566</v>
      </c>
      <c r="Z94" s="120">
        <f t="shared" ca="1" si="65"/>
        <v>0.16122569339760748</v>
      </c>
      <c r="AA94" s="120">
        <f t="shared" ca="1" si="65"/>
        <v>0.15706109888025976</v>
      </c>
      <c r="AB94" s="9"/>
      <c r="AC94" s="9"/>
      <c r="AD94" s="9"/>
      <c r="AE94" s="9"/>
    </row>
    <row r="95" spans="1:31" ht="13.5" customHeight="1" x14ac:dyDescent="0.25">
      <c r="A95" s="10"/>
      <c r="B95" s="9"/>
      <c r="C95" s="9"/>
      <c r="D95" s="9"/>
      <c r="E95" s="9"/>
      <c r="F95" s="9"/>
      <c r="G95" s="9"/>
      <c r="H95" s="9"/>
      <c r="I95" s="9"/>
      <c r="J95" s="88"/>
      <c r="K95" s="9"/>
      <c r="L95" s="9"/>
      <c r="M95" s="9"/>
      <c r="N95" s="89"/>
      <c r="O95" s="9"/>
      <c r="P95" s="9"/>
      <c r="Q95" s="9"/>
      <c r="R95" s="9"/>
      <c r="S95" s="9"/>
      <c r="T95" s="9"/>
      <c r="U95" s="9"/>
      <c r="V95" s="88"/>
      <c r="W95" s="9"/>
      <c r="X95" s="9"/>
      <c r="Y95" s="9"/>
      <c r="Z95" s="9"/>
      <c r="AA95" s="9"/>
      <c r="AB95" s="9"/>
      <c r="AC95" s="9"/>
      <c r="AD95" s="9"/>
      <c r="AE95" s="9"/>
    </row>
    <row r="96" spans="1:31" ht="13.5" customHeight="1" x14ac:dyDescent="0.25">
      <c r="A96" s="10"/>
      <c r="B96" s="9"/>
      <c r="C96" s="95" t="s">
        <v>124</v>
      </c>
      <c r="D96" s="95"/>
      <c r="E96" s="95"/>
      <c r="F96" s="9"/>
      <c r="G96" s="9"/>
      <c r="H96" s="9"/>
      <c r="I96" s="9"/>
      <c r="J96" s="88"/>
      <c r="K96" s="9"/>
      <c r="L96" s="9"/>
      <c r="M96" s="9"/>
      <c r="N96" s="89"/>
      <c r="O96" s="9"/>
      <c r="P96" s="9"/>
      <c r="Q96" s="9"/>
      <c r="R96" s="9"/>
      <c r="S96" s="9"/>
      <c r="T96" s="9"/>
      <c r="U96" s="9"/>
      <c r="V96" s="88"/>
      <c r="W96" s="9"/>
      <c r="X96" s="9"/>
      <c r="Y96" s="9"/>
      <c r="Z96" s="9"/>
      <c r="AA96" s="9"/>
      <c r="AB96" s="9"/>
      <c r="AC96" s="9"/>
      <c r="AD96" s="9"/>
      <c r="AE96" s="9"/>
    </row>
    <row r="97" spans="1:31" ht="13.5" customHeight="1" x14ac:dyDescent="0.25">
      <c r="A97" s="10"/>
      <c r="B97" s="9"/>
      <c r="C97" s="103" t="s">
        <v>125</v>
      </c>
      <c r="D97" s="9"/>
      <c r="E97" s="9"/>
      <c r="F97" s="9"/>
      <c r="G97" s="120">
        <f t="shared" ref="G97:R97" si="66">G8/G46</f>
        <v>6.7080256799081639E-2</v>
      </c>
      <c r="H97" s="120">
        <f t="shared" si="66"/>
        <v>6.7442379785895054E-2</v>
      </c>
      <c r="I97" s="120">
        <f t="shared" si="66"/>
        <v>6.9087548311208197E-2</v>
      </c>
      <c r="J97" s="121">
        <f t="shared" si="66"/>
        <v>7.0121178995640757E-2</v>
      </c>
      <c r="K97" s="120">
        <f t="shared" si="66"/>
        <v>6.7596003807131252E-2</v>
      </c>
      <c r="L97" s="120">
        <f t="shared" ca="1" si="66"/>
        <v>6.9427829706603675E-2</v>
      </c>
      <c r="M97" s="120">
        <f t="shared" ca="1" si="66"/>
        <v>6.9363586491488549E-2</v>
      </c>
      <c r="N97" s="122">
        <f t="shared" ca="1" si="66"/>
        <v>7.0530780782501384E-2</v>
      </c>
      <c r="O97" s="124">
        <f t="shared" ca="1" si="66"/>
        <v>6.9037928933745912E-2</v>
      </c>
      <c r="P97" s="124">
        <f t="shared" ca="1" si="66"/>
        <v>6.911634108779792E-2</v>
      </c>
      <c r="Q97" s="124">
        <f t="shared" ca="1" si="66"/>
        <v>6.9548961040755017E-2</v>
      </c>
      <c r="R97" s="124">
        <f t="shared" ca="1" si="66"/>
        <v>7.0776378746419497E-2</v>
      </c>
      <c r="S97" s="9"/>
      <c r="T97" s="124">
        <f t="shared" ref="T97:AA97" si="67">T8/T46</f>
        <v>0.25799286119153758</v>
      </c>
      <c r="U97" s="124">
        <f t="shared" si="67"/>
        <v>0.27333944839221841</v>
      </c>
      <c r="V97" s="125">
        <f t="shared" si="67"/>
        <v>0.26816351832349061</v>
      </c>
      <c r="W97" s="124">
        <f t="shared" ca="1" si="67"/>
        <v>0.26792387199460804</v>
      </c>
      <c r="X97" s="124">
        <f t="shared" ca="1" si="67"/>
        <v>0.26900774298449831</v>
      </c>
      <c r="Y97" s="124">
        <f t="shared" ca="1" si="67"/>
        <v>0.27030133275600299</v>
      </c>
      <c r="Z97" s="124">
        <f t="shared" ca="1" si="67"/>
        <v>0.2644791469214316</v>
      </c>
      <c r="AA97" s="124">
        <f t="shared" ca="1" si="67"/>
        <v>0.2588110137197922</v>
      </c>
      <c r="AB97" s="9"/>
      <c r="AC97" s="9"/>
      <c r="AD97" s="9"/>
      <c r="AE97" s="9"/>
    </row>
    <row r="98" spans="1:31" ht="13.5" customHeight="1" x14ac:dyDescent="0.25">
      <c r="A98" s="10"/>
      <c r="B98" s="9"/>
      <c r="C98" s="103" t="str">
        <f>Model!C182</f>
        <v>Days Sales Outstanding</v>
      </c>
      <c r="D98" s="9"/>
      <c r="E98" s="9"/>
      <c r="F98" s="9"/>
      <c r="G98" s="126">
        <f>Model!P182</f>
        <v>279.50007922674695</v>
      </c>
      <c r="H98" s="126">
        <f>Model!Q182</f>
        <v>268.80449505844581</v>
      </c>
      <c r="I98" s="126">
        <f>Model!R182</f>
        <v>269.03186262586951</v>
      </c>
      <c r="J98" s="127">
        <f>Model!S182</f>
        <v>268.20361216730038</v>
      </c>
      <c r="K98" s="126">
        <f>Model!U182</f>
        <v>133.29956896551724</v>
      </c>
      <c r="L98" s="126">
        <f>Model!V182</f>
        <v>273</v>
      </c>
      <c r="M98" s="126">
        <f>Model!W182</f>
        <v>272</v>
      </c>
      <c r="N98" s="128">
        <f>Model!X182</f>
        <v>272</v>
      </c>
      <c r="O98" s="126">
        <f>Model!Z182</f>
        <v>272</v>
      </c>
      <c r="P98" s="126">
        <f>Model!AA182</f>
        <v>271.5</v>
      </c>
      <c r="Q98" s="126">
        <f>Model!AB182</f>
        <v>271.5</v>
      </c>
      <c r="R98" s="126">
        <f>Model!AC182</f>
        <v>271</v>
      </c>
      <c r="S98" s="126"/>
      <c r="T98" s="126">
        <f>Model!J182</f>
        <v>318.07129921026069</v>
      </c>
      <c r="U98" s="126">
        <f>Model!O182</f>
        <v>293.85793318149354</v>
      </c>
      <c r="V98" s="127">
        <f>Model!T182</f>
        <v>274.64931086337822</v>
      </c>
      <c r="W98" s="126">
        <f>Model!Y182</f>
        <v>269.88107923045789</v>
      </c>
      <c r="X98" s="126">
        <f>Model!AD182</f>
        <v>270.04552911685471</v>
      </c>
      <c r="Y98" s="126">
        <f>Model!AE182</f>
        <v>271</v>
      </c>
      <c r="Z98" s="126">
        <f>Model!AF182</f>
        <v>271</v>
      </c>
      <c r="AA98" s="126">
        <f>Model!AG182</f>
        <v>270</v>
      </c>
      <c r="AB98" s="9"/>
      <c r="AC98" s="9"/>
      <c r="AD98" s="9"/>
      <c r="AE98" s="9"/>
    </row>
    <row r="99" spans="1:31" ht="13.5" customHeight="1" x14ac:dyDescent="0.25">
      <c r="A99" s="10"/>
      <c r="B99" s="9"/>
      <c r="C99" s="103" t="str">
        <f>Model!C183</f>
        <v>Days Inventory Outstanding</v>
      </c>
      <c r="D99" s="9"/>
      <c r="E99" s="9"/>
      <c r="F99" s="9"/>
      <c r="G99" s="126">
        <f>Model!P183</f>
        <v>0</v>
      </c>
      <c r="H99" s="126">
        <f>Model!Q183</f>
        <v>0</v>
      </c>
      <c r="I99" s="126">
        <f>Model!R183</f>
        <v>0</v>
      </c>
      <c r="J99" s="127">
        <f>Model!S183</f>
        <v>0</v>
      </c>
      <c r="K99" s="126">
        <f>Model!U183</f>
        <v>0</v>
      </c>
      <c r="L99" s="126">
        <f>Model!V183</f>
        <v>0</v>
      </c>
      <c r="M99" s="126">
        <f>Model!W183</f>
        <v>0</v>
      </c>
      <c r="N99" s="128">
        <f>Model!X183</f>
        <v>0</v>
      </c>
      <c r="O99" s="126">
        <f>Model!Z183</f>
        <v>0</v>
      </c>
      <c r="P99" s="126">
        <f>Model!AA183</f>
        <v>0</v>
      </c>
      <c r="Q99" s="126">
        <f>Model!AB183</f>
        <v>0</v>
      </c>
      <c r="R99" s="126">
        <f>Model!AC183</f>
        <v>0</v>
      </c>
      <c r="S99" s="126"/>
      <c r="T99" s="126">
        <f>Model!J183</f>
        <v>0</v>
      </c>
      <c r="U99" s="126">
        <f>Model!O183</f>
        <v>0</v>
      </c>
      <c r="V99" s="127">
        <f>Model!T183</f>
        <v>0</v>
      </c>
      <c r="W99" s="126">
        <f>Model!Y183</f>
        <v>0</v>
      </c>
      <c r="X99" s="126">
        <f>Model!AD183</f>
        <v>0</v>
      </c>
      <c r="Y99" s="126">
        <f>Model!AE183</f>
        <v>0</v>
      </c>
      <c r="Z99" s="126">
        <f>Model!AF183</f>
        <v>0</v>
      </c>
      <c r="AA99" s="126">
        <f>Model!AG183</f>
        <v>0</v>
      </c>
      <c r="AB99" s="9"/>
      <c r="AC99" s="9"/>
      <c r="AD99" s="9"/>
      <c r="AE99" s="9"/>
    </row>
    <row r="100" spans="1:31" ht="13.5" customHeight="1" x14ac:dyDescent="0.25">
      <c r="A100" s="10"/>
      <c r="B100" s="9"/>
      <c r="C100" s="103" t="str">
        <f>Model!C184</f>
        <v>Days Payables Outstanding (from SG&amp;A)</v>
      </c>
      <c r="D100" s="9"/>
      <c r="E100" s="9"/>
      <c r="F100" s="9"/>
      <c r="G100" s="126">
        <f>Model!P184</f>
        <v>113.93413891707407</v>
      </c>
      <c r="H100" s="126">
        <f>Model!Q184</f>
        <v>112.31988408381633</v>
      </c>
      <c r="I100" s="126">
        <f>Model!R184</f>
        <v>114.97607074735564</v>
      </c>
      <c r="J100" s="127">
        <f>Model!S184</f>
        <v>107.35401952226013</v>
      </c>
      <c r="K100" s="126">
        <f>Model!U184</f>
        <v>106.29479024076012</v>
      </c>
      <c r="L100" s="126">
        <f>Model!V184</f>
        <v>104</v>
      </c>
      <c r="M100" s="126">
        <f>Model!W184</f>
        <v>104</v>
      </c>
      <c r="N100" s="128">
        <f>Model!X184</f>
        <v>104</v>
      </c>
      <c r="O100" s="126">
        <f>Model!Z184</f>
        <v>105.5</v>
      </c>
      <c r="P100" s="126">
        <f>Model!AA184</f>
        <v>105.5</v>
      </c>
      <c r="Q100" s="126">
        <f>Model!AB184</f>
        <v>105.5</v>
      </c>
      <c r="R100" s="126">
        <f>Model!AC184</f>
        <v>105.5</v>
      </c>
      <c r="S100" s="126"/>
      <c r="T100" s="126">
        <f>Model!J184</f>
        <v>122.3841189381271</v>
      </c>
      <c r="U100" s="126">
        <f>Model!O184</f>
        <v>117.84562100951693</v>
      </c>
      <c r="V100" s="127">
        <f>Model!T184</f>
        <v>112.78682535558875</v>
      </c>
      <c r="W100" s="126">
        <f>Model!Y184</f>
        <v>104.48826778189597</v>
      </c>
      <c r="X100" s="126">
        <f>Model!AD184</f>
        <v>105.48811653731919</v>
      </c>
      <c r="Y100" s="126">
        <f>Model!AE184</f>
        <v>102.5</v>
      </c>
      <c r="Z100" s="126">
        <f>Model!AF184</f>
        <v>102.5</v>
      </c>
      <c r="AA100" s="126">
        <f>Model!AG184</f>
        <v>102.5</v>
      </c>
      <c r="AB100" s="9"/>
      <c r="AC100" s="9"/>
      <c r="AD100" s="9"/>
      <c r="AE100" s="9"/>
    </row>
    <row r="101" spans="1:31" ht="13.5" customHeight="1" x14ac:dyDescent="0.25">
      <c r="A101" s="10"/>
      <c r="B101" s="9"/>
      <c r="C101" s="103" t="s">
        <v>126</v>
      </c>
      <c r="D101" s="9"/>
      <c r="E101" s="9"/>
      <c r="F101" s="9"/>
      <c r="G101" s="126">
        <f t="shared" ref="G101:R101" si="68">G98+G99-G100</f>
        <v>165.5659403096729</v>
      </c>
      <c r="H101" s="126">
        <f t="shared" si="68"/>
        <v>156.48461097462948</v>
      </c>
      <c r="I101" s="126">
        <f t="shared" si="68"/>
        <v>154.05579187851387</v>
      </c>
      <c r="J101" s="127">
        <f t="shared" si="68"/>
        <v>160.84959264504025</v>
      </c>
      <c r="K101" s="126">
        <f t="shared" si="68"/>
        <v>27.004778724757116</v>
      </c>
      <c r="L101" s="126">
        <f t="shared" si="68"/>
        <v>169</v>
      </c>
      <c r="M101" s="126">
        <f t="shared" si="68"/>
        <v>168</v>
      </c>
      <c r="N101" s="128">
        <f t="shared" si="68"/>
        <v>168</v>
      </c>
      <c r="O101" s="126">
        <f t="shared" si="68"/>
        <v>166.5</v>
      </c>
      <c r="P101" s="126">
        <f t="shared" si="68"/>
        <v>166</v>
      </c>
      <c r="Q101" s="126">
        <f t="shared" si="68"/>
        <v>166</v>
      </c>
      <c r="R101" s="126">
        <f t="shared" si="68"/>
        <v>165.5</v>
      </c>
      <c r="S101" s="126"/>
      <c r="T101" s="126">
        <f t="shared" ref="T101:AA101" si="69">T98+T99-T100</f>
        <v>195.68718027213359</v>
      </c>
      <c r="U101" s="126">
        <f t="shared" si="69"/>
        <v>176.01231217197659</v>
      </c>
      <c r="V101" s="127">
        <f t="shared" si="69"/>
        <v>161.86248550778947</v>
      </c>
      <c r="W101" s="126">
        <f t="shared" si="69"/>
        <v>165.39281144856193</v>
      </c>
      <c r="X101" s="126">
        <f t="shared" si="69"/>
        <v>164.55741257953554</v>
      </c>
      <c r="Y101" s="126">
        <f t="shared" si="69"/>
        <v>168.5</v>
      </c>
      <c r="Z101" s="126">
        <f t="shared" si="69"/>
        <v>168.5</v>
      </c>
      <c r="AA101" s="126">
        <f t="shared" si="69"/>
        <v>167.5</v>
      </c>
      <c r="AB101" s="9"/>
      <c r="AC101" s="9"/>
      <c r="AD101" s="9"/>
      <c r="AE101" s="9"/>
    </row>
    <row r="102" spans="1:31" ht="13.5" customHeight="1" x14ac:dyDescent="0.25">
      <c r="A102" s="10"/>
      <c r="B102" s="9"/>
      <c r="C102" s="9"/>
      <c r="D102" s="9"/>
      <c r="E102" s="9"/>
      <c r="F102" s="9"/>
      <c r="G102" s="9"/>
      <c r="H102" s="9"/>
      <c r="I102" s="9"/>
      <c r="J102" s="88"/>
      <c r="K102" s="9"/>
      <c r="L102" s="9"/>
      <c r="M102" s="9"/>
      <c r="N102" s="89"/>
      <c r="O102" s="9"/>
      <c r="P102" s="9"/>
      <c r="Q102" s="9"/>
      <c r="R102" s="9"/>
      <c r="S102" s="9"/>
      <c r="T102" s="9"/>
      <c r="U102" s="9"/>
      <c r="V102" s="88"/>
      <c r="W102" s="9"/>
      <c r="X102" s="9"/>
      <c r="Y102" s="9"/>
      <c r="Z102" s="9"/>
      <c r="AA102" s="9"/>
      <c r="AB102" s="9"/>
      <c r="AC102" s="9"/>
      <c r="AD102" s="9"/>
      <c r="AE102" s="9"/>
    </row>
    <row r="103" spans="1:31" ht="13.5" customHeight="1" x14ac:dyDescent="0.25">
      <c r="A103" s="10"/>
      <c r="B103" s="9"/>
      <c r="C103" s="95" t="s">
        <v>127</v>
      </c>
      <c r="D103" s="95"/>
      <c r="E103" s="95"/>
      <c r="F103" s="9"/>
      <c r="G103" s="9"/>
      <c r="H103" s="9"/>
      <c r="I103" s="9"/>
      <c r="J103" s="88"/>
      <c r="K103" s="9"/>
      <c r="L103" s="9"/>
      <c r="M103" s="9"/>
      <c r="N103" s="89"/>
      <c r="O103" s="9"/>
      <c r="P103" s="9"/>
      <c r="Q103" s="9"/>
      <c r="R103" s="9"/>
      <c r="S103" s="9"/>
      <c r="T103" s="9"/>
      <c r="U103" s="9"/>
      <c r="V103" s="88"/>
      <c r="W103" s="9"/>
      <c r="X103" s="9"/>
      <c r="Y103" s="9"/>
      <c r="Z103" s="9"/>
      <c r="AA103" s="9"/>
      <c r="AB103" s="9"/>
      <c r="AC103" s="9"/>
      <c r="AD103" s="9"/>
      <c r="AE103" s="9"/>
    </row>
    <row r="104" spans="1:31" ht="13.5" customHeight="1" x14ac:dyDescent="0.25">
      <c r="A104" s="10"/>
      <c r="B104" s="9"/>
      <c r="C104" s="103" t="s">
        <v>128</v>
      </c>
      <c r="D104" s="9"/>
      <c r="E104" s="9"/>
      <c r="F104" s="9"/>
      <c r="G104" s="120">
        <f t="shared" ref="G104:R104" si="70">IF(ISERROR(G38/G51),"NA",(G38/G51))</f>
        <v>0.69306701675418858</v>
      </c>
      <c r="H104" s="120">
        <f t="shared" si="70"/>
        <v>0.71765734800344938</v>
      </c>
      <c r="I104" s="120">
        <f t="shared" si="70"/>
        <v>0.70191565759974728</v>
      </c>
      <c r="J104" s="121">
        <f t="shared" si="70"/>
        <v>0.65580663683996454</v>
      </c>
      <c r="K104" s="120">
        <f t="shared" si="70"/>
        <v>0.31148490871059142</v>
      </c>
      <c r="L104" s="120">
        <f t="shared" ca="1" si="70"/>
        <v>0.70772945251673935</v>
      </c>
      <c r="M104" s="120">
        <f t="shared" ca="1" si="70"/>
        <v>0.73445429168538834</v>
      </c>
      <c r="N104" s="122">
        <f t="shared" ca="1" si="70"/>
        <v>0.73918832340864304</v>
      </c>
      <c r="O104" s="124">
        <f t="shared" ca="1" si="70"/>
        <v>0.75345010417580727</v>
      </c>
      <c r="P104" s="124">
        <f t="shared" ca="1" si="70"/>
        <v>0.78940026023131216</v>
      </c>
      <c r="Q104" s="124">
        <f t="shared" ca="1" si="70"/>
        <v>0.80212417888797649</v>
      </c>
      <c r="R104" s="124">
        <f t="shared" ca="1" si="70"/>
        <v>0.80146677326272797</v>
      </c>
      <c r="S104" s="9"/>
      <c r="T104" s="124">
        <f t="shared" ref="T104:AA104" si="71">IF(ISERROR(T38/T51),"NA",(T38/T51))</f>
        <v>0.75100700863953662</v>
      </c>
      <c r="U104" s="124">
        <f t="shared" si="71"/>
        <v>0.65154569234883919</v>
      </c>
      <c r="V104" s="125">
        <f t="shared" si="71"/>
        <v>0.65580663683996454</v>
      </c>
      <c r="W104" s="124">
        <f t="shared" ca="1" si="71"/>
        <v>0.73918832340864304</v>
      </c>
      <c r="X104" s="124">
        <f t="shared" ca="1" si="71"/>
        <v>0.80146677326272797</v>
      </c>
      <c r="Y104" s="124">
        <f t="shared" ca="1" si="71"/>
        <v>0.86174438693041544</v>
      </c>
      <c r="Z104" s="124">
        <f t="shared" ca="1" si="71"/>
        <v>0.92516088909963556</v>
      </c>
      <c r="AA104" s="124">
        <f t="shared" ca="1" si="71"/>
        <v>0.98417870575567656</v>
      </c>
      <c r="AB104" s="9"/>
      <c r="AC104" s="9"/>
      <c r="AD104" s="9"/>
      <c r="AE104" s="9"/>
    </row>
    <row r="105" spans="1:31" ht="13.5" customHeight="1" x14ac:dyDescent="0.25">
      <c r="A105" s="10"/>
      <c r="B105" s="9"/>
      <c r="C105" s="103" t="s">
        <v>129</v>
      </c>
      <c r="D105" s="9"/>
      <c r="E105" s="9"/>
      <c r="F105" s="9"/>
      <c r="G105" s="120">
        <f t="shared" ref="G105:R105" si="72">IF(ISERROR((G34+G35)/G51),"NA",((G34+G35)/G51))</f>
        <v>0.69306701675418858</v>
      </c>
      <c r="H105" s="120">
        <f t="shared" si="72"/>
        <v>0.71765734800344938</v>
      </c>
      <c r="I105" s="120">
        <f t="shared" si="72"/>
        <v>0.70191565759974728</v>
      </c>
      <c r="J105" s="121">
        <f t="shared" si="72"/>
        <v>0.65580663683996454</v>
      </c>
      <c r="K105" s="120">
        <f t="shared" si="72"/>
        <v>0.31148490871059142</v>
      </c>
      <c r="L105" s="120">
        <f t="shared" ca="1" si="72"/>
        <v>0.70772945251673935</v>
      </c>
      <c r="M105" s="120">
        <f t="shared" ca="1" si="72"/>
        <v>0.73445429168538834</v>
      </c>
      <c r="N105" s="122">
        <f t="shared" ca="1" si="72"/>
        <v>0.73918832340864304</v>
      </c>
      <c r="O105" s="124">
        <f t="shared" ca="1" si="72"/>
        <v>0.75345010417580727</v>
      </c>
      <c r="P105" s="124">
        <f t="shared" ca="1" si="72"/>
        <v>0.78940026023131216</v>
      </c>
      <c r="Q105" s="124">
        <f t="shared" ca="1" si="72"/>
        <v>0.80212417888797649</v>
      </c>
      <c r="R105" s="124">
        <f t="shared" ca="1" si="72"/>
        <v>0.80146677326272797</v>
      </c>
      <c r="S105" s="9"/>
      <c r="T105" s="124">
        <f t="shared" ref="T105:AA105" si="73">IF(ISERROR((T34+T35)/T51),"NA",((T34+T35)/T51))</f>
        <v>0.75100700863953662</v>
      </c>
      <c r="U105" s="124">
        <f t="shared" si="73"/>
        <v>0.65154569234883919</v>
      </c>
      <c r="V105" s="125">
        <f t="shared" si="73"/>
        <v>0.65580663683996454</v>
      </c>
      <c r="W105" s="124">
        <f t="shared" ca="1" si="73"/>
        <v>0.73918832340864304</v>
      </c>
      <c r="X105" s="124">
        <f t="shared" ca="1" si="73"/>
        <v>0.80146677326272797</v>
      </c>
      <c r="Y105" s="124">
        <f t="shared" ca="1" si="73"/>
        <v>0.86174438693041544</v>
      </c>
      <c r="Z105" s="124">
        <f t="shared" ca="1" si="73"/>
        <v>0.92516088909963556</v>
      </c>
      <c r="AA105" s="124">
        <f t="shared" ca="1" si="73"/>
        <v>0.98417870575567656</v>
      </c>
      <c r="AB105" s="9"/>
      <c r="AC105" s="9"/>
      <c r="AD105" s="9"/>
      <c r="AE105" s="9"/>
    </row>
    <row r="106" spans="1:31" ht="13.5" customHeight="1" x14ac:dyDescent="0.25">
      <c r="A106" s="10"/>
      <c r="B106" s="9"/>
      <c r="C106" s="103" t="s">
        <v>130</v>
      </c>
      <c r="D106" s="9"/>
      <c r="E106" s="9"/>
      <c r="F106" s="9"/>
      <c r="G106" s="120">
        <f t="shared" ref="G106:R106" si="74">IF(ISERROR(G34/G51),"NA",(G34/G51))</f>
        <v>0.32825706426606649</v>
      </c>
      <c r="H106" s="120">
        <f t="shared" si="74"/>
        <v>0.35433956955971302</v>
      </c>
      <c r="I106" s="120">
        <f t="shared" si="74"/>
        <v>0.33237540327235388</v>
      </c>
      <c r="J106" s="121">
        <f t="shared" si="74"/>
        <v>0.28585783668684356</v>
      </c>
      <c r="K106" s="120">
        <f t="shared" si="74"/>
        <v>0.31148490871059142</v>
      </c>
      <c r="L106" s="120">
        <f t="shared" ca="1" si="74"/>
        <v>0.34026252454025729</v>
      </c>
      <c r="M106" s="120">
        <f t="shared" ca="1" si="74"/>
        <v>0.36800785214366188</v>
      </c>
      <c r="N106" s="122">
        <f t="shared" ca="1" si="74"/>
        <v>0.3723504657417317</v>
      </c>
      <c r="O106" s="124">
        <f t="shared" ca="1" si="74"/>
        <v>0.38786632265512644</v>
      </c>
      <c r="P106" s="124">
        <f t="shared" ca="1" si="74"/>
        <v>0.42441320618096418</v>
      </c>
      <c r="Q106" s="124">
        <f t="shared" ca="1" si="74"/>
        <v>0.4377283980945198</v>
      </c>
      <c r="R106" s="124">
        <f t="shared" ca="1" si="74"/>
        <v>0.43675622020810884</v>
      </c>
      <c r="S106" s="9"/>
      <c r="T106" s="124">
        <f t="shared" ref="T106:AA106" si="75">IF(ISERROR(T34/T51),"NA",(T34/T51))</f>
        <v>0.32755723956612515</v>
      </c>
      <c r="U106" s="124">
        <f t="shared" si="75"/>
        <v>0.26510629692688048</v>
      </c>
      <c r="V106" s="125">
        <f t="shared" si="75"/>
        <v>0.28585783668684356</v>
      </c>
      <c r="W106" s="124">
        <f t="shared" ca="1" si="75"/>
        <v>0.3723504657417317</v>
      </c>
      <c r="X106" s="124">
        <f t="shared" ca="1" si="75"/>
        <v>0.43675622020810884</v>
      </c>
      <c r="Y106" s="124">
        <f t="shared" ca="1" si="75"/>
        <v>0.49757416758840778</v>
      </c>
      <c r="Z106" s="124">
        <f t="shared" ca="1" si="75"/>
        <v>0.56223734577396367</v>
      </c>
      <c r="AA106" s="124">
        <f t="shared" ca="1" si="75"/>
        <v>0.62264701649885845</v>
      </c>
      <c r="AB106" s="9"/>
      <c r="AC106" s="9"/>
      <c r="AD106" s="9"/>
      <c r="AE106" s="9"/>
    </row>
    <row r="107" spans="1:31" ht="13.5" customHeight="1" x14ac:dyDescent="0.25">
      <c r="A107" s="10"/>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spans="1:31" ht="13.5" customHeight="1" x14ac:dyDescent="0.25">
      <c r="A108" s="10"/>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spans="1:31" ht="13.5" customHeight="1" x14ac:dyDescent="0.25">
      <c r="A109" s="10"/>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spans="1:31" ht="13.5" customHeight="1" x14ac:dyDescent="0.25">
      <c r="A110" s="10" t="s">
        <v>0</v>
      </c>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spans="1:31" ht="13.5" customHeight="1" x14ac:dyDescent="0.25">
      <c r="A111" s="1"/>
      <c r="B111" s="2"/>
      <c r="C111" s="2"/>
      <c r="D111" s="2"/>
      <c r="E111" s="2"/>
      <c r="F111" s="2"/>
      <c r="G111" s="2"/>
      <c r="H111" s="2"/>
      <c r="I111" s="2"/>
      <c r="J111" s="129"/>
      <c r="K111" s="2"/>
      <c r="L111" s="2"/>
      <c r="M111" s="2"/>
      <c r="N111" s="2"/>
      <c r="O111" s="2"/>
      <c r="P111" s="2"/>
      <c r="Q111" s="2"/>
      <c r="R111" s="2"/>
      <c r="S111" s="2"/>
      <c r="T111" s="2"/>
      <c r="U111" s="2"/>
      <c r="V111" s="2"/>
      <c r="W111" s="2"/>
      <c r="X111" s="2"/>
      <c r="Y111" s="2"/>
      <c r="Z111" s="2"/>
      <c r="AA111" s="2"/>
      <c r="AB111" s="2"/>
      <c r="AC111" s="2"/>
      <c r="AD111" s="2"/>
      <c r="AE111" s="2"/>
    </row>
    <row r="112" spans="1:31" ht="13.5" customHeight="1" x14ac:dyDescent="0.25">
      <c r="A112" s="1"/>
      <c r="B112" s="2"/>
      <c r="C112" s="2"/>
      <c r="D112" s="129"/>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spans="1:31" ht="13.5" customHeight="1" x14ac:dyDescent="0.25">
      <c r="A113" s="1"/>
      <c r="B113" s="2"/>
      <c r="I113" s="2"/>
      <c r="J113" s="2"/>
      <c r="K113" s="2"/>
      <c r="L113" s="2"/>
      <c r="M113" s="2"/>
      <c r="N113" s="2"/>
      <c r="O113" s="2"/>
      <c r="P113" s="2"/>
      <c r="Q113" s="2"/>
      <c r="R113" s="2"/>
      <c r="S113" s="2"/>
      <c r="T113" s="2"/>
      <c r="U113" s="2"/>
      <c r="V113" s="2"/>
      <c r="W113" s="2"/>
      <c r="X113" s="2"/>
      <c r="Y113" s="2"/>
      <c r="Z113" s="2"/>
      <c r="AA113" s="2"/>
      <c r="AB113" s="2"/>
      <c r="AC113" s="2"/>
      <c r="AD113" s="2"/>
      <c r="AE113" s="2"/>
    </row>
    <row r="114" spans="1:31" ht="13.5" customHeight="1" x14ac:dyDescent="0.25">
      <c r="A114" s="1"/>
      <c r="B114" s="2"/>
      <c r="I114" s="2"/>
      <c r="J114" s="2"/>
      <c r="K114" s="2"/>
      <c r="L114" s="2"/>
      <c r="M114" s="2"/>
      <c r="N114" s="2"/>
      <c r="O114" s="2"/>
      <c r="P114" s="2"/>
      <c r="Q114" s="2"/>
      <c r="R114" s="2"/>
      <c r="S114" s="2"/>
      <c r="T114" s="2"/>
      <c r="U114" s="2"/>
      <c r="V114" s="2"/>
      <c r="W114" s="2"/>
      <c r="X114" s="2"/>
      <c r="Y114" s="2"/>
      <c r="Z114" s="2"/>
      <c r="AA114" s="2"/>
      <c r="AB114" s="2"/>
      <c r="AC114" s="2"/>
      <c r="AD114" s="2"/>
      <c r="AE114" s="2"/>
    </row>
    <row r="115" spans="1:31" ht="13.5" customHeight="1" x14ac:dyDescent="0.25">
      <c r="A115" s="1"/>
      <c r="B115" s="2"/>
      <c r="I115" s="2"/>
      <c r="J115" s="2"/>
      <c r="K115" s="2"/>
      <c r="L115" s="2"/>
      <c r="M115" s="2"/>
      <c r="N115" s="2"/>
      <c r="O115" s="2"/>
      <c r="P115" s="2"/>
      <c r="Q115" s="2"/>
      <c r="R115" s="2"/>
      <c r="S115" s="2"/>
      <c r="T115" s="2"/>
      <c r="U115" s="2"/>
      <c r="V115" s="2"/>
      <c r="W115" s="2"/>
      <c r="X115" s="2"/>
      <c r="Y115" s="2"/>
      <c r="Z115" s="2"/>
      <c r="AA115" s="2"/>
      <c r="AB115" s="2"/>
      <c r="AC115" s="2"/>
      <c r="AD115" s="2"/>
      <c r="AE115" s="2"/>
    </row>
    <row r="116" spans="1:31" ht="13.5" customHeight="1" x14ac:dyDescent="0.25">
      <c r="A116" s="1"/>
      <c r="B116" s="2"/>
      <c r="I116" s="2"/>
      <c r="J116" s="2"/>
      <c r="K116" s="2"/>
      <c r="L116" s="2"/>
      <c r="M116" s="2"/>
      <c r="N116" s="2"/>
      <c r="O116" s="2"/>
      <c r="P116" s="2"/>
      <c r="Q116" s="2"/>
      <c r="R116" s="2"/>
      <c r="S116" s="2"/>
      <c r="T116" s="2"/>
      <c r="U116" s="2"/>
      <c r="V116" s="2"/>
      <c r="W116" s="2"/>
      <c r="X116" s="2"/>
      <c r="Y116" s="2"/>
      <c r="Z116" s="2"/>
      <c r="AA116" s="2"/>
      <c r="AB116" s="2"/>
      <c r="AC116" s="2"/>
      <c r="AD116" s="2"/>
      <c r="AE116" s="2"/>
    </row>
    <row r="117" spans="1:31" ht="13.5" customHeight="1" x14ac:dyDescent="0.25">
      <c r="A117" s="1"/>
      <c r="B117" s="2"/>
      <c r="I117" s="2"/>
      <c r="J117" s="2"/>
      <c r="K117" s="2"/>
      <c r="L117" s="2"/>
      <c r="M117" s="2"/>
      <c r="N117" s="2"/>
      <c r="O117" s="2"/>
      <c r="P117" s="2"/>
      <c r="Q117" s="2"/>
      <c r="R117" s="2"/>
      <c r="S117" s="2"/>
      <c r="T117" s="2"/>
      <c r="U117" s="2"/>
      <c r="V117" s="2"/>
      <c r="W117" s="2"/>
      <c r="X117" s="2"/>
      <c r="Y117" s="2"/>
      <c r="Z117" s="2"/>
      <c r="AA117" s="2"/>
      <c r="AB117" s="2"/>
      <c r="AC117" s="2"/>
      <c r="AD117" s="2"/>
      <c r="AE117" s="2"/>
    </row>
    <row r="118" spans="1:31" ht="13.5" customHeight="1" x14ac:dyDescent="0.25">
      <c r="A118" s="1"/>
      <c r="B118" s="2"/>
      <c r="I118" s="2"/>
      <c r="J118" s="2"/>
      <c r="K118" s="2"/>
      <c r="L118" s="2"/>
      <c r="M118" s="2"/>
      <c r="N118" s="2"/>
      <c r="O118" s="2"/>
      <c r="P118" s="2"/>
      <c r="Q118" s="2"/>
      <c r="R118" s="2"/>
      <c r="S118" s="2"/>
      <c r="T118" s="2"/>
      <c r="U118" s="2"/>
      <c r="V118" s="2"/>
      <c r="W118" s="2"/>
      <c r="X118" s="2"/>
      <c r="Y118" s="2"/>
      <c r="Z118" s="2"/>
      <c r="AA118" s="2"/>
      <c r="AB118" s="2"/>
      <c r="AC118" s="2"/>
      <c r="AD118" s="2"/>
      <c r="AE118" s="2"/>
    </row>
    <row r="119" spans="1:31" ht="13.5" customHeight="1" x14ac:dyDescent="0.2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spans="1:31" ht="13.5" customHeight="1" x14ac:dyDescent="0.2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spans="1:31" ht="13.5" customHeight="1" x14ac:dyDescent="0.2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spans="1:31" ht="13.5" customHeight="1" x14ac:dyDescent="0.2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spans="1:31" ht="13.5" customHeight="1" x14ac:dyDescent="0.2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spans="1:31" ht="13.5" customHeight="1" x14ac:dyDescent="0.2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spans="1:31" ht="13.5" customHeight="1" x14ac:dyDescent="0.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spans="1:31" ht="13.5" customHeight="1" x14ac:dyDescent="0.2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spans="1:31" ht="13.5" customHeight="1" x14ac:dyDescent="0.2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spans="1:31" ht="13.5" customHeight="1" x14ac:dyDescent="0.2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spans="1:31" ht="13.5" customHeight="1" x14ac:dyDescent="0.2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spans="1:31" ht="13.5" customHeight="1" x14ac:dyDescent="0.2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spans="1:31" ht="13.5" customHeight="1" x14ac:dyDescent="0.2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spans="1:31" ht="13.5" customHeight="1" x14ac:dyDescent="0.2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spans="1:31" ht="13.5" customHeight="1" x14ac:dyDescent="0.2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spans="1:31" ht="13.5" customHeight="1" x14ac:dyDescent="0.2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spans="1:31" ht="13.5" customHeight="1" x14ac:dyDescent="0.2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spans="1:31" ht="13.5" customHeight="1" x14ac:dyDescent="0.2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spans="1:31" ht="13.5" customHeight="1" x14ac:dyDescent="0.2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spans="1:31" ht="13.5" customHeight="1" x14ac:dyDescent="0.2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spans="1:31" ht="13.5" customHeight="1" x14ac:dyDescent="0.2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spans="1:31" ht="13.5" customHeight="1" x14ac:dyDescent="0.2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spans="1:31" ht="13.5" customHeight="1" x14ac:dyDescent="0.2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spans="1:31" ht="13.5" customHeight="1" x14ac:dyDescent="0.2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spans="1:31" ht="13.5" customHeight="1" x14ac:dyDescent="0.2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spans="1:31" ht="13.5" customHeight="1" x14ac:dyDescent="0.2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spans="1:31" ht="13.5" customHeight="1" x14ac:dyDescent="0.2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spans="1:31" ht="13.5" customHeight="1" x14ac:dyDescent="0.2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spans="1:31" ht="13.5" customHeight="1" x14ac:dyDescent="0.2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spans="1:31" ht="13.5" customHeight="1" x14ac:dyDescent="0.2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spans="1:31" ht="13.5" customHeight="1" x14ac:dyDescent="0.2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spans="1:31" ht="13.5" customHeight="1" x14ac:dyDescent="0.2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spans="1:31" ht="13.5" customHeight="1" x14ac:dyDescent="0.2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spans="1:31" ht="13.5" customHeight="1" x14ac:dyDescent="0.2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spans="1:31" ht="13.5" customHeight="1" x14ac:dyDescent="0.2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spans="1:31" ht="13.5" customHeight="1" x14ac:dyDescent="0.2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spans="1:31" ht="13.5" customHeight="1" x14ac:dyDescent="0.2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spans="1:31" ht="13.5" customHeight="1" x14ac:dyDescent="0.2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spans="1:31" ht="13.5" customHeight="1" x14ac:dyDescent="0.2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spans="1:31" ht="13.5" customHeight="1" x14ac:dyDescent="0.2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spans="1:31" ht="13.5" customHeight="1" x14ac:dyDescent="0.2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spans="1:31" ht="13.5" customHeight="1" x14ac:dyDescent="0.2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spans="1:31" ht="13.5" customHeight="1" x14ac:dyDescent="0.2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spans="1:31" ht="13.5" customHeight="1" x14ac:dyDescent="0.2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spans="1:31" ht="13.5" customHeight="1" x14ac:dyDescent="0.2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spans="1:31" ht="13.5" customHeight="1" x14ac:dyDescent="0.2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spans="1:31" ht="13.5" customHeight="1" x14ac:dyDescent="0.2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spans="1:31" ht="13.5" customHeight="1" x14ac:dyDescent="0.2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spans="1:31" ht="13.5" customHeight="1" x14ac:dyDescent="0.2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spans="1:31" ht="13.5" customHeight="1" x14ac:dyDescent="0.2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spans="1:31" ht="13.5" customHeight="1" x14ac:dyDescent="0.2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spans="1:31" ht="13.5" customHeight="1" x14ac:dyDescent="0.2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spans="1:31" ht="13.5" customHeight="1" x14ac:dyDescent="0.2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spans="1:31" ht="13.5" customHeight="1" x14ac:dyDescent="0.2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spans="1:31" ht="13.5" customHeight="1" x14ac:dyDescent="0.2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spans="1:31" ht="13.5" customHeight="1" x14ac:dyDescent="0.2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spans="1:31" ht="13.5" customHeight="1" x14ac:dyDescent="0.2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spans="1:31" ht="13.5" customHeight="1" x14ac:dyDescent="0.2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spans="1:31" ht="13.5" customHeight="1" x14ac:dyDescent="0.2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spans="1:31" ht="13.5" customHeight="1" x14ac:dyDescent="0.2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spans="1:31" ht="13.5" customHeight="1" x14ac:dyDescent="0.2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spans="1:31" ht="13.5" customHeight="1" x14ac:dyDescent="0.2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spans="1:31" ht="13.5" customHeight="1" x14ac:dyDescent="0.2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spans="1:31" ht="13.5" customHeight="1" x14ac:dyDescent="0.2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spans="1:31" ht="13.5" customHeight="1" x14ac:dyDescent="0.2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spans="1:31" ht="13.5" customHeight="1" x14ac:dyDescent="0.2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spans="1:31" ht="13.5" customHeight="1" x14ac:dyDescent="0.2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spans="1:31" ht="13.5" customHeight="1" x14ac:dyDescent="0.2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spans="1:31" ht="13.5" customHeight="1" x14ac:dyDescent="0.2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spans="1:31" ht="13.5" customHeight="1" x14ac:dyDescent="0.2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spans="1:31" ht="13.5" customHeight="1" x14ac:dyDescent="0.2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spans="1:31" ht="13.5" customHeight="1" x14ac:dyDescent="0.2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spans="1:31" ht="13.5" customHeight="1" x14ac:dyDescent="0.2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spans="1:31" ht="13.5" customHeight="1" x14ac:dyDescent="0.2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spans="1:31" ht="13.5" customHeight="1" x14ac:dyDescent="0.2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spans="1:31" ht="13.5" customHeight="1" x14ac:dyDescent="0.2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spans="1:31" ht="13.5" customHeight="1" x14ac:dyDescent="0.2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spans="1:31" ht="13.5" customHeight="1" x14ac:dyDescent="0.2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spans="1:31" ht="13.5" customHeight="1" x14ac:dyDescent="0.2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ht="13.5" customHeight="1" x14ac:dyDescent="0.2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ht="13.5" customHeight="1" x14ac:dyDescent="0.2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spans="1:31" ht="13.5" customHeight="1" x14ac:dyDescent="0.2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spans="1:31" ht="13.5" customHeight="1" x14ac:dyDescent="0.2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spans="1:31" ht="13.5" customHeight="1" x14ac:dyDescent="0.2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spans="1:31" ht="13.5" customHeight="1" x14ac:dyDescent="0.2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spans="1:31" ht="13.5" customHeight="1" x14ac:dyDescent="0.2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spans="1:31" ht="13.5" customHeight="1" x14ac:dyDescent="0.2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spans="1:31" ht="13.5" customHeight="1" x14ac:dyDescent="0.2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spans="1:31" ht="13.5" customHeight="1" x14ac:dyDescent="0.2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spans="1:31" ht="13.5" customHeight="1" x14ac:dyDescent="0.2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spans="1:31" ht="13.5" customHeight="1" x14ac:dyDescent="0.2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spans="1:31" ht="13.5" customHeight="1" x14ac:dyDescent="0.2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spans="1:31" ht="13.5" customHeight="1" x14ac:dyDescent="0.2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spans="1:31" ht="13.5" customHeight="1" x14ac:dyDescent="0.2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spans="1:31" ht="13.5" customHeight="1" x14ac:dyDescent="0.2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spans="1:31" ht="13.5" customHeight="1" x14ac:dyDescent="0.2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spans="1:31" ht="13.5" customHeight="1" x14ac:dyDescent="0.2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spans="1:31" ht="13.5" customHeight="1" x14ac:dyDescent="0.2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spans="1:31" ht="13.5" customHeight="1" x14ac:dyDescent="0.2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spans="1:31" ht="13.5" customHeight="1" x14ac:dyDescent="0.2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spans="1:31" ht="13.5" customHeight="1" x14ac:dyDescent="0.2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spans="1:31" ht="13.5" customHeight="1" x14ac:dyDescent="0.2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spans="1:31" ht="13.5" customHeight="1" x14ac:dyDescent="0.2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spans="1:31" ht="13.5" customHeight="1" x14ac:dyDescent="0.2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spans="1:31" ht="13.5" customHeight="1" x14ac:dyDescent="0.2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spans="1:31" ht="13.5" customHeight="1" x14ac:dyDescent="0.2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spans="1:31" ht="13.5" customHeight="1" x14ac:dyDescent="0.2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spans="1:31" ht="13.5" customHeight="1" x14ac:dyDescent="0.2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spans="1:31" ht="13.5" customHeight="1" x14ac:dyDescent="0.2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spans="1:31" ht="13.5" customHeight="1" x14ac:dyDescent="0.2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spans="1:31" ht="13.5" customHeight="1" x14ac:dyDescent="0.2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spans="1:31" ht="13.5" customHeight="1" x14ac:dyDescent="0.2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spans="1:31" ht="13.5" customHeight="1" x14ac:dyDescent="0.2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spans="1:31" ht="13.5" customHeight="1" x14ac:dyDescent="0.2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spans="1:31" ht="13.5" customHeight="1" x14ac:dyDescent="0.2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spans="1:31" ht="13.5" customHeight="1" x14ac:dyDescent="0.2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spans="1:31" ht="13.5" customHeight="1" x14ac:dyDescent="0.2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spans="1:31" ht="13.5" customHeight="1" x14ac:dyDescent="0.2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spans="1:31" ht="13.5" customHeight="1" x14ac:dyDescent="0.2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spans="1:31" ht="13.5" customHeight="1" x14ac:dyDescent="0.2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spans="1:31" ht="13.5" customHeight="1" x14ac:dyDescent="0.2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spans="1:31" ht="13.5" customHeight="1" x14ac:dyDescent="0.2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spans="1:31" ht="13.5" customHeight="1" x14ac:dyDescent="0.2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spans="1:31" ht="13.5" customHeight="1" x14ac:dyDescent="0.2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spans="1:31" ht="13.5" customHeight="1" x14ac:dyDescent="0.2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spans="1:31" ht="13.5" customHeight="1" x14ac:dyDescent="0.2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spans="1:31" ht="13.5" customHeight="1" x14ac:dyDescent="0.2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spans="1:31" ht="13.5" customHeight="1" x14ac:dyDescent="0.2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spans="1:31" ht="13.5" customHeight="1" x14ac:dyDescent="0.2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spans="1:31" ht="13.5" customHeight="1" x14ac:dyDescent="0.2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spans="1:31" ht="13.5" customHeight="1" x14ac:dyDescent="0.2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spans="1:31" ht="13.5" customHeight="1" x14ac:dyDescent="0.2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spans="1:31" ht="13.5" customHeight="1" x14ac:dyDescent="0.2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spans="1:31" ht="13.5" customHeight="1" x14ac:dyDescent="0.2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spans="1:31" ht="13.5" customHeight="1" x14ac:dyDescent="0.2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spans="1:31" ht="13.5" customHeight="1" x14ac:dyDescent="0.2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spans="1:31" ht="13.5" customHeight="1" x14ac:dyDescent="0.2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spans="1:31" ht="13.5" customHeight="1" x14ac:dyDescent="0.2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spans="1:31" ht="13.5" customHeight="1" x14ac:dyDescent="0.2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spans="1:31" ht="13.5" customHeight="1" x14ac:dyDescent="0.2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spans="1:31" ht="13.5" customHeight="1" x14ac:dyDescent="0.2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spans="1:31" ht="13.5" customHeight="1" x14ac:dyDescent="0.2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spans="1:31" ht="13.5" customHeight="1" x14ac:dyDescent="0.2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spans="1:31" ht="13.5" customHeight="1" x14ac:dyDescent="0.2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spans="1:31" ht="13.5" customHeight="1" x14ac:dyDescent="0.2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spans="1:31" ht="13.5" customHeight="1" x14ac:dyDescent="0.2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spans="1:31" ht="13.5" customHeight="1" x14ac:dyDescent="0.2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spans="1:31" ht="13.5" customHeight="1" x14ac:dyDescent="0.2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spans="1:31" ht="13.5" customHeight="1" x14ac:dyDescent="0.2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spans="1:31" ht="13.5" customHeight="1" x14ac:dyDescent="0.2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spans="1:31" ht="13.5" customHeight="1" x14ac:dyDescent="0.2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spans="1:31" ht="13.5" customHeight="1" x14ac:dyDescent="0.2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spans="1:31" ht="13.5" customHeight="1" x14ac:dyDescent="0.2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spans="1:31" ht="13.5" customHeight="1" x14ac:dyDescent="0.2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spans="1:31" ht="13.5" customHeight="1" x14ac:dyDescent="0.2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spans="1:31" ht="13.5" customHeight="1" x14ac:dyDescent="0.2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spans="1:31" ht="13.5" customHeight="1" x14ac:dyDescent="0.2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spans="1:31" ht="13.5" customHeight="1" x14ac:dyDescent="0.2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spans="1:31" ht="13.5" customHeight="1" x14ac:dyDescent="0.2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spans="1:31" ht="13.5" customHeight="1" x14ac:dyDescent="0.2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spans="1:31" ht="13.5" customHeight="1" x14ac:dyDescent="0.2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spans="1:31" ht="13.5" customHeight="1" x14ac:dyDescent="0.2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spans="1:31" ht="13.5" customHeight="1" x14ac:dyDescent="0.2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spans="1:31" ht="13.5" customHeight="1" x14ac:dyDescent="0.2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spans="1:31" ht="13.5" customHeight="1" x14ac:dyDescent="0.2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spans="1:31" ht="13.5" customHeight="1" x14ac:dyDescent="0.2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spans="1:31" ht="13.5" customHeight="1" x14ac:dyDescent="0.2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spans="1:31" ht="13.5" customHeight="1" x14ac:dyDescent="0.2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spans="1:31" ht="13.5" customHeight="1" x14ac:dyDescent="0.2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spans="1:31" ht="13.5" customHeight="1" x14ac:dyDescent="0.2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spans="1:31" ht="13.5" customHeight="1" x14ac:dyDescent="0.2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spans="1:31" ht="13.5" customHeight="1" x14ac:dyDescent="0.2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spans="1:31" ht="13.5" customHeight="1" x14ac:dyDescent="0.2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spans="1:31" ht="13.5" customHeight="1" x14ac:dyDescent="0.2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spans="1:31" ht="13.5" customHeight="1" x14ac:dyDescent="0.2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spans="1:31" ht="13.5" customHeight="1" x14ac:dyDescent="0.2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spans="1:31" ht="13.5" customHeight="1" x14ac:dyDescent="0.2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spans="1:31" ht="13.5" customHeight="1" x14ac:dyDescent="0.2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spans="1:31" ht="13.5" customHeight="1" x14ac:dyDescent="0.2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spans="1:31" ht="13.5" customHeight="1" x14ac:dyDescent="0.2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spans="1:31" ht="13.5" customHeight="1" x14ac:dyDescent="0.2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spans="1:31" ht="13.5" customHeight="1" x14ac:dyDescent="0.2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spans="1:31" ht="13.5" customHeight="1" x14ac:dyDescent="0.2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spans="1:31" ht="13.5" customHeight="1" x14ac:dyDescent="0.2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spans="1:31" ht="13.5" customHeight="1" x14ac:dyDescent="0.2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spans="1:31" ht="13.5" customHeight="1" x14ac:dyDescent="0.2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spans="1:31" ht="13.5" customHeight="1" x14ac:dyDescent="0.2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spans="1:31" ht="13.5" customHeight="1" x14ac:dyDescent="0.2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spans="1:31" ht="13.5" customHeight="1" x14ac:dyDescent="0.2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spans="1:31" ht="13.5" customHeight="1" x14ac:dyDescent="0.2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spans="1:31" ht="13.5" customHeight="1" x14ac:dyDescent="0.2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spans="1:31" ht="13.5" customHeight="1" x14ac:dyDescent="0.2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spans="1:31" ht="13.5" customHeight="1" x14ac:dyDescent="0.2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spans="1:31" ht="13.5" customHeight="1" x14ac:dyDescent="0.2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spans="1:31" ht="13.5" customHeight="1" x14ac:dyDescent="0.2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spans="1:31" ht="13.5" customHeight="1" x14ac:dyDescent="0.2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spans="1:31" ht="13.5" customHeight="1" x14ac:dyDescent="0.2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spans="1:31" ht="13.5" customHeight="1" x14ac:dyDescent="0.2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spans="1:31" ht="13.5" customHeight="1" x14ac:dyDescent="0.2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spans="1:31" ht="13.5" customHeight="1" x14ac:dyDescent="0.2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spans="1:31" ht="13.5" customHeight="1" x14ac:dyDescent="0.2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spans="1:31" ht="13.5" customHeight="1" x14ac:dyDescent="0.2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spans="1:31" ht="13.5" customHeight="1" x14ac:dyDescent="0.2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spans="1:31" ht="13.5" customHeight="1" x14ac:dyDescent="0.2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spans="1:31" ht="13.5" customHeight="1" x14ac:dyDescent="0.2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spans="1:31" ht="13.5" customHeight="1" x14ac:dyDescent="0.2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spans="1:31" ht="13.5" customHeight="1" x14ac:dyDescent="0.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spans="1:31" ht="13.5" customHeight="1" x14ac:dyDescent="0.2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spans="1:31" ht="13.5" customHeight="1" x14ac:dyDescent="0.2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spans="1:31" ht="13.5" customHeight="1" x14ac:dyDescent="0.2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spans="1:31" ht="13.5" customHeight="1" x14ac:dyDescent="0.2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spans="1:31" ht="13.5" customHeight="1" x14ac:dyDescent="0.2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spans="1:31" ht="13.5" customHeight="1" x14ac:dyDescent="0.2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spans="1:31" ht="13.5" customHeight="1" x14ac:dyDescent="0.2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spans="1:31" ht="13.5" customHeight="1" x14ac:dyDescent="0.2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spans="1:31" ht="13.5" customHeight="1" x14ac:dyDescent="0.2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spans="1:31" ht="13.5" customHeight="1" x14ac:dyDescent="0.2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spans="1:31" ht="13.5" customHeight="1" x14ac:dyDescent="0.2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spans="1:31" ht="13.5" customHeight="1" x14ac:dyDescent="0.2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spans="1:31" ht="13.5" customHeight="1" x14ac:dyDescent="0.2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spans="1:31" ht="13.5" customHeight="1" x14ac:dyDescent="0.2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spans="1:31" ht="13.5" customHeight="1" x14ac:dyDescent="0.2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spans="1:31" ht="13.5" customHeight="1" x14ac:dyDescent="0.2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spans="1:31" ht="13.5" customHeight="1" x14ac:dyDescent="0.2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spans="1:31" ht="13.5" customHeight="1" x14ac:dyDescent="0.2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spans="1:31" ht="13.5" customHeight="1" x14ac:dyDescent="0.2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spans="1:31" ht="13.5" customHeight="1" x14ac:dyDescent="0.2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spans="1:31" ht="13.5" customHeight="1" x14ac:dyDescent="0.2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spans="1:31" ht="13.5" customHeight="1" x14ac:dyDescent="0.2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spans="1:31" ht="13.5" customHeight="1" x14ac:dyDescent="0.2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spans="1:31" ht="13.5" customHeight="1" x14ac:dyDescent="0.2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spans="1:31" ht="13.5" customHeight="1" x14ac:dyDescent="0.2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spans="1:31" ht="13.5" customHeight="1" x14ac:dyDescent="0.2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spans="1:31" ht="13.5" customHeight="1" x14ac:dyDescent="0.2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spans="1:31" ht="13.5" customHeight="1" x14ac:dyDescent="0.2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spans="1:31" ht="13.5" customHeight="1" x14ac:dyDescent="0.2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spans="1:31" ht="13.5" customHeight="1" x14ac:dyDescent="0.2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spans="1:31" ht="13.5" customHeight="1" x14ac:dyDescent="0.2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spans="1:31" ht="13.5" customHeight="1" x14ac:dyDescent="0.2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spans="1:31" ht="13.5" customHeight="1" x14ac:dyDescent="0.2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spans="1:31" ht="13.5" customHeight="1" x14ac:dyDescent="0.2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spans="1:31" ht="13.5" customHeight="1" x14ac:dyDescent="0.2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spans="1:31" ht="13.5" customHeight="1" x14ac:dyDescent="0.2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spans="1:31" ht="13.5" customHeight="1" x14ac:dyDescent="0.2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spans="1:31" ht="13.5" customHeight="1" x14ac:dyDescent="0.2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spans="1:31" ht="13.5" customHeight="1" x14ac:dyDescent="0.2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spans="1:31" ht="13.5" customHeight="1" x14ac:dyDescent="0.2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spans="1:31" ht="13.5" customHeight="1" x14ac:dyDescent="0.2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spans="1:31" ht="13.5" customHeight="1" x14ac:dyDescent="0.2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spans="1:31" ht="13.5" customHeight="1" x14ac:dyDescent="0.2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spans="1:31" ht="13.5" customHeight="1" x14ac:dyDescent="0.2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spans="1:31" ht="13.5" customHeight="1" x14ac:dyDescent="0.2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spans="1:31" ht="13.5" customHeight="1" x14ac:dyDescent="0.2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spans="1:31" ht="13.5" customHeight="1" x14ac:dyDescent="0.2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spans="1:31" ht="13.5" customHeight="1" x14ac:dyDescent="0.2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spans="1:31" ht="13.5" customHeight="1" x14ac:dyDescent="0.2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spans="1:31" ht="13.5" customHeight="1" x14ac:dyDescent="0.2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spans="1:31" ht="13.5" customHeight="1" x14ac:dyDescent="0.2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spans="1:31" ht="13.5" customHeight="1" x14ac:dyDescent="0.2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spans="1:31" ht="13.5" customHeight="1" x14ac:dyDescent="0.2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spans="1:31" ht="13.5" customHeight="1" x14ac:dyDescent="0.2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spans="1:31" ht="13.5" customHeight="1" x14ac:dyDescent="0.2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spans="1:31" ht="13.5" customHeight="1" x14ac:dyDescent="0.2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spans="1:31" ht="13.5" customHeight="1" x14ac:dyDescent="0.2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spans="1:31" ht="13.5" customHeight="1" x14ac:dyDescent="0.2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spans="1:31" ht="13.5" customHeight="1" x14ac:dyDescent="0.2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spans="1:31" ht="13.5" customHeight="1" x14ac:dyDescent="0.2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spans="1:31" ht="13.5" customHeight="1" x14ac:dyDescent="0.2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spans="1:31" ht="13.5" customHeight="1" x14ac:dyDescent="0.2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spans="1:31" ht="13.5" customHeight="1" x14ac:dyDescent="0.2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spans="1:31" ht="13.5" customHeight="1" x14ac:dyDescent="0.2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spans="1:31" ht="13.5" customHeight="1" x14ac:dyDescent="0.2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spans="1:31" ht="13.5" customHeight="1" x14ac:dyDescent="0.2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spans="1:31" ht="13.5" customHeight="1" x14ac:dyDescent="0.2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spans="1:31" ht="13.5" customHeight="1" x14ac:dyDescent="0.2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spans="1:31" ht="13.5" customHeight="1" x14ac:dyDescent="0.2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spans="1:31" ht="13.5" customHeight="1" x14ac:dyDescent="0.2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spans="1:31" ht="13.5" customHeight="1" x14ac:dyDescent="0.2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spans="1:31" ht="13.5" customHeight="1" x14ac:dyDescent="0.2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spans="1:31" ht="13.5" customHeight="1" x14ac:dyDescent="0.2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spans="1:31" ht="13.5" customHeight="1" x14ac:dyDescent="0.2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spans="1:31" ht="13.5" customHeight="1" x14ac:dyDescent="0.2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spans="1:31" ht="13.5" customHeight="1" x14ac:dyDescent="0.2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spans="1:31" ht="13.5" customHeight="1" x14ac:dyDescent="0.2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spans="1:31" ht="13.5" customHeight="1" x14ac:dyDescent="0.2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spans="1:31" ht="13.5" customHeight="1" x14ac:dyDescent="0.2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spans="1:31" ht="13.5" customHeight="1" x14ac:dyDescent="0.2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spans="1:31" ht="13.5" customHeight="1" x14ac:dyDescent="0.2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spans="1:31" ht="13.5" customHeight="1" x14ac:dyDescent="0.2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spans="1:31" ht="13.5" customHeight="1" x14ac:dyDescent="0.2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spans="1:31" ht="13.5" customHeight="1" x14ac:dyDescent="0.2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spans="1:31" ht="13.5" customHeight="1" x14ac:dyDescent="0.2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spans="1:31" ht="13.5" customHeight="1" x14ac:dyDescent="0.2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spans="1:31" ht="13.5" customHeight="1" x14ac:dyDescent="0.2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spans="1:31" ht="13.5" customHeight="1" x14ac:dyDescent="0.2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spans="1:31" ht="13.5" customHeight="1" x14ac:dyDescent="0.2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spans="1:31" ht="13.5" customHeight="1" x14ac:dyDescent="0.2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spans="1:31" ht="13.5" customHeight="1" x14ac:dyDescent="0.2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spans="1:31" ht="13.5" customHeight="1" x14ac:dyDescent="0.2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spans="1:31" ht="13.5" customHeight="1" x14ac:dyDescent="0.2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spans="1:31" ht="13.5" customHeight="1" x14ac:dyDescent="0.2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spans="1:31" ht="13.5" customHeight="1" x14ac:dyDescent="0.2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spans="1:31" ht="13.5" customHeight="1" x14ac:dyDescent="0.2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spans="1:31" ht="13.5" customHeight="1" x14ac:dyDescent="0.2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spans="1:31" ht="13.5" customHeight="1" x14ac:dyDescent="0.2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spans="1:31" ht="13.5" customHeight="1" x14ac:dyDescent="0.2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spans="1:31" ht="13.5" customHeight="1" x14ac:dyDescent="0.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spans="1:31" ht="13.5" customHeight="1" x14ac:dyDescent="0.2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spans="1:31" ht="13.5" customHeight="1" x14ac:dyDescent="0.2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spans="1:31" ht="13.5" customHeight="1" x14ac:dyDescent="0.2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spans="1:31" ht="13.5" customHeight="1" x14ac:dyDescent="0.2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spans="1:31" ht="13.5" customHeight="1" x14ac:dyDescent="0.2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spans="1:31" ht="13.5" customHeight="1" x14ac:dyDescent="0.2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spans="1:31" ht="13.5" customHeight="1" x14ac:dyDescent="0.2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spans="1:31" ht="13.5" customHeight="1" x14ac:dyDescent="0.2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spans="1:31" ht="13.5" customHeight="1" x14ac:dyDescent="0.2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spans="1:31" ht="13.5" customHeight="1" x14ac:dyDescent="0.2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spans="1:31" ht="13.5" customHeight="1" x14ac:dyDescent="0.2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spans="1:31" ht="13.5" customHeight="1" x14ac:dyDescent="0.2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spans="1:31" ht="13.5" customHeight="1" x14ac:dyDescent="0.2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spans="1:31" ht="13.5" customHeight="1" x14ac:dyDescent="0.2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spans="1:31" ht="13.5" customHeight="1" x14ac:dyDescent="0.2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spans="1:31" ht="13.5" customHeight="1" x14ac:dyDescent="0.2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spans="1:31" ht="13.5" customHeight="1" x14ac:dyDescent="0.2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spans="1:31" ht="13.5" customHeight="1" x14ac:dyDescent="0.2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spans="1:31" ht="13.5" customHeight="1" x14ac:dyDescent="0.2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spans="1:31" ht="13.5" customHeight="1" x14ac:dyDescent="0.2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spans="1:31" ht="13.5" customHeight="1" x14ac:dyDescent="0.2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spans="1:31" ht="13.5" customHeight="1" x14ac:dyDescent="0.2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spans="1:31" ht="13.5" customHeight="1" x14ac:dyDescent="0.2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spans="1:31" ht="13.5" customHeight="1" x14ac:dyDescent="0.2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spans="1:31" ht="13.5" customHeight="1" x14ac:dyDescent="0.2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spans="1:31" ht="13.5" customHeight="1" x14ac:dyDescent="0.2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spans="1:31" ht="13.5" customHeight="1" x14ac:dyDescent="0.2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spans="1:31" ht="13.5" customHeight="1" x14ac:dyDescent="0.2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spans="1:31" ht="13.5" customHeight="1" x14ac:dyDescent="0.2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spans="1:31" ht="13.5" customHeight="1" x14ac:dyDescent="0.2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spans="1:31" ht="13.5" customHeight="1" x14ac:dyDescent="0.2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spans="1:31" ht="13.5" customHeight="1" x14ac:dyDescent="0.2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spans="1:31" ht="13.5" customHeight="1" x14ac:dyDescent="0.2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spans="1:31" ht="13.5" customHeight="1" x14ac:dyDescent="0.2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spans="1:31" ht="13.5" customHeight="1" x14ac:dyDescent="0.2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spans="1:31" ht="13.5" customHeight="1" x14ac:dyDescent="0.2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spans="1:31" ht="13.5" customHeight="1" x14ac:dyDescent="0.2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spans="1:31" ht="13.5" customHeight="1" x14ac:dyDescent="0.2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spans="1:31" ht="13.5" customHeight="1" x14ac:dyDescent="0.2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spans="1:31" ht="13.5" customHeight="1" x14ac:dyDescent="0.2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spans="1:31" ht="13.5" customHeight="1" x14ac:dyDescent="0.2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spans="1:31" ht="13.5" customHeight="1" x14ac:dyDescent="0.2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spans="1:31" ht="13.5" customHeight="1" x14ac:dyDescent="0.2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spans="1:31" ht="13.5" customHeight="1" x14ac:dyDescent="0.2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spans="1:31" ht="13.5" customHeight="1" x14ac:dyDescent="0.2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spans="1:31" ht="13.5" customHeight="1" x14ac:dyDescent="0.2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spans="1:31" ht="13.5" customHeight="1" x14ac:dyDescent="0.2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spans="1:31" ht="13.5" customHeight="1" x14ac:dyDescent="0.2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spans="1:31" ht="13.5" customHeight="1" x14ac:dyDescent="0.2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spans="1:31" ht="13.5" customHeight="1" x14ac:dyDescent="0.2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spans="1:31" ht="13.5" customHeight="1" x14ac:dyDescent="0.2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spans="1:31" ht="13.5" customHeight="1" x14ac:dyDescent="0.2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spans="1:31" ht="13.5" customHeight="1" x14ac:dyDescent="0.2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spans="1:31" ht="13.5" customHeight="1" x14ac:dyDescent="0.2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spans="1:31" ht="13.5" customHeight="1" x14ac:dyDescent="0.2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spans="1:31" ht="13.5" customHeight="1" x14ac:dyDescent="0.2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spans="1:31" ht="13.5" customHeight="1" x14ac:dyDescent="0.2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spans="1:31" ht="13.5" customHeight="1" x14ac:dyDescent="0.2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spans="1:31" ht="13.5" customHeight="1" x14ac:dyDescent="0.2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spans="1:31" ht="13.5" customHeight="1" x14ac:dyDescent="0.2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spans="1:31" ht="13.5" customHeight="1" x14ac:dyDescent="0.2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spans="1:31" ht="13.5" customHeight="1" x14ac:dyDescent="0.2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spans="1:31" ht="13.5" customHeight="1" x14ac:dyDescent="0.2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spans="1:31" ht="13.5" customHeight="1" x14ac:dyDescent="0.2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spans="1:31" ht="13.5" customHeight="1" x14ac:dyDescent="0.2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spans="1:31" ht="13.5" customHeight="1" x14ac:dyDescent="0.2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spans="1:31" ht="13.5" customHeight="1" x14ac:dyDescent="0.2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spans="1:31" ht="13.5" customHeight="1" x14ac:dyDescent="0.2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spans="1:31" ht="13.5" customHeight="1" x14ac:dyDescent="0.2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spans="1:31" ht="13.5" customHeight="1" x14ac:dyDescent="0.2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spans="1:31" ht="13.5" customHeight="1" x14ac:dyDescent="0.2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spans="1:31" ht="13.5" customHeight="1" x14ac:dyDescent="0.2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spans="1:31" ht="13.5" customHeight="1" x14ac:dyDescent="0.2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spans="1:31" ht="13.5" customHeight="1" x14ac:dyDescent="0.2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spans="1:31" ht="13.5" customHeight="1" x14ac:dyDescent="0.2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spans="1:31" ht="13.5" customHeight="1" x14ac:dyDescent="0.2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spans="1:31" ht="13.5" customHeight="1" x14ac:dyDescent="0.2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spans="1:31" ht="13.5" customHeight="1" x14ac:dyDescent="0.2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spans="1:31" ht="13.5" customHeight="1" x14ac:dyDescent="0.2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spans="1:31" ht="13.5" customHeight="1" x14ac:dyDescent="0.2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spans="1:31" ht="13.5" customHeight="1" x14ac:dyDescent="0.2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spans="1:31" ht="13.5" customHeight="1" x14ac:dyDescent="0.2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spans="1:31" ht="13.5" customHeight="1" x14ac:dyDescent="0.2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spans="1:31" ht="13.5" customHeight="1" x14ac:dyDescent="0.2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spans="1:31" ht="13.5" customHeight="1" x14ac:dyDescent="0.2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spans="1:31" ht="13.5" customHeight="1" x14ac:dyDescent="0.2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spans="1:31" ht="13.5" customHeight="1" x14ac:dyDescent="0.2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spans="1:31" ht="13.5" customHeight="1" x14ac:dyDescent="0.2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spans="1:31" ht="13.5" customHeight="1" x14ac:dyDescent="0.2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spans="1:31" ht="13.5" customHeight="1" x14ac:dyDescent="0.2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spans="1:31" ht="13.5" customHeight="1" x14ac:dyDescent="0.2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spans="1:31" ht="13.5" customHeight="1" x14ac:dyDescent="0.2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spans="1:31" ht="13.5" customHeight="1" x14ac:dyDescent="0.2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spans="1:31" ht="13.5" customHeight="1" x14ac:dyDescent="0.2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spans="1:31" ht="13.5" customHeight="1" x14ac:dyDescent="0.2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spans="1:31" ht="13.5" customHeight="1" x14ac:dyDescent="0.2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spans="1:31" ht="13.5" customHeight="1" x14ac:dyDescent="0.2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spans="1:31" ht="13.5" customHeight="1" x14ac:dyDescent="0.2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spans="1:31" ht="13.5" customHeight="1" x14ac:dyDescent="0.2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spans="1:31" ht="13.5" customHeight="1" x14ac:dyDescent="0.2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spans="1:31" ht="13.5" customHeight="1" x14ac:dyDescent="0.2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spans="1:31" ht="13.5" customHeight="1" x14ac:dyDescent="0.2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spans="1:31" ht="13.5" customHeight="1" x14ac:dyDescent="0.2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spans="1:31" ht="13.5" customHeight="1" x14ac:dyDescent="0.2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spans="1:31" ht="13.5" customHeight="1" x14ac:dyDescent="0.2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spans="1:31" ht="13.5" customHeight="1" x14ac:dyDescent="0.2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spans="1:31" ht="13.5" customHeight="1" x14ac:dyDescent="0.2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spans="1:31" ht="13.5" customHeight="1" x14ac:dyDescent="0.2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spans="1:31" ht="13.5" customHeight="1" x14ac:dyDescent="0.2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spans="1:31" ht="13.5" customHeight="1" x14ac:dyDescent="0.2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spans="1:31" ht="13.5" customHeight="1" x14ac:dyDescent="0.2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spans="1:31" ht="13.5" customHeight="1" x14ac:dyDescent="0.2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spans="1:31" ht="13.5" customHeight="1" x14ac:dyDescent="0.2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spans="1:31" ht="13.5" customHeight="1" x14ac:dyDescent="0.2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spans="1:31" ht="13.5" customHeight="1" x14ac:dyDescent="0.2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spans="1:31" ht="13.5" customHeight="1" x14ac:dyDescent="0.2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spans="1:31" ht="13.5" customHeight="1" x14ac:dyDescent="0.2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spans="1:31" ht="13.5" customHeight="1" x14ac:dyDescent="0.2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spans="1:31" ht="13.5" customHeight="1" x14ac:dyDescent="0.2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spans="1:31" ht="13.5" customHeight="1" x14ac:dyDescent="0.2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spans="1:31" ht="13.5" customHeight="1" x14ac:dyDescent="0.2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spans="1:31" ht="13.5" customHeight="1" x14ac:dyDescent="0.2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spans="1:31" ht="13.5" customHeight="1" x14ac:dyDescent="0.2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spans="1:31" ht="13.5" customHeight="1" x14ac:dyDescent="0.2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spans="1:31" ht="13.5" customHeight="1" x14ac:dyDescent="0.2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spans="1:31" ht="13.5" customHeight="1" x14ac:dyDescent="0.2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spans="1:31" ht="13.5" customHeight="1" x14ac:dyDescent="0.2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spans="1:31" ht="13.5" customHeight="1" x14ac:dyDescent="0.2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spans="1:31" ht="13.5" customHeight="1" x14ac:dyDescent="0.2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spans="1:31" ht="13.5" customHeight="1" x14ac:dyDescent="0.2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spans="1:31" ht="13.5" customHeight="1" x14ac:dyDescent="0.2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spans="1:31" ht="13.5" customHeight="1" x14ac:dyDescent="0.2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spans="1:31" ht="13.5" customHeight="1" x14ac:dyDescent="0.2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spans="1:31" ht="13.5" customHeight="1" x14ac:dyDescent="0.2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spans="1:31" ht="13.5" customHeight="1" x14ac:dyDescent="0.2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spans="1:31" ht="13.5" customHeight="1" x14ac:dyDescent="0.2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spans="1:31" ht="13.5" customHeight="1" x14ac:dyDescent="0.2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spans="1:31" ht="13.5" customHeight="1" x14ac:dyDescent="0.2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spans="1:31" ht="13.5" customHeight="1" x14ac:dyDescent="0.2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spans="1:31" ht="13.5" customHeight="1" x14ac:dyDescent="0.2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spans="1:31" ht="13.5" customHeight="1" x14ac:dyDescent="0.2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spans="1:31" ht="13.5" customHeight="1" x14ac:dyDescent="0.2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spans="1:31" ht="13.5" customHeight="1" x14ac:dyDescent="0.2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spans="1:31" ht="13.5" customHeight="1" x14ac:dyDescent="0.2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spans="1:31" ht="13.5" customHeight="1" x14ac:dyDescent="0.2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spans="1:31" ht="13.5" customHeight="1" x14ac:dyDescent="0.2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spans="1:31" ht="13.5" customHeight="1" x14ac:dyDescent="0.2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spans="1:31" ht="13.5" customHeight="1" x14ac:dyDescent="0.2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spans="1:31" ht="13.5" customHeight="1" x14ac:dyDescent="0.2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spans="1:31" ht="13.5" customHeight="1" x14ac:dyDescent="0.2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spans="1:31" ht="13.5" customHeight="1" x14ac:dyDescent="0.2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spans="1:31" ht="13.5" customHeight="1" x14ac:dyDescent="0.2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spans="1:31" ht="13.5" customHeight="1" x14ac:dyDescent="0.2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spans="1:31" ht="13.5" customHeight="1" x14ac:dyDescent="0.2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spans="1:31" ht="13.5" customHeight="1" x14ac:dyDescent="0.2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spans="1:31" ht="13.5" customHeight="1" x14ac:dyDescent="0.2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spans="1:31" ht="13.5" customHeight="1" x14ac:dyDescent="0.2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spans="1:31" ht="13.5" customHeight="1" x14ac:dyDescent="0.2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spans="1:31" ht="13.5" customHeight="1" x14ac:dyDescent="0.2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spans="1:31" ht="13.5" customHeight="1" x14ac:dyDescent="0.2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spans="1:31" ht="13.5" customHeight="1" x14ac:dyDescent="0.2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spans="1:31" ht="13.5" customHeight="1" x14ac:dyDescent="0.2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spans="1:31" ht="13.5" customHeight="1" x14ac:dyDescent="0.2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spans="1:31" ht="13.5" customHeight="1" x14ac:dyDescent="0.2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spans="1:31" ht="13.5" customHeight="1" x14ac:dyDescent="0.2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spans="1:31" ht="13.5" customHeight="1" x14ac:dyDescent="0.2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spans="1:31" ht="13.5" customHeight="1" x14ac:dyDescent="0.2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spans="1:31" ht="13.5" customHeight="1" x14ac:dyDescent="0.2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spans="1:31" ht="13.5" customHeight="1" x14ac:dyDescent="0.2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spans="1:31" ht="13.5" customHeight="1" x14ac:dyDescent="0.2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spans="1:31" ht="13.5" customHeight="1" x14ac:dyDescent="0.2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spans="1:31" ht="13.5" customHeight="1" x14ac:dyDescent="0.2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spans="1:31" ht="13.5" customHeight="1" x14ac:dyDescent="0.2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spans="1:31" ht="13.5" customHeight="1" x14ac:dyDescent="0.2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spans="1:31" ht="13.5" customHeight="1" x14ac:dyDescent="0.2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spans="1:31" ht="13.5" customHeight="1" x14ac:dyDescent="0.2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spans="1:31" ht="13.5" customHeight="1" x14ac:dyDescent="0.2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spans="1:31" ht="13.5" customHeight="1" x14ac:dyDescent="0.2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spans="1:31" ht="13.5" customHeight="1" x14ac:dyDescent="0.2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spans="1:31" ht="13.5" customHeight="1" x14ac:dyDescent="0.2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spans="1:31" ht="13.5" customHeight="1" x14ac:dyDescent="0.2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spans="1:31" ht="13.5" customHeight="1" x14ac:dyDescent="0.2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spans="1:31" ht="13.5" customHeight="1" x14ac:dyDescent="0.2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spans="1:31" ht="13.5" customHeight="1" x14ac:dyDescent="0.2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spans="1:31" ht="13.5" customHeight="1" x14ac:dyDescent="0.2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spans="1:31" ht="13.5" customHeight="1" x14ac:dyDescent="0.2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spans="1:31" ht="13.5" customHeight="1" x14ac:dyDescent="0.2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spans="1:31" ht="13.5" customHeight="1" x14ac:dyDescent="0.2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spans="1:31" ht="13.5" customHeight="1" x14ac:dyDescent="0.2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spans="1:31" ht="13.5" customHeight="1" x14ac:dyDescent="0.2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spans="1:31" ht="13.5" customHeight="1" x14ac:dyDescent="0.2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spans="1:31" ht="13.5" customHeight="1" x14ac:dyDescent="0.2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spans="1:31" ht="13.5" customHeight="1" x14ac:dyDescent="0.2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spans="1:31" ht="13.5" customHeight="1" x14ac:dyDescent="0.2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spans="1:31" ht="13.5" customHeight="1" x14ac:dyDescent="0.2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spans="1:31" ht="13.5" customHeight="1" x14ac:dyDescent="0.2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spans="1:31" ht="13.5" customHeight="1" x14ac:dyDescent="0.2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spans="1:31" ht="13.5" customHeight="1" x14ac:dyDescent="0.2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spans="1:31" ht="13.5" customHeight="1" x14ac:dyDescent="0.2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spans="1:31" ht="13.5" customHeight="1" x14ac:dyDescent="0.2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spans="1:31" ht="13.5" customHeight="1" x14ac:dyDescent="0.2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spans="1:31" ht="13.5" customHeight="1" x14ac:dyDescent="0.2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spans="1:31" ht="13.5" customHeight="1" x14ac:dyDescent="0.2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spans="1:31" ht="13.5" customHeight="1" x14ac:dyDescent="0.2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spans="1:31" ht="13.5" customHeight="1" x14ac:dyDescent="0.2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spans="1:31" ht="13.5" customHeight="1" x14ac:dyDescent="0.2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spans="1:31" ht="13.5" customHeight="1" x14ac:dyDescent="0.2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spans="1:31" ht="13.5" customHeight="1" x14ac:dyDescent="0.2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spans="1:31" ht="13.5" customHeight="1" x14ac:dyDescent="0.2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spans="1:31" ht="13.5" customHeight="1" x14ac:dyDescent="0.2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spans="1:31" ht="13.5" customHeight="1" x14ac:dyDescent="0.2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spans="1:31" ht="13.5" customHeight="1" x14ac:dyDescent="0.2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spans="1:31" ht="13.5" customHeight="1" x14ac:dyDescent="0.2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spans="1:31" ht="13.5" customHeight="1" x14ac:dyDescent="0.2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spans="1:31" ht="13.5" customHeight="1" x14ac:dyDescent="0.2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spans="1:31" ht="13.5" customHeight="1" x14ac:dyDescent="0.2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spans="1:31" ht="13.5" customHeight="1" x14ac:dyDescent="0.2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spans="1:31" ht="13.5" customHeight="1" x14ac:dyDescent="0.2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spans="1:31" ht="13.5" customHeight="1" x14ac:dyDescent="0.2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spans="1:31" ht="13.5" customHeight="1" x14ac:dyDescent="0.2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spans="1:31" ht="13.5" customHeight="1" x14ac:dyDescent="0.2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spans="1:31" ht="13.5" customHeight="1" x14ac:dyDescent="0.2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spans="1:31" ht="13.5" customHeight="1" x14ac:dyDescent="0.2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spans="1:31" ht="13.5" customHeight="1" x14ac:dyDescent="0.2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spans="1:31" ht="13.5" customHeight="1" x14ac:dyDescent="0.2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spans="1:31" ht="13.5" customHeight="1" x14ac:dyDescent="0.2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spans="1:31" ht="13.5" customHeight="1" x14ac:dyDescent="0.2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spans="1:31" ht="13.5" customHeight="1" x14ac:dyDescent="0.2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spans="1:31" ht="13.5" customHeight="1" x14ac:dyDescent="0.2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spans="1:31" ht="13.5" customHeight="1" x14ac:dyDescent="0.2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spans="1:31" ht="13.5" customHeight="1" x14ac:dyDescent="0.2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spans="1:31" ht="13.5" customHeight="1" x14ac:dyDescent="0.2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spans="1:31" ht="13.5" customHeight="1" x14ac:dyDescent="0.2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spans="1:31" ht="13.5" customHeight="1" x14ac:dyDescent="0.2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spans="1:31" ht="13.5" customHeight="1" x14ac:dyDescent="0.2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spans="1:31" ht="13.5" customHeight="1" x14ac:dyDescent="0.2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spans="1:31" ht="13.5" customHeight="1" x14ac:dyDescent="0.2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spans="1:31" ht="13.5" customHeight="1" x14ac:dyDescent="0.2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spans="1:31" ht="13.5" customHeight="1" x14ac:dyDescent="0.2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spans="1:31" ht="13.5" customHeight="1" x14ac:dyDescent="0.2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spans="1:31" ht="13.5" customHeight="1" x14ac:dyDescent="0.2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spans="1:31" ht="13.5" customHeight="1" x14ac:dyDescent="0.2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spans="1:31" ht="13.5" customHeight="1" x14ac:dyDescent="0.2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spans="1:31" ht="13.5" customHeight="1" x14ac:dyDescent="0.2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spans="1:31" ht="13.5" customHeight="1" x14ac:dyDescent="0.2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spans="1:31" ht="13.5" customHeight="1" x14ac:dyDescent="0.2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spans="1:31" ht="13.5" customHeight="1" x14ac:dyDescent="0.2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spans="1:31" ht="13.5" customHeight="1" x14ac:dyDescent="0.2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spans="1:31" ht="13.5" customHeight="1" x14ac:dyDescent="0.2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spans="1:31" ht="13.5" customHeight="1" x14ac:dyDescent="0.2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spans="1:31" ht="13.5" customHeight="1" x14ac:dyDescent="0.2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spans="1:31" ht="13.5" customHeight="1" x14ac:dyDescent="0.2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spans="1:31" ht="13.5" customHeight="1" x14ac:dyDescent="0.2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spans="1:31" ht="13.5" customHeight="1" x14ac:dyDescent="0.2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spans="1:31" ht="13.5" customHeight="1" x14ac:dyDescent="0.2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spans="1:31" ht="13.5" customHeight="1" x14ac:dyDescent="0.2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spans="1:31" ht="13.5" customHeight="1" x14ac:dyDescent="0.2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spans="1:31" ht="13.5" customHeight="1" x14ac:dyDescent="0.2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spans="1:31" ht="13.5" customHeight="1" x14ac:dyDescent="0.2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spans="1:31" ht="13.5" customHeight="1" x14ac:dyDescent="0.2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spans="1:31" ht="13.5" customHeight="1" x14ac:dyDescent="0.2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spans="1:31" ht="13.5" customHeight="1" x14ac:dyDescent="0.2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spans="1:31" ht="13.5" customHeight="1" x14ac:dyDescent="0.2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spans="1:31" ht="13.5" customHeight="1" x14ac:dyDescent="0.2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spans="1:31" ht="13.5" customHeight="1" x14ac:dyDescent="0.2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spans="1:31" ht="13.5" customHeight="1" x14ac:dyDescent="0.2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spans="1:31" ht="13.5" customHeight="1" x14ac:dyDescent="0.2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spans="1:31" ht="13.5" customHeight="1" x14ac:dyDescent="0.2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spans="1:31" ht="13.5" customHeight="1" x14ac:dyDescent="0.2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spans="1:31" ht="13.5" customHeight="1" x14ac:dyDescent="0.2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spans="1:31" ht="13.5" customHeight="1" x14ac:dyDescent="0.2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spans="1:31" ht="13.5" customHeight="1" x14ac:dyDescent="0.2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spans="1:31" ht="13.5" customHeight="1" x14ac:dyDescent="0.2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spans="1:31" ht="13.5" customHeight="1" x14ac:dyDescent="0.2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spans="1:31" ht="13.5" customHeight="1" x14ac:dyDescent="0.2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spans="1:31" ht="13.5" customHeight="1" x14ac:dyDescent="0.2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spans="1:31" ht="13.5" customHeight="1" x14ac:dyDescent="0.2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spans="1:31" ht="13.5" customHeight="1" x14ac:dyDescent="0.2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spans="1:31" ht="13.5" customHeight="1" x14ac:dyDescent="0.2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spans="1:31" ht="13.5" customHeight="1" x14ac:dyDescent="0.2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spans="1:31" ht="13.5" customHeight="1" x14ac:dyDescent="0.2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spans="1:31" ht="13.5" customHeight="1" x14ac:dyDescent="0.2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spans="1:31" ht="13.5" customHeight="1" x14ac:dyDescent="0.2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spans="1:31" ht="13.5" customHeight="1" x14ac:dyDescent="0.2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spans="1:31" ht="13.5" customHeight="1" x14ac:dyDescent="0.2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spans="1:31" ht="13.5" customHeight="1" x14ac:dyDescent="0.2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spans="1:31" ht="13.5" customHeight="1" x14ac:dyDescent="0.2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spans="1:31" ht="13.5" customHeight="1" x14ac:dyDescent="0.2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spans="1:31" ht="13.5" customHeight="1" x14ac:dyDescent="0.2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spans="1:31" ht="13.5" customHeight="1" x14ac:dyDescent="0.2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spans="1:31" ht="13.5" customHeight="1" x14ac:dyDescent="0.2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spans="1:31" ht="13.5" customHeight="1" x14ac:dyDescent="0.2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spans="1:31" ht="13.5" customHeight="1" x14ac:dyDescent="0.2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spans="1:31" ht="13.5" customHeight="1" x14ac:dyDescent="0.2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spans="1:31" ht="13.5" customHeight="1" x14ac:dyDescent="0.2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spans="1:31" ht="13.5" customHeight="1" x14ac:dyDescent="0.2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spans="1:31" ht="13.5" customHeight="1" x14ac:dyDescent="0.2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spans="1:31" ht="13.5" customHeight="1" x14ac:dyDescent="0.2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spans="1:31" ht="13.5" customHeight="1" x14ac:dyDescent="0.2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spans="1:31" ht="13.5" customHeight="1" x14ac:dyDescent="0.2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spans="1:31" ht="13.5" customHeight="1" x14ac:dyDescent="0.2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spans="1:31" ht="13.5" customHeight="1" x14ac:dyDescent="0.2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spans="1:31" ht="13.5" customHeight="1" x14ac:dyDescent="0.2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spans="1:31" ht="13.5" customHeight="1" x14ac:dyDescent="0.2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spans="1:31" ht="13.5" customHeight="1" x14ac:dyDescent="0.2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spans="1:31" ht="13.5" customHeight="1" x14ac:dyDescent="0.2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spans="1:31" ht="13.5" customHeight="1" x14ac:dyDescent="0.2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spans="1:31" ht="13.5" customHeight="1" x14ac:dyDescent="0.2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spans="1:31" ht="13.5" customHeight="1" x14ac:dyDescent="0.2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spans="1:31" ht="13.5" customHeight="1" x14ac:dyDescent="0.2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spans="1:31" ht="13.5" customHeight="1" x14ac:dyDescent="0.2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spans="1:31" ht="13.5" customHeight="1" x14ac:dyDescent="0.2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spans="1:31" ht="13.5" customHeight="1" x14ac:dyDescent="0.2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spans="1:31" ht="13.5" customHeight="1" x14ac:dyDescent="0.2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spans="1:31" ht="13.5" customHeight="1" x14ac:dyDescent="0.2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spans="1:31" ht="13.5" customHeight="1" x14ac:dyDescent="0.2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spans="1:31" ht="13.5" customHeight="1" x14ac:dyDescent="0.2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spans="1:31" ht="13.5" customHeight="1" x14ac:dyDescent="0.2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spans="1:31" ht="13.5" customHeight="1" x14ac:dyDescent="0.2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spans="1:31" ht="13.5" customHeight="1" x14ac:dyDescent="0.2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spans="1:31" ht="13.5" customHeight="1" x14ac:dyDescent="0.2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spans="1:31" ht="13.5" customHeight="1" x14ac:dyDescent="0.2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spans="1:31" ht="13.5" customHeight="1" x14ac:dyDescent="0.2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spans="1:31" ht="13.5" customHeight="1" x14ac:dyDescent="0.2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spans="1:31" ht="13.5" customHeight="1" x14ac:dyDescent="0.2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spans="1:31" ht="13.5" customHeight="1" x14ac:dyDescent="0.2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spans="1:31" ht="13.5" customHeight="1" x14ac:dyDescent="0.2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spans="1:31" ht="13.5" customHeight="1" x14ac:dyDescent="0.2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spans="1:31" ht="13.5" customHeight="1" x14ac:dyDescent="0.2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spans="1:31" ht="13.5" customHeight="1" x14ac:dyDescent="0.2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spans="1:31" ht="13.5" customHeight="1" x14ac:dyDescent="0.2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spans="1:31" ht="13.5" customHeight="1" x14ac:dyDescent="0.2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spans="1:31" ht="13.5" customHeight="1" x14ac:dyDescent="0.2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spans="1:31" ht="13.5" customHeight="1" x14ac:dyDescent="0.2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spans="1:31" ht="13.5" customHeight="1" x14ac:dyDescent="0.2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spans="1:31" ht="13.5" customHeight="1" x14ac:dyDescent="0.2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spans="1:31" ht="13.5" customHeight="1" x14ac:dyDescent="0.2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spans="1:31" ht="13.5" customHeight="1" x14ac:dyDescent="0.2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spans="1:31" ht="13.5" customHeight="1" x14ac:dyDescent="0.2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spans="1:31" ht="13.5" customHeight="1" x14ac:dyDescent="0.2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spans="1:31" ht="13.5" customHeight="1" x14ac:dyDescent="0.2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spans="1:31" ht="13.5" customHeight="1" x14ac:dyDescent="0.2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spans="1:31" ht="13.5" customHeight="1" x14ac:dyDescent="0.2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spans="1:31" ht="13.5" customHeight="1" x14ac:dyDescent="0.2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spans="1:31" ht="13.5" customHeight="1" x14ac:dyDescent="0.2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spans="1:31" ht="13.5" customHeight="1" x14ac:dyDescent="0.2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spans="1:31" ht="13.5" customHeight="1" x14ac:dyDescent="0.2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spans="1:31" ht="13.5" customHeight="1" x14ac:dyDescent="0.2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spans="1:31" ht="13.5" customHeight="1" x14ac:dyDescent="0.2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spans="1:31" ht="13.5" customHeight="1" x14ac:dyDescent="0.2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spans="1:31" ht="13.5" customHeight="1" x14ac:dyDescent="0.2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spans="1:31" ht="13.5" customHeight="1" x14ac:dyDescent="0.2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spans="1:31" ht="13.5" customHeight="1" x14ac:dyDescent="0.2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spans="1:31" ht="13.5" customHeight="1" x14ac:dyDescent="0.2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spans="1:31" ht="13.5" customHeight="1" x14ac:dyDescent="0.2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spans="1:31" ht="13.5" customHeight="1" x14ac:dyDescent="0.2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spans="1:31" ht="13.5" customHeight="1" x14ac:dyDescent="0.2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spans="1:31" ht="13.5" customHeight="1" x14ac:dyDescent="0.2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spans="1:31" ht="13.5" customHeight="1" x14ac:dyDescent="0.2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spans="1:31" ht="13.5" customHeight="1" x14ac:dyDescent="0.2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spans="1:31" ht="13.5" customHeight="1" x14ac:dyDescent="0.2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spans="1:31" ht="13.5" customHeight="1" x14ac:dyDescent="0.2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spans="1:31" ht="13.5" customHeight="1" x14ac:dyDescent="0.2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spans="1:31" ht="13.5" customHeight="1" x14ac:dyDescent="0.2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spans="1:31" ht="13.5" customHeight="1" x14ac:dyDescent="0.2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spans="1:31" ht="13.5" customHeight="1" x14ac:dyDescent="0.2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spans="1:31" ht="13.5" customHeight="1" x14ac:dyDescent="0.2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spans="1:31" ht="13.5" customHeight="1" x14ac:dyDescent="0.2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spans="1:31" ht="13.5" customHeight="1" x14ac:dyDescent="0.2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spans="1:31" ht="13.5" customHeight="1" x14ac:dyDescent="0.2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spans="1:31" ht="13.5" customHeight="1" x14ac:dyDescent="0.2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spans="1:31" ht="13.5" customHeight="1" x14ac:dyDescent="0.2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spans="1:31" ht="13.5" customHeight="1" x14ac:dyDescent="0.2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spans="1:31" ht="13.5" customHeight="1" x14ac:dyDescent="0.2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spans="1:31" ht="13.5" customHeight="1" x14ac:dyDescent="0.2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spans="1:31" ht="13.5" customHeight="1" x14ac:dyDescent="0.2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spans="1:31" ht="13.5" customHeight="1" x14ac:dyDescent="0.2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spans="1:31" ht="13.5" customHeight="1" x14ac:dyDescent="0.2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spans="1:31" ht="13.5" customHeight="1" x14ac:dyDescent="0.2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spans="1:31" ht="13.5" customHeight="1" x14ac:dyDescent="0.2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spans="1:31" ht="13.5" customHeight="1" x14ac:dyDescent="0.2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spans="1:31" ht="13.5" customHeight="1" x14ac:dyDescent="0.2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spans="1:31" ht="13.5" customHeight="1" x14ac:dyDescent="0.2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spans="1:31" ht="13.5" customHeight="1" x14ac:dyDescent="0.2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spans="1:31" ht="13.5" customHeight="1" x14ac:dyDescent="0.2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spans="1:31" ht="13.5" customHeight="1" x14ac:dyDescent="0.2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spans="1:31" ht="13.5" customHeight="1" x14ac:dyDescent="0.2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spans="1:31" ht="13.5" customHeight="1" x14ac:dyDescent="0.2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spans="1:31" ht="13.5" customHeight="1" x14ac:dyDescent="0.2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spans="1:31" ht="13.5" customHeight="1" x14ac:dyDescent="0.2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spans="1:31" ht="13.5" customHeight="1" x14ac:dyDescent="0.2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spans="1:31" ht="13.5" customHeight="1" x14ac:dyDescent="0.2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spans="1:31" ht="13.5" customHeight="1" x14ac:dyDescent="0.2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spans="1:31" ht="13.5" customHeight="1" x14ac:dyDescent="0.2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spans="1:31" ht="13.5" customHeight="1" x14ac:dyDescent="0.2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spans="1:31" ht="13.5" customHeight="1" x14ac:dyDescent="0.2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spans="1:31" ht="13.5" customHeight="1" x14ac:dyDescent="0.2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spans="1:31" ht="13.5" customHeight="1" x14ac:dyDescent="0.2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spans="1:31" ht="13.5" customHeight="1" x14ac:dyDescent="0.2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spans="1:31" ht="13.5" customHeight="1" x14ac:dyDescent="0.2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spans="1:31" ht="13.5" customHeight="1" x14ac:dyDescent="0.2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spans="1:31" ht="13.5" customHeight="1" x14ac:dyDescent="0.2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spans="1:31" ht="13.5" customHeight="1" x14ac:dyDescent="0.2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spans="1:31" ht="13.5" customHeight="1" x14ac:dyDescent="0.2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spans="1:31" ht="13.5" customHeight="1" x14ac:dyDescent="0.2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spans="1:31" ht="13.5" customHeight="1" x14ac:dyDescent="0.2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spans="1:31" ht="13.5" customHeight="1" x14ac:dyDescent="0.2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spans="1:31" ht="13.5" customHeight="1" x14ac:dyDescent="0.2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spans="1:31" ht="13.5" customHeight="1" x14ac:dyDescent="0.2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spans="1:31" ht="13.5" customHeight="1" x14ac:dyDescent="0.2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spans="1:31" ht="13.5" customHeight="1" x14ac:dyDescent="0.2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spans="1:31" ht="13.5" customHeight="1" x14ac:dyDescent="0.2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spans="1:31" ht="13.5" customHeight="1" x14ac:dyDescent="0.2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spans="1:31" ht="13.5" customHeight="1" x14ac:dyDescent="0.2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spans="1:31" ht="13.5" customHeight="1" x14ac:dyDescent="0.2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spans="1:31" ht="13.5" customHeight="1" x14ac:dyDescent="0.2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spans="1:31" ht="13.5" customHeight="1" x14ac:dyDescent="0.2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spans="1:31" ht="13.5" customHeight="1" x14ac:dyDescent="0.2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spans="1:31" ht="13.5" customHeight="1" x14ac:dyDescent="0.2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spans="1:31" ht="13.5" customHeight="1" x14ac:dyDescent="0.2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spans="1:31" ht="13.5" customHeight="1" x14ac:dyDescent="0.2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spans="1:31" ht="13.5" customHeight="1" x14ac:dyDescent="0.2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spans="1:31" ht="13.5" customHeight="1" x14ac:dyDescent="0.2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spans="1:31" ht="13.5" customHeight="1" x14ac:dyDescent="0.2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spans="1:31" ht="13.5" customHeight="1" x14ac:dyDescent="0.2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spans="1:31" ht="13.5" customHeight="1" x14ac:dyDescent="0.2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spans="1:31" ht="13.5" customHeight="1" x14ac:dyDescent="0.2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spans="1:31" ht="13.5" customHeight="1" x14ac:dyDescent="0.2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spans="1:31" ht="13.5" customHeight="1" x14ac:dyDescent="0.2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spans="1:31" ht="13.5" customHeight="1" x14ac:dyDescent="0.2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spans="1:31" ht="13.5" customHeight="1" x14ac:dyDescent="0.2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spans="1:31" ht="13.5" customHeight="1" x14ac:dyDescent="0.2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spans="1:31" ht="13.5" customHeight="1" x14ac:dyDescent="0.2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spans="1:31" ht="13.5" customHeight="1" x14ac:dyDescent="0.2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spans="1:31" ht="13.5" customHeight="1" x14ac:dyDescent="0.2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spans="1:31" ht="13.5" customHeight="1" x14ac:dyDescent="0.2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spans="1:31" ht="13.5" customHeight="1" x14ac:dyDescent="0.2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spans="1:31" ht="13.5" customHeight="1" x14ac:dyDescent="0.2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spans="1:31" ht="13.5" customHeight="1" x14ac:dyDescent="0.2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spans="1:31" ht="13.5" customHeight="1" x14ac:dyDescent="0.2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spans="1:31" ht="13.5" customHeight="1" x14ac:dyDescent="0.2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spans="1:31" ht="13.5" customHeight="1" x14ac:dyDescent="0.2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spans="1:31" ht="13.5" customHeight="1" x14ac:dyDescent="0.2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spans="1:31" ht="13.5" customHeight="1" x14ac:dyDescent="0.2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spans="1:31" ht="13.5" customHeight="1" x14ac:dyDescent="0.2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spans="1:31" ht="13.5" customHeight="1" x14ac:dyDescent="0.2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spans="1:31" ht="13.5" customHeight="1" x14ac:dyDescent="0.2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spans="1:31" ht="13.5" customHeight="1" x14ac:dyDescent="0.2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spans="1:31" ht="13.5" customHeight="1" x14ac:dyDescent="0.2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spans="1:31" ht="13.5" customHeight="1" x14ac:dyDescent="0.2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spans="1:31" ht="13.5" customHeight="1" x14ac:dyDescent="0.2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spans="1:31" ht="13.5" customHeight="1" x14ac:dyDescent="0.2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spans="1:31" ht="13.5" customHeight="1" x14ac:dyDescent="0.2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spans="1:31" ht="13.5" customHeight="1" x14ac:dyDescent="0.2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spans="1:31" ht="13.5" customHeight="1" x14ac:dyDescent="0.2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spans="1:31" ht="13.5" customHeight="1" x14ac:dyDescent="0.2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spans="1:31" ht="13.5" customHeight="1" x14ac:dyDescent="0.2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spans="1:31" ht="13.5" customHeight="1" x14ac:dyDescent="0.2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spans="1:31" ht="13.5" customHeight="1" x14ac:dyDescent="0.2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spans="1:31" ht="13.5" customHeight="1" x14ac:dyDescent="0.2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spans="1:31" ht="13.5" customHeight="1" x14ac:dyDescent="0.2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spans="1:31" ht="13.5" customHeight="1" x14ac:dyDescent="0.2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spans="1:31" ht="13.5" customHeight="1" x14ac:dyDescent="0.2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spans="1:31" ht="13.5" customHeight="1" x14ac:dyDescent="0.2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spans="1:31" ht="13.5" customHeight="1" x14ac:dyDescent="0.2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spans="1:31" ht="13.5" customHeight="1" x14ac:dyDescent="0.2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spans="1:31" ht="13.5" customHeight="1" x14ac:dyDescent="0.2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spans="1:31" ht="13.5" customHeight="1" x14ac:dyDescent="0.2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spans="1:31" ht="13.5" customHeight="1" x14ac:dyDescent="0.2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spans="1:31" ht="13.5" customHeight="1" x14ac:dyDescent="0.2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spans="1:31" ht="13.5" customHeight="1" x14ac:dyDescent="0.2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spans="1:31" ht="13.5" customHeight="1" x14ac:dyDescent="0.2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spans="1:31" ht="13.5" customHeight="1" x14ac:dyDescent="0.2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spans="1:31" ht="13.5" customHeight="1" x14ac:dyDescent="0.2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spans="1:31" ht="13.5" customHeight="1" x14ac:dyDescent="0.2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spans="1:31" ht="13.5" customHeight="1" x14ac:dyDescent="0.2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spans="1:31" ht="13.5" customHeight="1" x14ac:dyDescent="0.2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spans="1:31" ht="13.5" customHeight="1" x14ac:dyDescent="0.2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spans="1:31" ht="13.5" customHeight="1" x14ac:dyDescent="0.2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spans="1:31" ht="13.5" customHeight="1" x14ac:dyDescent="0.2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spans="1:31" ht="13.5" customHeight="1" x14ac:dyDescent="0.2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spans="1:31" ht="13.5" customHeight="1" x14ac:dyDescent="0.2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spans="1:31" ht="13.5" customHeight="1" x14ac:dyDescent="0.2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spans="1:31" ht="13.5" customHeight="1" x14ac:dyDescent="0.2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spans="1:31" ht="13.5" customHeight="1" x14ac:dyDescent="0.2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spans="1:31" ht="13.5" customHeight="1" x14ac:dyDescent="0.2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spans="1:31" ht="13.5" customHeight="1" x14ac:dyDescent="0.2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spans="1:31" ht="13.5" customHeight="1" x14ac:dyDescent="0.2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spans="1:31" ht="13.5" customHeight="1" x14ac:dyDescent="0.2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spans="1:31" ht="13.5" customHeight="1" x14ac:dyDescent="0.2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spans="1:31" ht="13.5" customHeight="1" x14ac:dyDescent="0.2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spans="1:31" ht="13.5" customHeight="1" x14ac:dyDescent="0.2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spans="1:31" ht="13.5" customHeight="1" x14ac:dyDescent="0.2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spans="1:31" ht="13.5" customHeight="1" x14ac:dyDescent="0.2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spans="1:31" ht="13.5" customHeight="1" x14ac:dyDescent="0.2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spans="1:31" ht="13.5" customHeight="1" x14ac:dyDescent="0.2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spans="1:31" ht="13.5" customHeight="1" x14ac:dyDescent="0.2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spans="1:31" ht="13.5" customHeight="1" x14ac:dyDescent="0.2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spans="1:31" ht="13.5" customHeight="1" x14ac:dyDescent="0.2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spans="1:31" ht="13.5" customHeight="1" x14ac:dyDescent="0.2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spans="1:31" ht="13.5" customHeight="1" x14ac:dyDescent="0.2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spans="1:31" ht="13.5" customHeight="1" x14ac:dyDescent="0.2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spans="1:31" ht="13.5" customHeight="1" x14ac:dyDescent="0.2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spans="1:31" ht="13.5" customHeight="1" x14ac:dyDescent="0.2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spans="1:31" ht="13.5" customHeight="1" x14ac:dyDescent="0.2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spans="1:31" ht="13.5" customHeight="1" x14ac:dyDescent="0.2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spans="1:31" ht="13.5" customHeight="1" x14ac:dyDescent="0.2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spans="1:31" ht="13.5" customHeight="1" x14ac:dyDescent="0.2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spans="1:31" ht="13.5" customHeight="1" x14ac:dyDescent="0.2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spans="1:31" ht="13.5" customHeight="1" x14ac:dyDescent="0.2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spans="1:31" ht="13.5" customHeight="1" x14ac:dyDescent="0.2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spans="1:31" ht="13.5" customHeight="1" x14ac:dyDescent="0.2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spans="1:31" ht="13.5" customHeight="1" x14ac:dyDescent="0.2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spans="1:31" ht="13.5" customHeight="1" x14ac:dyDescent="0.2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spans="1:31" ht="13.5" customHeight="1" x14ac:dyDescent="0.2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spans="1:31" ht="13.5" customHeight="1" x14ac:dyDescent="0.2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spans="1:31" ht="13.5" customHeight="1" x14ac:dyDescent="0.2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spans="1:31" ht="13.5" customHeight="1" x14ac:dyDescent="0.2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spans="1:31" ht="13.5" customHeight="1" x14ac:dyDescent="0.2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spans="1:31" ht="13.5" customHeight="1" x14ac:dyDescent="0.2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spans="1:31" ht="13.5" customHeight="1" x14ac:dyDescent="0.2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spans="1:31" ht="13.5" customHeight="1" x14ac:dyDescent="0.2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spans="1:31" ht="13.5" customHeight="1" x14ac:dyDescent="0.2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spans="1:31" ht="13.5" customHeight="1" x14ac:dyDescent="0.2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spans="1:31" ht="13.5" customHeight="1" x14ac:dyDescent="0.2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spans="1:31" ht="13.5" customHeight="1" x14ac:dyDescent="0.2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spans="1:31" ht="13.5" customHeight="1" x14ac:dyDescent="0.2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spans="1:31" ht="13.5" customHeight="1" x14ac:dyDescent="0.2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spans="1:31" ht="13.5" customHeight="1" x14ac:dyDescent="0.2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spans="1:31" ht="13.5" customHeight="1" x14ac:dyDescent="0.2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spans="1:31" ht="13.5" customHeight="1" x14ac:dyDescent="0.2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spans="1:31" ht="13.5" customHeight="1" x14ac:dyDescent="0.2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spans="1:31" ht="13.5" customHeight="1" x14ac:dyDescent="0.2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spans="1:31" ht="13.5" customHeight="1" x14ac:dyDescent="0.2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spans="1:31" ht="13.5" customHeight="1" x14ac:dyDescent="0.2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spans="1:31" ht="13.5" customHeight="1" x14ac:dyDescent="0.2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spans="1:31" ht="13.5" customHeight="1" x14ac:dyDescent="0.2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spans="1:31" ht="13.5" customHeight="1" x14ac:dyDescent="0.2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spans="1:31" ht="13.5" customHeight="1" x14ac:dyDescent="0.2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spans="1:31" ht="13.5" customHeight="1" x14ac:dyDescent="0.2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spans="1:31" ht="13.5" customHeight="1" x14ac:dyDescent="0.2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spans="1:31" ht="13.5" customHeight="1" x14ac:dyDescent="0.2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spans="1:31" ht="13.5" customHeight="1" x14ac:dyDescent="0.2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spans="1:31" ht="13.5" customHeight="1" x14ac:dyDescent="0.2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spans="1:31" ht="13.5" customHeight="1" x14ac:dyDescent="0.2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spans="1:31" ht="13.5" customHeight="1" x14ac:dyDescent="0.2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spans="1:31" ht="13.5" customHeight="1" x14ac:dyDescent="0.2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spans="1:31" ht="13.5" customHeight="1" x14ac:dyDescent="0.2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spans="1:31" ht="13.5" customHeight="1" x14ac:dyDescent="0.2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spans="1:31" ht="13.5" customHeight="1" x14ac:dyDescent="0.2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spans="1:31" ht="13.5" customHeight="1" x14ac:dyDescent="0.2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spans="1:31" ht="13.5" customHeight="1" x14ac:dyDescent="0.2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spans="1:31" ht="13.5" customHeight="1" x14ac:dyDescent="0.2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spans="1:31" ht="13.5" customHeight="1" x14ac:dyDescent="0.2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spans="1:31" ht="13.5" customHeight="1" x14ac:dyDescent="0.2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spans="1:31" ht="13.5" customHeight="1" x14ac:dyDescent="0.2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spans="1:31" ht="13.5" customHeight="1" x14ac:dyDescent="0.2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spans="1:31" ht="13.5" customHeight="1" x14ac:dyDescent="0.2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spans="1:31" ht="13.5" customHeight="1" x14ac:dyDescent="0.2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spans="1:31" ht="13.5" customHeight="1" x14ac:dyDescent="0.2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spans="1:31" ht="13.5" customHeight="1" x14ac:dyDescent="0.2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spans="1:31" ht="13.5" customHeight="1" x14ac:dyDescent="0.2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spans="1:31" ht="13.5" customHeight="1" x14ac:dyDescent="0.2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spans="1:31" ht="13.5" customHeight="1" x14ac:dyDescent="0.2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spans="1:31" ht="13.5" customHeight="1" x14ac:dyDescent="0.2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spans="1:31" ht="13.5" customHeight="1" x14ac:dyDescent="0.2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spans="1:31" ht="13.5" customHeight="1" x14ac:dyDescent="0.2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spans="1:31" ht="13.5" customHeight="1" x14ac:dyDescent="0.2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spans="1:31" ht="13.5" customHeight="1" x14ac:dyDescent="0.2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spans="1:31" ht="13.5" customHeight="1" x14ac:dyDescent="0.2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spans="1:31" ht="13.5" customHeight="1" x14ac:dyDescent="0.2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spans="1:31" ht="13.5" customHeight="1" x14ac:dyDescent="0.2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spans="1:31" ht="13.5" customHeight="1" x14ac:dyDescent="0.2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spans="1:31" ht="13.5" customHeight="1" x14ac:dyDescent="0.2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spans="1:31" ht="13.5" customHeight="1" x14ac:dyDescent="0.25">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sheetData>
  <mergeCells count="6">
    <mergeCell ref="G5:S5"/>
    <mergeCell ref="T5:AA5"/>
    <mergeCell ref="G31:S31"/>
    <mergeCell ref="T31:AA31"/>
    <mergeCell ref="G72:S72"/>
    <mergeCell ref="T72:AA72"/>
  </mergeCells>
  <pageMargins left="0.7" right="0.7" top="0.75" bottom="0.75" header="0" footer="0"/>
  <pageSetup scale="45"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8000"/>
    <pageSetUpPr fitToPage="1"/>
  </sheetPr>
  <dimension ref="A1:AD1000"/>
  <sheetViews>
    <sheetView showGridLines="0" zoomScale="80" zoomScaleNormal="80" workbookViewId="0"/>
  </sheetViews>
  <sheetFormatPr defaultColWidth="14.42578125" defaultRowHeight="15" customHeight="1" x14ac:dyDescent="0.25"/>
  <cols>
    <col min="1" max="1" width="0.85546875" customWidth="1"/>
    <col min="2" max="2" width="25.5703125" customWidth="1"/>
    <col min="3" max="4" width="5.7109375" customWidth="1"/>
    <col min="5" max="6" width="9.85546875" customWidth="1"/>
    <col min="7" max="7" width="11.5703125" customWidth="1"/>
    <col min="8" max="8" width="10.85546875" customWidth="1"/>
    <col min="9" max="10" width="10.5703125" customWidth="1"/>
    <col min="11" max="11" width="11" customWidth="1"/>
    <col min="12" max="12" width="1.7109375" customWidth="1"/>
    <col min="13" max="13" width="9.85546875" customWidth="1"/>
    <col min="14" max="14" width="1.7109375" customWidth="1"/>
    <col min="15" max="15" width="12" customWidth="1"/>
    <col min="16" max="16" width="0.85546875" customWidth="1"/>
    <col min="17" max="17" width="8.7109375" customWidth="1"/>
    <col min="18" max="18" width="19" customWidth="1"/>
    <col min="19" max="19" width="14.140625" customWidth="1"/>
    <col min="20" max="22" width="13.140625" customWidth="1"/>
    <col min="23" max="23" width="8.7109375" customWidth="1"/>
    <col min="24" max="24" width="13.85546875" customWidth="1"/>
    <col min="25" max="30" width="8.7109375" customWidth="1"/>
  </cols>
  <sheetData>
    <row r="1" spans="1:30" ht="13.5" customHeight="1" x14ac:dyDescent="0.35">
      <c r="A1" s="2"/>
      <c r="B1" s="130" t="str">
        <f>Company_Name&amp;" "&amp;"("&amp;Ticker&amp;")"&amp;" Valuation Overview"</f>
        <v>American Express Company (AXP) Valuation Overview</v>
      </c>
      <c r="C1" s="2"/>
      <c r="D1" s="2"/>
      <c r="E1" s="2"/>
      <c r="F1" s="2"/>
      <c r="G1" s="2"/>
      <c r="H1" s="2"/>
      <c r="I1" s="2"/>
      <c r="J1" s="131"/>
      <c r="K1" s="977" t="s">
        <v>131</v>
      </c>
      <c r="L1" s="978"/>
      <c r="M1" s="978"/>
      <c r="N1" s="979" t="str">
        <f>Case_Scenario&amp;" Case"</f>
        <v>Base Case</v>
      </c>
      <c r="O1" s="978"/>
      <c r="P1" s="466"/>
      <c r="Q1" s="466"/>
      <c r="R1" s="37" t="s">
        <v>132</v>
      </c>
      <c r="S1" s="9" t="str">
        <f>IF(N1="Base Case","","Check!")</f>
        <v/>
      </c>
      <c r="T1" s="9"/>
      <c r="U1" s="9"/>
      <c r="V1" s="2"/>
      <c r="W1" s="9"/>
      <c r="X1" s="9"/>
      <c r="Y1" s="37" t="s">
        <v>133</v>
      </c>
      <c r="Z1" s="9"/>
      <c r="AA1" s="9"/>
      <c r="AB1" s="9"/>
      <c r="AC1" s="9"/>
      <c r="AD1" s="9"/>
    </row>
    <row r="2" spans="1:30" ht="15.75" customHeight="1" x14ac:dyDescent="0.25">
      <c r="A2" s="2"/>
      <c r="B2" s="9" t="str">
        <f>Cover!C2</f>
        <v>$ in Millions Except Per Share Data</v>
      </c>
      <c r="C2" s="2"/>
      <c r="D2" s="2"/>
      <c r="E2" s="2"/>
      <c r="F2" s="2"/>
      <c r="G2" s="2"/>
      <c r="H2" s="2"/>
      <c r="I2" s="2"/>
      <c r="J2" s="2"/>
      <c r="K2" s="980" t="s">
        <v>134</v>
      </c>
      <c r="L2" s="978"/>
      <c r="M2" s="978"/>
      <c r="N2" s="978"/>
      <c r="O2" s="915">
        <f>Share_Price</f>
        <v>314.89</v>
      </c>
      <c r="P2" s="466"/>
      <c r="Q2" s="466"/>
      <c r="R2" s="466"/>
      <c r="S2" s="2"/>
      <c r="T2" s="2"/>
      <c r="U2" s="2"/>
      <c r="V2" s="2"/>
      <c r="W2" s="9"/>
      <c r="X2" s="9"/>
      <c r="Y2" s="37" t="s">
        <v>135</v>
      </c>
      <c r="Z2" s="9"/>
      <c r="AA2" s="9"/>
      <c r="AB2" s="9"/>
      <c r="AC2" s="9"/>
      <c r="AD2" s="9"/>
    </row>
    <row r="3" spans="1:30" ht="17.25" customHeight="1" x14ac:dyDescent="0.25">
      <c r="A3" s="2"/>
      <c r="B3" s="2"/>
      <c r="C3" s="2"/>
      <c r="D3" s="2"/>
      <c r="E3" s="2"/>
      <c r="F3" s="2"/>
      <c r="G3" s="2"/>
      <c r="H3" s="2"/>
      <c r="I3" s="2"/>
      <c r="J3" s="2"/>
      <c r="K3" s="980" t="s">
        <v>136</v>
      </c>
      <c r="L3" s="978"/>
      <c r="M3" s="978"/>
      <c r="N3" s="978"/>
      <c r="O3" s="981">
        <f>Current_Date</f>
        <v>46147</v>
      </c>
      <c r="P3" s="978"/>
      <c r="Q3" s="466"/>
      <c r="R3" s="466"/>
      <c r="S3" s="2"/>
      <c r="T3" s="2"/>
      <c r="U3" s="2"/>
      <c r="V3" s="9"/>
      <c r="W3" s="9"/>
      <c r="X3" s="9"/>
      <c r="Y3" s="9"/>
      <c r="Z3" s="9"/>
      <c r="AA3" s="9"/>
      <c r="AB3" s="9"/>
      <c r="AC3" s="9"/>
      <c r="AD3" s="9"/>
    </row>
    <row r="4" spans="1:30" ht="15.75" customHeight="1" x14ac:dyDescent="0.25">
      <c r="A4" s="2"/>
      <c r="B4" s="971" t="str">
        <f>"Multiples Analysis "&amp;"("&amp;S21&amp;")"</f>
        <v>Multiples Analysis (P/E)</v>
      </c>
      <c r="C4" s="972"/>
      <c r="D4" s="972"/>
      <c r="E4" s="972"/>
      <c r="F4" s="972"/>
      <c r="G4" s="973"/>
      <c r="H4" s="2"/>
      <c r="I4" s="974" t="s">
        <v>137</v>
      </c>
      <c r="J4" s="975"/>
      <c r="K4" s="975"/>
      <c r="L4" s="975"/>
      <c r="M4" s="975"/>
      <c r="N4" s="975"/>
      <c r="O4" s="976"/>
      <c r="P4" s="2"/>
      <c r="Q4" s="2"/>
      <c r="R4" s="2"/>
      <c r="S4" s="2"/>
      <c r="T4" s="2"/>
      <c r="U4" s="2"/>
      <c r="V4" s="9"/>
      <c r="W4" s="9"/>
      <c r="X4" s="9"/>
      <c r="Y4" s="9"/>
      <c r="Z4" s="9"/>
      <c r="AA4" s="9"/>
      <c r="AB4" s="9"/>
      <c r="AC4" s="9"/>
      <c r="AD4" s="9"/>
    </row>
    <row r="5" spans="1:30" ht="4.5" customHeight="1" x14ac:dyDescent="0.25">
      <c r="A5" s="2"/>
      <c r="B5" s="2"/>
      <c r="C5" s="2"/>
      <c r="D5" s="2"/>
      <c r="E5" s="2"/>
      <c r="F5" s="2"/>
      <c r="G5" s="2"/>
      <c r="H5" s="2"/>
      <c r="I5" s="133"/>
      <c r="O5" s="134"/>
      <c r="P5" s="2"/>
      <c r="Q5" s="2"/>
      <c r="R5" s="2"/>
      <c r="S5" s="2"/>
      <c r="T5" s="2"/>
      <c r="U5" s="2"/>
      <c r="V5" s="9"/>
      <c r="W5" s="9"/>
      <c r="X5" s="9"/>
      <c r="Y5" s="9"/>
      <c r="Z5" s="9"/>
      <c r="AA5" s="9"/>
      <c r="AB5" s="9"/>
      <c r="AC5" s="9"/>
      <c r="AD5" s="9"/>
    </row>
    <row r="6" spans="1:30" ht="15.75" customHeight="1" x14ac:dyDescent="0.25">
      <c r="A6" s="2"/>
      <c r="B6" s="2"/>
      <c r="C6" s="2"/>
      <c r="D6" s="2"/>
      <c r="E6" s="2"/>
      <c r="F6" s="2"/>
      <c r="G6" s="2"/>
      <c r="H6" s="2"/>
      <c r="I6" s="962" t="s">
        <v>8</v>
      </c>
      <c r="J6" s="933"/>
      <c r="K6" s="933"/>
      <c r="L6" s="933"/>
      <c r="M6" s="933"/>
      <c r="N6" s="933"/>
      <c r="O6" s="934"/>
      <c r="P6" s="2"/>
      <c r="Q6" s="2"/>
      <c r="R6" s="2"/>
      <c r="S6" s="2"/>
      <c r="T6" s="2"/>
      <c r="U6" s="2"/>
      <c r="V6" s="9"/>
      <c r="W6" s="9"/>
      <c r="X6" s="9"/>
      <c r="Y6" s="9"/>
      <c r="Z6" s="9"/>
      <c r="AA6" s="9"/>
      <c r="AB6" s="9"/>
      <c r="AC6" s="9"/>
      <c r="AD6" s="9"/>
    </row>
    <row r="7" spans="1:30" ht="15.75" customHeight="1" x14ac:dyDescent="0.25">
      <c r="A7" s="2"/>
      <c r="B7" s="2"/>
      <c r="C7" s="2"/>
      <c r="D7" s="2"/>
      <c r="E7" s="2"/>
      <c r="F7" s="2"/>
      <c r="G7" s="2"/>
      <c r="H7" s="19"/>
      <c r="I7" s="9" t="str">
        <f>Cover!I9</f>
        <v>Implied Enterprise Value:</v>
      </c>
      <c r="J7" s="9"/>
      <c r="K7" s="9"/>
      <c r="L7" s="9"/>
      <c r="M7" s="9"/>
      <c r="N7" s="963">
        <f ca="1">Cover!L9</f>
        <v>296624.47258748783</v>
      </c>
      <c r="O7" s="964"/>
      <c r="Q7" s="2"/>
      <c r="R7" s="2"/>
      <c r="S7" s="2"/>
      <c r="T7" s="2"/>
      <c r="U7" s="2"/>
      <c r="V7" s="9"/>
      <c r="W7" s="9"/>
      <c r="X7" s="9"/>
      <c r="Y7" s="9"/>
      <c r="Z7" s="9"/>
      <c r="AA7" s="9"/>
      <c r="AB7" s="9"/>
      <c r="AC7" s="9"/>
      <c r="AD7" s="9"/>
    </row>
    <row r="8" spans="1:30" ht="15.75" customHeight="1" x14ac:dyDescent="0.25">
      <c r="A8" s="2"/>
      <c r="B8" s="2"/>
      <c r="C8" s="2"/>
      <c r="D8" s="2"/>
      <c r="E8" s="2"/>
      <c r="F8" s="2"/>
      <c r="G8" s="2"/>
      <c r="H8" s="19"/>
      <c r="I8" s="66" t="str">
        <f>Cover!I10</f>
        <v>Implied Equity Value:</v>
      </c>
      <c r="J8" s="66"/>
      <c r="K8" s="66"/>
      <c r="L8" s="66"/>
      <c r="M8" s="66"/>
      <c r="N8" s="965">
        <f>Cover!L10</f>
        <v>0</v>
      </c>
      <c r="O8" s="966"/>
      <c r="Q8" s="2"/>
      <c r="R8" s="2"/>
      <c r="S8" s="2"/>
      <c r="T8" s="2"/>
      <c r="U8" s="2"/>
      <c r="V8" s="9"/>
      <c r="W8" s="9"/>
      <c r="X8" s="9"/>
      <c r="Y8" s="9"/>
      <c r="Z8" s="9"/>
      <c r="AA8" s="9"/>
      <c r="AB8" s="9"/>
      <c r="AC8" s="9"/>
      <c r="AD8" s="9"/>
    </row>
    <row r="9" spans="1:30" ht="15.75" customHeight="1" x14ac:dyDescent="0.25">
      <c r="A9" s="2"/>
      <c r="B9" s="2"/>
      <c r="C9" s="2"/>
      <c r="D9" s="2"/>
      <c r="E9" s="2"/>
      <c r="F9" s="2"/>
      <c r="G9" s="2"/>
      <c r="H9" s="19"/>
      <c r="I9" s="9" t="str">
        <f>Cover!I12</f>
        <v>Implied Share Price:</v>
      </c>
      <c r="J9" s="9"/>
      <c r="K9" s="9"/>
      <c r="L9" s="9"/>
      <c r="M9" s="9"/>
      <c r="N9" s="967">
        <f>Cover!L12</f>
        <v>0</v>
      </c>
      <c r="O9" s="968"/>
      <c r="Q9" s="2"/>
      <c r="R9" s="2"/>
      <c r="S9" s="2"/>
      <c r="T9" s="2"/>
      <c r="U9" s="2"/>
      <c r="V9" s="9"/>
      <c r="W9" s="9"/>
      <c r="X9" s="9"/>
      <c r="Y9" s="9"/>
      <c r="Z9" s="9"/>
      <c r="AA9" s="9"/>
      <c r="AB9" s="9"/>
      <c r="AC9" s="9"/>
      <c r="AD9" s="9"/>
    </row>
    <row r="10" spans="1:30" ht="15.75" customHeight="1" x14ac:dyDescent="0.25">
      <c r="A10" s="2"/>
      <c r="B10" s="2"/>
      <c r="C10" s="2"/>
      <c r="D10" s="2"/>
      <c r="E10" s="2"/>
      <c r="F10" s="2"/>
      <c r="G10" s="2"/>
      <c r="H10" s="19"/>
      <c r="I10" s="95" t="str">
        <f>Cover!I13</f>
        <v>% Return:</v>
      </c>
      <c r="J10" s="95"/>
      <c r="K10" s="95"/>
      <c r="L10" s="95"/>
      <c r="M10" s="95"/>
      <c r="N10" s="969">
        <f>Cover!L13</f>
        <v>0</v>
      </c>
      <c r="O10" s="970"/>
      <c r="Q10" s="2"/>
      <c r="R10" s="2"/>
      <c r="S10" s="2"/>
      <c r="T10" s="2"/>
      <c r="U10" s="2"/>
      <c r="V10" s="9"/>
      <c r="W10" s="9"/>
      <c r="X10" s="9"/>
      <c r="Y10" s="9"/>
      <c r="Z10" s="9"/>
      <c r="AA10" s="9"/>
      <c r="AB10" s="9"/>
      <c r="AC10" s="9"/>
      <c r="AD10" s="9"/>
    </row>
    <row r="11" spans="1:30" ht="4.5" customHeight="1" x14ac:dyDescent="0.25">
      <c r="A11" s="2"/>
      <c r="B11" s="2"/>
      <c r="C11" s="2"/>
      <c r="D11" s="2"/>
      <c r="E11" s="2"/>
      <c r="F11" s="2"/>
      <c r="G11" s="2"/>
      <c r="H11" s="2"/>
      <c r="I11" s="135"/>
      <c r="J11" s="9"/>
      <c r="K11" s="9"/>
      <c r="L11" s="9"/>
      <c r="M11" s="9"/>
      <c r="N11" s="9"/>
      <c r="O11" s="136"/>
      <c r="Q11" s="2"/>
      <c r="R11" s="2"/>
      <c r="S11" s="2"/>
      <c r="T11" s="2"/>
      <c r="U11" s="2"/>
      <c r="V11" s="9"/>
      <c r="W11" s="9"/>
      <c r="X11" s="9"/>
      <c r="Y11" s="9"/>
      <c r="Z11" s="9"/>
      <c r="AA11" s="9"/>
      <c r="AB11" s="9"/>
      <c r="AC11" s="9"/>
      <c r="AD11" s="9"/>
    </row>
    <row r="12" spans="1:30" ht="15.75" customHeight="1" x14ac:dyDescent="0.25">
      <c r="A12" s="2"/>
      <c r="B12" s="2"/>
      <c r="C12" s="2"/>
      <c r="D12" s="2"/>
      <c r="E12" s="2"/>
      <c r="F12" s="2"/>
      <c r="G12" s="2"/>
      <c r="H12" s="2"/>
      <c r="I12" s="962" t="str">
        <f>Cover!I15</f>
        <v>Perpetuity Growth Method</v>
      </c>
      <c r="J12" s="933"/>
      <c r="K12" s="933"/>
      <c r="L12" s="933"/>
      <c r="M12" s="933"/>
      <c r="N12" s="933"/>
      <c r="O12" s="934"/>
      <c r="Q12" s="2"/>
      <c r="R12" s="2"/>
      <c r="S12" s="2"/>
      <c r="T12" s="2"/>
      <c r="U12" s="2"/>
      <c r="V12" s="9"/>
      <c r="W12" s="9"/>
      <c r="X12" s="9"/>
      <c r="Y12" s="9"/>
      <c r="Z12" s="9"/>
      <c r="AA12" s="9"/>
      <c r="AB12" s="9"/>
      <c r="AC12" s="9"/>
      <c r="AD12" s="9"/>
    </row>
    <row r="13" spans="1:30" ht="15.75" customHeight="1" x14ac:dyDescent="0.25">
      <c r="A13" s="2"/>
      <c r="B13" s="2"/>
      <c r="C13" s="2"/>
      <c r="D13" s="2"/>
      <c r="E13" s="2"/>
      <c r="F13" s="2"/>
      <c r="G13" s="2"/>
      <c r="H13" s="2"/>
      <c r="I13" s="137" t="str">
        <f>Cover!I16</f>
        <v>Implied Enterprise Value:</v>
      </c>
      <c r="J13" s="96"/>
      <c r="K13" s="96"/>
      <c r="L13" s="96"/>
      <c r="M13" s="96"/>
      <c r="N13" s="963">
        <f ca="1">Cover!L16</f>
        <v>10375.822827381246</v>
      </c>
      <c r="O13" s="964"/>
      <c r="Q13" s="2"/>
      <c r="R13" s="2"/>
      <c r="S13" s="2"/>
      <c r="T13" s="2"/>
      <c r="U13" s="2"/>
      <c r="V13" s="9"/>
      <c r="W13" s="9"/>
      <c r="X13" s="9"/>
      <c r="Y13" s="9"/>
      <c r="Z13" s="9"/>
      <c r="AA13" s="9"/>
      <c r="AB13" s="9"/>
      <c r="AC13" s="9"/>
      <c r="AD13" s="9"/>
    </row>
    <row r="14" spans="1:30" ht="15.75" customHeight="1" x14ac:dyDescent="0.25">
      <c r="A14" s="2"/>
      <c r="B14" s="2"/>
      <c r="C14" s="2"/>
      <c r="D14" s="2"/>
      <c r="E14" s="2"/>
      <c r="F14" s="2"/>
      <c r="G14" s="2"/>
      <c r="H14" s="2"/>
      <c r="I14" s="138" t="str">
        <f>Cover!I17</f>
        <v>Implied Equity Value:</v>
      </c>
      <c r="J14" s="66"/>
      <c r="K14" s="66"/>
      <c r="L14" s="66"/>
      <c r="M14" s="66"/>
      <c r="N14" s="965">
        <f>Cover!L17</f>
        <v>0</v>
      </c>
      <c r="O14" s="966"/>
      <c r="Q14" s="2"/>
      <c r="AB14" s="9"/>
      <c r="AC14" s="9"/>
      <c r="AD14" s="9"/>
    </row>
    <row r="15" spans="1:30" ht="15.75" customHeight="1" x14ac:dyDescent="0.25">
      <c r="A15" s="2"/>
      <c r="B15" s="2"/>
      <c r="C15" s="2"/>
      <c r="D15" s="2"/>
      <c r="E15" s="2"/>
      <c r="F15" s="2"/>
      <c r="G15" s="2"/>
      <c r="H15" s="2"/>
      <c r="I15" s="135" t="str">
        <f>Cover!I19</f>
        <v>Implied Share Price:</v>
      </c>
      <c r="J15" s="9"/>
      <c r="K15" s="9"/>
      <c r="L15" s="9"/>
      <c r="M15" s="9"/>
      <c r="N15" s="967">
        <f>Cover!L19</f>
        <v>0</v>
      </c>
      <c r="O15" s="968"/>
      <c r="Q15" s="2"/>
      <c r="AB15" s="9"/>
      <c r="AC15" s="9"/>
      <c r="AD15" s="9"/>
    </row>
    <row r="16" spans="1:30" ht="15.75" customHeight="1" x14ac:dyDescent="0.25">
      <c r="A16" s="2"/>
      <c r="B16" s="2"/>
      <c r="C16" s="2"/>
      <c r="D16" s="2"/>
      <c r="E16" s="2"/>
      <c r="F16" s="2"/>
      <c r="G16" s="2"/>
      <c r="H16" s="2"/>
      <c r="I16" s="139" t="str">
        <f>Cover!I20</f>
        <v>% Return:</v>
      </c>
      <c r="J16" s="95"/>
      <c r="K16" s="95"/>
      <c r="L16" s="95"/>
      <c r="M16" s="95"/>
      <c r="N16" s="969">
        <f>Cover!L20</f>
        <v>0</v>
      </c>
      <c r="O16" s="970"/>
      <c r="Q16" s="2"/>
      <c r="AB16" s="9"/>
      <c r="AC16" s="9"/>
      <c r="AD16" s="9"/>
    </row>
    <row r="17" spans="1:30" ht="4.5" customHeight="1" x14ac:dyDescent="0.25">
      <c r="A17" s="2"/>
      <c r="B17" s="2"/>
      <c r="C17" s="2"/>
      <c r="D17" s="2"/>
      <c r="E17" s="2"/>
      <c r="F17" s="2"/>
      <c r="G17" s="2"/>
      <c r="H17" s="2"/>
      <c r="I17" s="2"/>
      <c r="J17" s="2"/>
      <c r="K17" s="2"/>
      <c r="L17" s="2"/>
      <c r="M17" s="2"/>
      <c r="N17" s="2"/>
      <c r="O17" s="2"/>
      <c r="P17" s="2"/>
      <c r="Q17" s="2"/>
      <c r="AB17" s="9"/>
      <c r="AC17" s="9"/>
      <c r="AD17" s="9"/>
    </row>
    <row r="18" spans="1:30" ht="15.75" customHeight="1" x14ac:dyDescent="0.25">
      <c r="A18" s="2"/>
      <c r="B18" s="140"/>
      <c r="C18" s="141"/>
      <c r="D18" s="141"/>
      <c r="E18" s="959" t="s">
        <v>95</v>
      </c>
      <c r="F18" s="960"/>
      <c r="G18" s="960"/>
      <c r="H18" s="960"/>
      <c r="I18" s="960"/>
      <c r="J18" s="960"/>
      <c r="K18" s="961"/>
      <c r="L18" s="2"/>
      <c r="M18" s="142" t="s">
        <v>99</v>
      </c>
      <c r="N18" s="143"/>
      <c r="O18" s="142" t="s">
        <v>99</v>
      </c>
      <c r="P18" s="2"/>
      <c r="Q18" s="2"/>
      <c r="R18" s="9"/>
      <c r="S18" s="9"/>
      <c r="T18" s="9"/>
      <c r="U18" s="9"/>
      <c r="V18" s="9"/>
      <c r="W18" s="9"/>
      <c r="X18" s="9"/>
      <c r="Y18" s="9"/>
      <c r="Z18" s="9"/>
      <c r="AA18" s="9"/>
      <c r="AB18" s="9"/>
      <c r="AC18" s="9"/>
      <c r="AD18" s="9"/>
    </row>
    <row r="19" spans="1:30" ht="15.75" customHeight="1" x14ac:dyDescent="0.25">
      <c r="A19" s="2"/>
      <c r="B19" s="144" t="s">
        <v>138</v>
      </c>
      <c r="C19" s="145"/>
      <c r="D19" s="145"/>
      <c r="E19" s="145">
        <f>Summary!U6</f>
        <v>2024</v>
      </c>
      <c r="F19" s="145">
        <f>Summary!V6</f>
        <v>2025</v>
      </c>
      <c r="G19" s="145" t="str">
        <f>Summary!W6</f>
        <v>2026e</v>
      </c>
      <c r="H19" s="145" t="str">
        <f>Summary!X6</f>
        <v>2027e</v>
      </c>
      <c r="I19" s="145" t="str">
        <f>Summary!Y6</f>
        <v>2028e</v>
      </c>
      <c r="J19" s="145" t="str">
        <f>Summary!Z6</f>
        <v>2029e</v>
      </c>
      <c r="K19" s="146" t="str">
        <f>Summary!AA6</f>
        <v>2030e</v>
      </c>
      <c r="L19" s="143"/>
      <c r="M19" s="147" t="s">
        <v>100</v>
      </c>
      <c r="N19" s="143"/>
      <c r="O19" s="147" t="s">
        <v>101</v>
      </c>
      <c r="P19" s="2"/>
      <c r="Q19" s="2"/>
      <c r="R19" s="2"/>
      <c r="S19" s="2"/>
      <c r="T19" s="2"/>
      <c r="U19" s="2"/>
      <c r="V19" s="9"/>
      <c r="W19" s="9"/>
      <c r="X19" s="9"/>
      <c r="Y19" s="9"/>
      <c r="Z19" s="9"/>
      <c r="AA19" s="9"/>
      <c r="AB19" s="9"/>
      <c r="AC19" s="9"/>
      <c r="AD19" s="9"/>
    </row>
    <row r="20" spans="1:30" ht="4.5" customHeight="1" x14ac:dyDescent="0.25">
      <c r="A20" s="2"/>
      <c r="B20" s="2"/>
      <c r="C20" s="2"/>
      <c r="D20" s="148"/>
      <c r="E20" s="143"/>
      <c r="F20" s="143"/>
      <c r="G20" s="143"/>
      <c r="H20" s="143"/>
      <c r="I20" s="143"/>
      <c r="J20" s="143"/>
      <c r="K20" s="143"/>
      <c r="L20" s="143"/>
      <c r="M20" s="2"/>
      <c r="N20" s="2"/>
      <c r="O20" s="2"/>
      <c r="P20" s="2"/>
      <c r="Q20" s="2"/>
      <c r="R20" s="9"/>
      <c r="S20" s="9"/>
      <c r="T20" s="9"/>
      <c r="U20" s="9"/>
      <c r="V20" s="9"/>
      <c r="W20" s="9"/>
      <c r="X20" s="9"/>
      <c r="Y20" s="9"/>
      <c r="Z20" s="9"/>
      <c r="AA20" s="9"/>
      <c r="AB20" s="9"/>
      <c r="AC20" s="9"/>
      <c r="AD20" s="9"/>
    </row>
    <row r="21" spans="1:30" ht="15.75" customHeight="1" x14ac:dyDescent="0.25">
      <c r="A21" s="2"/>
      <c r="B21" s="9" t="str">
        <f>Summary!C8</f>
        <v>Revenue</v>
      </c>
      <c r="C21" s="9"/>
      <c r="D21" s="149">
        <f>Summary!T8</f>
        <v>67364</v>
      </c>
      <c r="E21" s="80">
        <f>Summary!U8</f>
        <v>74201</v>
      </c>
      <c r="F21" s="81">
        <f>Summary!V8</f>
        <v>80463</v>
      </c>
      <c r="G21" s="80">
        <f>Summary!W8</f>
        <v>88057.042329200005</v>
      </c>
      <c r="H21" s="80">
        <f>Summary!X8</f>
        <v>97549.503798841877</v>
      </c>
      <c r="I21" s="80">
        <f>Summary!Y8</f>
        <v>104638.90724681984</v>
      </c>
      <c r="J21" s="80">
        <f>Summary!Z8</f>
        <v>111964.7825308442</v>
      </c>
      <c r="K21" s="81">
        <f>Summary!AA8</f>
        <v>118840.28275763517</v>
      </c>
      <c r="L21" s="80"/>
      <c r="M21" s="150">
        <f>Summary!AC8</f>
        <v>9.2909439111785508E-2</v>
      </c>
      <c r="N21" s="151"/>
      <c r="O21" s="150">
        <f>Summary!AE8</f>
        <v>8.1118978204195002E-2</v>
      </c>
      <c r="P21" s="2"/>
      <c r="Q21" s="2"/>
      <c r="R21" s="9" t="s">
        <v>139</v>
      </c>
      <c r="S21" s="152" t="s">
        <v>133</v>
      </c>
      <c r="T21" s="2"/>
      <c r="U21" s="9"/>
      <c r="V21" s="9"/>
      <c r="W21" s="9"/>
      <c r="Y21" s="9"/>
      <c r="Z21" s="9"/>
      <c r="AA21" s="9"/>
      <c r="AB21" s="9"/>
      <c r="AC21" s="9"/>
      <c r="AD21" s="9"/>
    </row>
    <row r="22" spans="1:30" ht="15.75" customHeight="1" x14ac:dyDescent="0.25">
      <c r="A22" s="2"/>
      <c r="B22" s="84" t="str">
        <f>Summary!C9</f>
        <v>YoY % Growth</v>
      </c>
      <c r="C22" s="9"/>
      <c r="D22" s="149"/>
      <c r="E22" s="85">
        <f>Summary!U9</f>
        <v>0.10149337925301349</v>
      </c>
      <c r="F22" s="86">
        <f>Summary!V9</f>
        <v>8.4392393633508922E-2</v>
      </c>
      <c r="G22" s="85">
        <f>Summary!W9</f>
        <v>9.4379308864944278E-2</v>
      </c>
      <c r="H22" s="85">
        <f>Summary!X9</f>
        <v>0.10779900412910126</v>
      </c>
      <c r="I22" s="85">
        <f>Summary!Y9</f>
        <v>7.2674930900695545E-2</v>
      </c>
      <c r="J22" s="85">
        <f>Summary!Z9</f>
        <v>7.0011007155724947E-2</v>
      </c>
      <c r="K22" s="86">
        <f>Summary!AA9</f>
        <v>6.1407704024226462E-2</v>
      </c>
      <c r="L22" s="85"/>
      <c r="M22" s="83"/>
      <c r="N22" s="151"/>
      <c r="O22" s="83"/>
      <c r="P22" s="2"/>
      <c r="Q22" s="2"/>
      <c r="R22" s="9"/>
      <c r="S22" s="9"/>
      <c r="T22" s="9"/>
      <c r="U22" s="9"/>
      <c r="V22" s="9"/>
      <c r="W22" s="9"/>
      <c r="Y22" s="9"/>
      <c r="Z22" s="9"/>
      <c r="AA22" s="9"/>
      <c r="AB22" s="9"/>
      <c r="AC22" s="9"/>
      <c r="AD22" s="9"/>
    </row>
    <row r="23" spans="1:30" ht="15.75" customHeight="1" x14ac:dyDescent="0.25">
      <c r="A23" s="2"/>
      <c r="B23" s="2"/>
      <c r="C23" s="2"/>
      <c r="D23" s="149"/>
      <c r="E23" s="80"/>
      <c r="F23" s="81"/>
      <c r="G23" s="80"/>
      <c r="H23" s="80"/>
      <c r="I23" s="80"/>
      <c r="J23" s="80"/>
      <c r="K23" s="153"/>
      <c r="L23" s="2"/>
      <c r="M23" s="83"/>
      <c r="N23" s="151"/>
      <c r="O23" s="83"/>
      <c r="P23" s="2"/>
      <c r="Q23" s="2"/>
      <c r="R23" s="154" t="s">
        <v>140</v>
      </c>
      <c r="S23" s="154" t="s">
        <v>135</v>
      </c>
      <c r="T23" s="154" t="s">
        <v>133</v>
      </c>
      <c r="U23" s="154" t="s">
        <v>141</v>
      </c>
      <c r="W23" s="9"/>
      <c r="Y23" s="9"/>
      <c r="Z23" s="9"/>
      <c r="AA23" s="9"/>
      <c r="AB23" s="9"/>
      <c r="AC23" s="9"/>
      <c r="AD23" s="9"/>
    </row>
    <row r="24" spans="1:30" ht="15.75" customHeight="1" x14ac:dyDescent="0.25">
      <c r="A24" s="2"/>
      <c r="B24" s="9" t="str">
        <f>Summary!C11</f>
        <v>Gross Profit</v>
      </c>
      <c r="C24" s="9"/>
      <c r="D24" s="149">
        <f>Summary!T11</f>
        <v>55592</v>
      </c>
      <c r="E24" s="80">
        <f>Summary!U11</f>
        <v>60764</v>
      </c>
      <c r="F24" s="81">
        <f>Summary!V11</f>
        <v>66973</v>
      </c>
      <c r="G24" s="80">
        <f>Summary!W11</f>
        <v>74593.623587651993</v>
      </c>
      <c r="H24" s="80">
        <f>Summary!X11</f>
        <v>84356.370687149421</v>
      </c>
      <c r="I24" s="80">
        <f>Summary!Y11</f>
        <v>91504.218262559443</v>
      </c>
      <c r="J24" s="80">
        <f>Summary!Z11</f>
        <v>98291.243683908222</v>
      </c>
      <c r="K24" s="81">
        <f>Summary!AA11</f>
        <v>104639.01943144719</v>
      </c>
      <c r="L24" s="80"/>
      <c r="M24" s="83">
        <f>Summary!AC11</f>
        <v>9.7599062158846284E-2</v>
      </c>
      <c r="N24" s="151"/>
      <c r="O24" s="83">
        <f>Summary!AE11</f>
        <v>9.3348923295938357E-2</v>
      </c>
      <c r="P24" s="2"/>
      <c r="Q24" s="2"/>
      <c r="R24" s="64" t="s">
        <v>142</v>
      </c>
      <c r="S24" s="155">
        <f>Valuation!D12</f>
        <v>16.6069707406422</v>
      </c>
      <c r="T24" s="155">
        <f>Valuation!D11</f>
        <v>16.643763590749799</v>
      </c>
      <c r="U24" s="155">
        <f t="shared" ref="U24:U28" si="0">IF($S$21=$S$23,S24,T24)</f>
        <v>16.643763590749799</v>
      </c>
      <c r="W24" s="9"/>
      <c r="X24" s="9"/>
      <c r="Y24" s="9"/>
      <c r="Z24" s="9"/>
      <c r="AA24" s="9"/>
      <c r="AB24" s="9"/>
      <c r="AC24" s="9"/>
      <c r="AD24" s="9"/>
    </row>
    <row r="25" spans="1:30" ht="15.75" customHeight="1" x14ac:dyDescent="0.25">
      <c r="A25" s="2"/>
      <c r="B25" s="84" t="str">
        <f>Summary!C12</f>
        <v>% Margin</v>
      </c>
      <c r="C25" s="9"/>
      <c r="D25" s="149"/>
      <c r="E25" s="85">
        <f>Summary!U12</f>
        <v>0.8189107963504535</v>
      </c>
      <c r="F25" s="86">
        <f>Summary!V12</f>
        <v>0.8323453015671799</v>
      </c>
      <c r="G25" s="85">
        <f>Summary!W12</f>
        <v>0.84710571255374201</v>
      </c>
      <c r="H25" s="85">
        <f>Summary!X12</f>
        <v>0.86475448261737764</v>
      </c>
      <c r="I25" s="85">
        <f>Summary!Y12</f>
        <v>0.87447604978061744</v>
      </c>
      <c r="J25" s="85">
        <f>Summary!Z12</f>
        <v>0.87787643098249069</v>
      </c>
      <c r="K25" s="86">
        <f>Summary!AA12</f>
        <v>0.88050126609720147</v>
      </c>
      <c r="L25" s="85"/>
      <c r="M25" s="83"/>
      <c r="N25" s="151"/>
      <c r="O25" s="83"/>
      <c r="P25" s="2"/>
      <c r="Q25" s="2"/>
      <c r="R25" s="64" t="str">
        <f>Model!Y25</f>
        <v>2026e</v>
      </c>
      <c r="S25" s="156">
        <f>(Comparables!H10*S30)/(Model!Y61)</f>
        <v>11.96659927918288</v>
      </c>
      <c r="T25" s="156">
        <f>(Comparables!$G$10*S30)/Summary!W19</f>
        <v>16.273031205941891</v>
      </c>
      <c r="U25" s="156">
        <f t="shared" si="0"/>
        <v>16.273031205941891</v>
      </c>
      <c r="W25" s="9"/>
      <c r="X25" s="9"/>
      <c r="Y25" s="9"/>
      <c r="Z25" s="9"/>
      <c r="AA25" s="9"/>
      <c r="AB25" s="9"/>
      <c r="AC25" s="9"/>
      <c r="AD25" s="9"/>
    </row>
    <row r="26" spans="1:30" ht="15.75" customHeight="1" x14ac:dyDescent="0.25">
      <c r="A26" s="2"/>
      <c r="B26" s="84" t="str">
        <f>Summary!C13</f>
        <v>YoY % Growth</v>
      </c>
      <c r="C26" s="9"/>
      <c r="D26" s="149"/>
      <c r="E26" s="85">
        <f>Summary!U13</f>
        <v>9.3034969060296513E-2</v>
      </c>
      <c r="F26" s="86">
        <f>Summary!V13</f>
        <v>0.10218221315252451</v>
      </c>
      <c r="G26" s="85">
        <f>Summary!W13</f>
        <v>0.11378650482510855</v>
      </c>
      <c r="H26" s="85">
        <f>Summary!X13</f>
        <v>0.13087911043798028</v>
      </c>
      <c r="I26" s="85">
        <f>Summary!Y13</f>
        <v>8.4733939087055843E-2</v>
      </c>
      <c r="J26" s="85">
        <f>Summary!Z13</f>
        <v>7.4171721809308311E-2</v>
      </c>
      <c r="K26" s="86">
        <f>Summary!AA13</f>
        <v>6.4581294422854096E-2</v>
      </c>
      <c r="L26" s="85"/>
      <c r="M26" s="83"/>
      <c r="N26" s="151"/>
      <c r="O26" s="83"/>
      <c r="P26" s="2"/>
      <c r="Q26" s="2"/>
      <c r="R26" s="64" t="str">
        <f>Summary!AA6</f>
        <v>2030e</v>
      </c>
      <c r="S26" s="156">
        <f>(Comparables!H10*S30)/(Model!AG61)</f>
        <v>7.4506210293071833</v>
      </c>
      <c r="T26" s="156">
        <f>(Comparables!$G$10*S30)/Summary!AA19</f>
        <v>9.7731994379145561</v>
      </c>
      <c r="U26" s="156">
        <f t="shared" si="0"/>
        <v>9.7731994379145561</v>
      </c>
      <c r="W26" s="9"/>
      <c r="X26" s="9"/>
      <c r="Y26" s="9"/>
      <c r="Z26" s="9"/>
      <c r="AA26" s="9"/>
      <c r="AB26" s="9"/>
      <c r="AC26" s="9"/>
      <c r="AD26" s="9"/>
    </row>
    <row r="27" spans="1:30" ht="15.75" customHeight="1" x14ac:dyDescent="0.25">
      <c r="A27" s="2"/>
      <c r="B27" s="2"/>
      <c r="C27" s="2"/>
      <c r="D27" s="149"/>
      <c r="E27" s="80"/>
      <c r="F27" s="81"/>
      <c r="G27" s="80"/>
      <c r="H27" s="80"/>
      <c r="I27" s="80"/>
      <c r="J27" s="80"/>
      <c r="K27" s="153"/>
      <c r="L27" s="2"/>
      <c r="M27" s="83"/>
      <c r="N27" s="151"/>
      <c r="O27" s="83"/>
      <c r="P27" s="2"/>
      <c r="Q27" s="2"/>
      <c r="R27" s="64" t="s">
        <v>143</v>
      </c>
      <c r="S27" s="156">
        <f>Valuation!K52</f>
        <v>18</v>
      </c>
      <c r="T27" s="156">
        <f>Valuation!K64/Summary!AA19</f>
        <v>0</v>
      </c>
      <c r="U27" s="156">
        <f t="shared" si="0"/>
        <v>0</v>
      </c>
      <c r="W27" s="9"/>
      <c r="X27" s="9"/>
      <c r="Y27" s="9"/>
      <c r="Z27" s="9"/>
      <c r="AA27" s="9"/>
      <c r="AB27" s="9"/>
      <c r="AC27" s="9"/>
      <c r="AD27" s="9"/>
    </row>
    <row r="28" spans="1:30" ht="15.75" customHeight="1" x14ac:dyDescent="0.25">
      <c r="A28" s="2"/>
      <c r="B28" s="9" t="str">
        <f>Summary!C27</f>
        <v>EBITDA</v>
      </c>
      <c r="C28" s="9"/>
      <c r="D28" s="149">
        <f>Summary!T27</f>
        <v>12164</v>
      </c>
      <c r="E28" s="80">
        <f>Summary!U27</f>
        <v>14571</v>
      </c>
      <c r="F28" s="81">
        <f>Summary!V27</f>
        <v>15572</v>
      </c>
      <c r="G28" s="80">
        <f>Summary!W27</f>
        <v>18277.747495104151</v>
      </c>
      <c r="H28" s="80">
        <f>Summary!X27</f>
        <v>22207.775092325279</v>
      </c>
      <c r="I28" s="80">
        <f>Summary!Y27</f>
        <v>25108.644648454669</v>
      </c>
      <c r="J28" s="80">
        <f>Summary!Z27</f>
        <v>27242.601478346958</v>
      </c>
      <c r="K28" s="81">
        <f>Summary!AA27</f>
        <v>29356.27501917629</v>
      </c>
      <c r="L28" s="80"/>
      <c r="M28" s="83">
        <f>Summary!AC27</f>
        <v>0.13144641781339739</v>
      </c>
      <c r="N28" s="151"/>
      <c r="O28" s="83">
        <f>Summary!AE27</f>
        <v>0.13519719809981012</v>
      </c>
      <c r="P28" s="2"/>
      <c r="Q28" s="2"/>
      <c r="R28" s="64" t="s">
        <v>144</v>
      </c>
      <c r="S28" s="156">
        <f>Valuation!K71</f>
        <v>0</v>
      </c>
      <c r="T28" s="156">
        <f>Valuation!R64/Summary!AA19</f>
        <v>0</v>
      </c>
      <c r="U28" s="156">
        <f t="shared" si="0"/>
        <v>0</v>
      </c>
      <c r="W28" s="9"/>
      <c r="X28" s="9"/>
      <c r="Y28" s="9"/>
      <c r="Z28" s="9"/>
      <c r="AA28" s="9"/>
      <c r="AB28" s="9"/>
      <c r="AC28" s="9"/>
      <c r="AD28" s="9"/>
    </row>
    <row r="29" spans="1:30" ht="15.75" customHeight="1" x14ac:dyDescent="0.25">
      <c r="A29" s="2"/>
      <c r="B29" s="84" t="str">
        <f>Summary!C28</f>
        <v>Margin</v>
      </c>
      <c r="C29" s="9"/>
      <c r="D29" s="149"/>
      <c r="E29" s="85">
        <f>Summary!U28</f>
        <v>0.19637201654964218</v>
      </c>
      <c r="F29" s="86">
        <f>Summary!V28</f>
        <v>0.1935299454407616</v>
      </c>
      <c r="G29" s="85">
        <f>Summary!W28</f>
        <v>0.2075671293475092</v>
      </c>
      <c r="H29" s="85">
        <f>Summary!X28</f>
        <v>0.22765646392338629</v>
      </c>
      <c r="I29" s="85">
        <f>Summary!Y28</f>
        <v>0.23995514965794679</v>
      </c>
      <c r="J29" s="85">
        <f>Summary!Z28</f>
        <v>0.24331402127130586</v>
      </c>
      <c r="K29" s="86">
        <f>Summary!AA28</f>
        <v>0.24702293143349346</v>
      </c>
      <c r="L29" s="85"/>
      <c r="M29" s="83"/>
      <c r="N29" s="151"/>
      <c r="O29" s="83"/>
      <c r="P29" s="2"/>
      <c r="Q29" s="2"/>
      <c r="R29" s="9"/>
      <c r="S29" s="9"/>
      <c r="T29" s="9"/>
      <c r="U29" s="9"/>
      <c r="W29" s="9"/>
      <c r="X29" s="9"/>
      <c r="Y29" s="9"/>
      <c r="Z29" s="9"/>
      <c r="AA29" s="9"/>
      <c r="AB29" s="9"/>
      <c r="AC29" s="9"/>
      <c r="AD29" s="9"/>
    </row>
    <row r="30" spans="1:30" ht="15.75" customHeight="1" x14ac:dyDescent="0.25">
      <c r="A30" s="2"/>
      <c r="B30" s="84" t="str">
        <f>Summary!C29</f>
        <v>YoY % Growth</v>
      </c>
      <c r="C30" s="9"/>
      <c r="D30" s="149"/>
      <c r="E30" s="85">
        <f>Summary!U17</f>
        <v>0.22657661942357077</v>
      </c>
      <c r="F30" s="86">
        <f>Summary!V17</f>
        <v>6.979449398991866E-2</v>
      </c>
      <c r="G30" s="85">
        <f>Summary!W29</f>
        <v>0.17375722419112205</v>
      </c>
      <c r="H30" s="85">
        <f>Summary!X29</f>
        <v>0.21501706368762452</v>
      </c>
      <c r="I30" s="85">
        <f>Summary!Y29</f>
        <v>0.13062405144457245</v>
      </c>
      <c r="J30" s="85">
        <f>Summary!Z29</f>
        <v>8.4988929500964705E-2</v>
      </c>
      <c r="K30" s="86">
        <f>Summary!AA29</f>
        <v>7.7587066804516658E-2</v>
      </c>
      <c r="L30" s="85"/>
      <c r="M30" s="83"/>
      <c r="N30" s="151"/>
      <c r="O30" s="83"/>
      <c r="P30" s="2"/>
      <c r="Q30" s="2"/>
      <c r="R30" s="9" t="s">
        <v>145</v>
      </c>
      <c r="S30" s="64">
        <f>IF($B$2="$ in Millions Except Per Share Data",1,IF($B$2="$ in Thousands Except Per Share Data",1000,IF($B$2="$ in Billions Except Per Share Data",0.001,0)))</f>
        <v>1</v>
      </c>
      <c r="T30" s="9"/>
      <c r="U30" s="9"/>
      <c r="V30" s="9"/>
      <c r="W30" s="9"/>
      <c r="X30" s="9"/>
      <c r="Y30" s="9"/>
      <c r="Z30" s="9"/>
      <c r="AA30" s="9"/>
      <c r="AB30" s="9"/>
      <c r="AC30" s="9"/>
      <c r="AD30" s="9"/>
    </row>
    <row r="31" spans="1:30" ht="15.75" customHeight="1" x14ac:dyDescent="0.25">
      <c r="A31" s="2"/>
      <c r="B31" s="2"/>
      <c r="C31" s="2"/>
      <c r="D31" s="149"/>
      <c r="E31" s="80"/>
      <c r="F31" s="81"/>
      <c r="G31" s="80"/>
      <c r="H31" s="80"/>
      <c r="I31" s="80"/>
      <c r="J31" s="80"/>
      <c r="K31" s="81"/>
      <c r="L31" s="80"/>
      <c r="M31" s="83"/>
      <c r="N31" s="151"/>
      <c r="O31" s="83"/>
      <c r="P31" s="2"/>
      <c r="Q31" s="2"/>
      <c r="R31" s="9"/>
      <c r="S31" s="9"/>
      <c r="T31" s="9"/>
      <c r="U31" s="9"/>
      <c r="V31" s="9"/>
      <c r="W31" s="9"/>
      <c r="X31" s="9"/>
      <c r="Y31" s="9"/>
      <c r="Z31" s="9"/>
      <c r="AA31" s="9"/>
      <c r="AB31" s="9"/>
      <c r="AC31" s="9"/>
      <c r="AD31" s="9"/>
    </row>
    <row r="32" spans="1:30" ht="15.75" customHeight="1" x14ac:dyDescent="0.25">
      <c r="A32" s="2"/>
      <c r="B32" s="9" t="str">
        <f>Summary!C19</f>
        <v>Net Income (Loss)</v>
      </c>
      <c r="C32" s="9"/>
      <c r="D32" s="149">
        <f>Summary!T19</f>
        <v>8374</v>
      </c>
      <c r="E32" s="80">
        <f>Summary!U19</f>
        <v>10129</v>
      </c>
      <c r="F32" s="81">
        <f>Summary!V19</f>
        <v>10833</v>
      </c>
      <c r="G32" s="80">
        <f>Summary!W19</f>
        <v>12650.378248204479</v>
      </c>
      <c r="H32" s="80">
        <f>Summary!X19</f>
        <v>15616.161998959851</v>
      </c>
      <c r="I32" s="80">
        <f>Summary!Y19</f>
        <v>17841.06166189666</v>
      </c>
      <c r="J32" s="80">
        <f>Summary!Z19</f>
        <v>19545.188056927778</v>
      </c>
      <c r="K32" s="81">
        <f>Summary!AA19</f>
        <v>21063.726501004181</v>
      </c>
      <c r="L32" s="80"/>
      <c r="M32" s="83">
        <f>Summary!AC19</f>
        <v>0.13738603940226879</v>
      </c>
      <c r="N32" s="151"/>
      <c r="O32" s="83">
        <f>Summary!AE19</f>
        <v>0.14223981109530848</v>
      </c>
      <c r="P32" s="2"/>
      <c r="Q32" s="2"/>
      <c r="R32" s="9"/>
      <c r="S32" s="9"/>
      <c r="T32" s="9"/>
      <c r="U32" s="9"/>
      <c r="V32" s="9"/>
      <c r="W32" s="9"/>
      <c r="X32" s="9"/>
      <c r="Y32" s="9"/>
      <c r="Z32" s="9"/>
      <c r="AA32" s="9"/>
      <c r="AB32" s="9"/>
      <c r="AC32" s="9"/>
      <c r="AD32" s="9"/>
    </row>
    <row r="33" spans="1:30" ht="15.75" customHeight="1" x14ac:dyDescent="0.25">
      <c r="A33" s="2"/>
      <c r="B33" s="84" t="str">
        <f>Summary!C20</f>
        <v>Margin</v>
      </c>
      <c r="C33" s="9"/>
      <c r="D33" s="149"/>
      <c r="E33" s="85">
        <f>Summary!U20</f>
        <v>0.13650759423727443</v>
      </c>
      <c r="F33" s="86">
        <f>Summary!V20</f>
        <v>0.13463330971999551</v>
      </c>
      <c r="G33" s="85">
        <f>Summary!W20</f>
        <v>0.14366117591039704</v>
      </c>
      <c r="H33" s="85">
        <f>Summary!X20</f>
        <v>0.16008448419340138</v>
      </c>
      <c r="I33" s="85">
        <f>Summary!Y20</f>
        <v>0.17050122302800405</v>
      </c>
      <c r="J33" s="85">
        <f>Summary!Z20</f>
        <v>0.17456549832125512</v>
      </c>
      <c r="K33" s="86">
        <f>Summary!AA20</f>
        <v>0.17724399515240041</v>
      </c>
      <c r="L33" s="85"/>
      <c r="M33" s="83"/>
      <c r="N33" s="151"/>
      <c r="O33" s="83"/>
      <c r="P33" s="2"/>
      <c r="Q33" s="2"/>
      <c r="R33" s="157"/>
      <c r="S33" s="157"/>
      <c r="T33" s="157"/>
      <c r="U33" s="157"/>
      <c r="V33" s="157"/>
      <c r="W33" s="9"/>
      <c r="X33" s="158"/>
      <c r="Y33" s="158"/>
      <c r="Z33" s="158"/>
      <c r="AA33" s="9"/>
      <c r="AB33" s="9"/>
      <c r="AC33" s="9"/>
      <c r="AD33" s="9"/>
    </row>
    <row r="34" spans="1:30" ht="15.75" customHeight="1" x14ac:dyDescent="0.25">
      <c r="A34" s="2"/>
      <c r="B34" s="84" t="str">
        <f>Summary!C21</f>
        <v>YoY % Growth</v>
      </c>
      <c r="C34" s="9"/>
      <c r="D34" s="149"/>
      <c r="E34" s="85">
        <f>Summary!U21</f>
        <v>0.20957726295677093</v>
      </c>
      <c r="F34" s="86">
        <f>Summary!V21</f>
        <v>6.9503406061802719E-2</v>
      </c>
      <c r="G34" s="85">
        <f>Summary!W21</f>
        <v>0.16776315408515452</v>
      </c>
      <c r="H34" s="85">
        <f>Summary!X21</f>
        <v>0.23444229829067109</v>
      </c>
      <c r="I34" s="85">
        <f>Summary!Y21</f>
        <v>0.142474166385121</v>
      </c>
      <c r="J34" s="85">
        <f>Summary!Z21</f>
        <v>9.5517095749444003E-2</v>
      </c>
      <c r="K34" s="86">
        <f>Summary!AA21</f>
        <v>7.7693723879937782E-2</v>
      </c>
      <c r="L34" s="85"/>
      <c r="M34" s="83"/>
      <c r="N34" s="151"/>
      <c r="O34" s="83"/>
      <c r="P34" s="2"/>
      <c r="Q34" s="2"/>
      <c r="R34" s="158"/>
      <c r="S34" s="158"/>
      <c r="T34" s="158"/>
      <c r="U34" s="158"/>
      <c r="V34" s="158"/>
      <c r="W34" s="9"/>
      <c r="X34" s="9"/>
      <c r="Y34" s="9"/>
      <c r="Z34" s="9"/>
      <c r="AA34" s="9"/>
      <c r="AB34" s="9"/>
      <c r="AC34" s="9"/>
      <c r="AD34" s="9"/>
    </row>
    <row r="35" spans="1:30" ht="15.75" customHeight="1" x14ac:dyDescent="0.25">
      <c r="A35" s="2"/>
      <c r="B35" s="2"/>
      <c r="C35" s="2"/>
      <c r="D35" s="149"/>
      <c r="E35" s="80"/>
      <c r="F35" s="81"/>
      <c r="G35" s="80"/>
      <c r="H35" s="80"/>
      <c r="I35" s="80"/>
      <c r="J35" s="80"/>
      <c r="K35" s="81"/>
      <c r="L35" s="80"/>
      <c r="M35" s="83"/>
      <c r="N35" s="151"/>
      <c r="O35" s="83"/>
      <c r="P35" s="2"/>
      <c r="Q35" s="2"/>
      <c r="R35" s="158"/>
      <c r="S35" s="158"/>
      <c r="T35" s="158"/>
      <c r="U35" s="158"/>
      <c r="V35" s="158"/>
      <c r="W35" s="9"/>
      <c r="X35" s="9"/>
      <c r="Y35" s="9"/>
      <c r="Z35" s="9"/>
      <c r="AA35" s="9"/>
      <c r="AB35" s="9"/>
      <c r="AC35" s="9"/>
      <c r="AD35" s="9"/>
    </row>
    <row r="36" spans="1:30" ht="15.75" customHeight="1" x14ac:dyDescent="0.25">
      <c r="A36" s="2"/>
      <c r="B36" s="9" t="str">
        <f>Summary!C23</f>
        <v>Adj. EPS (Diluted)</v>
      </c>
      <c r="C36" s="9"/>
      <c r="D36" s="149">
        <f>Summary!T23</f>
        <v>11.565217391304348</v>
      </c>
      <c r="E36" s="80">
        <f>Summary!U23</f>
        <v>13.753155680224404</v>
      </c>
      <c r="F36" s="81">
        <f>Summary!V23</f>
        <v>15.73419540229885</v>
      </c>
      <c r="G36" s="80">
        <f>Summary!W23</f>
        <v>18.405216391383899</v>
      </c>
      <c r="H36" s="80">
        <f>Summary!X23</f>
        <v>22.840765344319639</v>
      </c>
      <c r="I36" s="80">
        <f>Summary!Y23</f>
        <v>26.164701871155788</v>
      </c>
      <c r="J36" s="80">
        <f>Summary!Z23</f>
        <v>28.74045869927814</v>
      </c>
      <c r="K36" s="81">
        <f>Summary!AA23</f>
        <v>31.056162448062864</v>
      </c>
      <c r="L36" s="80"/>
      <c r="M36" s="83">
        <f>Summary!AC23</f>
        <v>0.16639424823000382</v>
      </c>
      <c r="N36" s="151"/>
      <c r="O36" s="83">
        <f>Summary!AE23</f>
        <v>0.14567292575510526</v>
      </c>
      <c r="P36" s="2"/>
      <c r="Q36" s="2"/>
      <c r="R36" s="9"/>
      <c r="S36" s="9"/>
      <c r="T36" s="9"/>
      <c r="U36" s="9"/>
      <c r="V36" s="9"/>
      <c r="W36" s="9"/>
      <c r="X36" s="9"/>
      <c r="Y36" s="9"/>
      <c r="Z36" s="9"/>
      <c r="AA36" s="9"/>
      <c r="AB36" s="9"/>
      <c r="AC36" s="9"/>
      <c r="AD36" s="9"/>
    </row>
    <row r="37" spans="1:30" ht="15.75" customHeight="1" x14ac:dyDescent="0.25">
      <c r="A37" s="2"/>
      <c r="B37" s="84" t="str">
        <f>Summary!C24</f>
        <v>YoY % Growth</v>
      </c>
      <c r="C37" s="9"/>
      <c r="D37" s="149"/>
      <c r="E37" s="85">
        <f>Summary!U24</f>
        <v>0.18918263400436586</v>
      </c>
      <c r="F37" s="86">
        <f>Summary!V24</f>
        <v>0.14404255780533148</v>
      </c>
      <c r="G37" s="85">
        <f>Summary!W24</f>
        <v>0.16975898168232995</v>
      </c>
      <c r="H37" s="85">
        <f>Summary!X24</f>
        <v>0.24099412137377363</v>
      </c>
      <c r="I37" s="85">
        <f>Summary!Y24</f>
        <v>0.14552649513834237</v>
      </c>
      <c r="J37" s="85">
        <f>Summary!Z24</f>
        <v>9.8443958612878024E-2</v>
      </c>
      <c r="K37" s="86">
        <f>Summary!AA24</f>
        <v>8.057295720345925E-2</v>
      </c>
      <c r="L37" s="85"/>
      <c r="M37" s="159"/>
      <c r="N37" s="2"/>
      <c r="O37" s="159"/>
      <c r="P37" s="2"/>
      <c r="Q37" s="2"/>
      <c r="R37" s="9"/>
      <c r="S37" s="9"/>
      <c r="T37" s="9"/>
      <c r="U37" s="9"/>
      <c r="V37" s="9"/>
      <c r="W37" s="9"/>
      <c r="X37" s="9"/>
      <c r="Y37" s="9"/>
      <c r="Z37" s="9"/>
      <c r="AA37" s="9"/>
      <c r="AB37" s="9"/>
      <c r="AC37" s="9"/>
      <c r="AD37" s="9"/>
    </row>
    <row r="38" spans="1:30" ht="15.75" customHeight="1" x14ac:dyDescent="0.25">
      <c r="A38" s="2"/>
      <c r="B38" s="84"/>
      <c r="C38" s="9"/>
      <c r="D38" s="149"/>
      <c r="E38" s="85"/>
      <c r="F38" s="86"/>
      <c r="G38" s="85"/>
      <c r="H38" s="85"/>
      <c r="I38" s="85"/>
      <c r="J38" s="85"/>
      <c r="K38" s="86"/>
      <c r="L38" s="85"/>
      <c r="M38" s="159"/>
      <c r="N38" s="2"/>
      <c r="O38" s="159"/>
      <c r="P38" s="2"/>
      <c r="Q38" s="9"/>
      <c r="R38" s="9"/>
      <c r="S38" s="9"/>
      <c r="T38" s="9"/>
      <c r="U38" s="9"/>
      <c r="V38" s="9"/>
      <c r="W38" s="9"/>
      <c r="X38" s="9"/>
      <c r="Y38" s="9"/>
      <c r="Z38" s="9"/>
      <c r="AA38" s="9"/>
      <c r="AB38" s="9"/>
      <c r="AC38" s="9"/>
      <c r="AD38" s="2"/>
    </row>
    <row r="39" spans="1:30" ht="15.75" customHeight="1" x14ac:dyDescent="0.25">
      <c r="A39" s="2"/>
      <c r="B39" s="9" t="s">
        <v>146</v>
      </c>
      <c r="C39" s="2"/>
      <c r="D39" s="149">
        <f>Model!J112</f>
        <v>10845</v>
      </c>
      <c r="E39" s="80">
        <f>Model!O112</f>
        <v>11666</v>
      </c>
      <c r="F39" s="81">
        <f>Model!T112</f>
        <v>8390</v>
      </c>
      <c r="G39" s="80">
        <f>Model!Y112</f>
        <v>5790.2185390146187</v>
      </c>
      <c r="H39" s="80">
        <f>Model!AD112</f>
        <v>9893.1236559217505</v>
      </c>
      <c r="I39" s="80">
        <f>Model!AE112</f>
        <v>15764.522025273562</v>
      </c>
      <c r="J39" s="80">
        <f>Model!AF112</f>
        <v>14554.735996388452</v>
      </c>
      <c r="K39" s="81">
        <f>Model!AG112</f>
        <v>17045.628692036309</v>
      </c>
      <c r="L39" s="2"/>
      <c r="M39" s="83">
        <f>IFERROR((F39/D39)^(1/2)-1,"N/A")</f>
        <v>-0.12043851824649754</v>
      </c>
      <c r="N39" s="2"/>
      <c r="O39" s="83">
        <f>IFERROR((K39/G39)^(1/4)-1,"N/A")</f>
        <v>0.30987398577013958</v>
      </c>
      <c r="P39" s="2"/>
      <c r="Q39" s="2"/>
      <c r="R39" s="9"/>
      <c r="S39" s="9"/>
      <c r="T39" s="9"/>
      <c r="U39" s="9"/>
      <c r="V39" s="9"/>
      <c r="W39" s="9"/>
      <c r="X39" s="9"/>
      <c r="Y39" s="9"/>
      <c r="Z39" s="9"/>
      <c r="AA39" s="9"/>
      <c r="AB39" s="9"/>
      <c r="AC39" s="9"/>
      <c r="AD39" s="9"/>
    </row>
    <row r="40" spans="1:30" ht="15.75" customHeight="1" x14ac:dyDescent="0.25">
      <c r="A40" s="2"/>
      <c r="B40" s="84" t="s">
        <v>102</v>
      </c>
      <c r="C40" s="2"/>
      <c r="D40" s="148"/>
      <c r="E40" s="85">
        <f t="shared" ref="E40:K40" si="1">E39/D39-1</f>
        <v>7.5703088981097233E-2</v>
      </c>
      <c r="F40" s="86">
        <f t="shared" si="1"/>
        <v>-0.28081604663123605</v>
      </c>
      <c r="G40" s="85">
        <f t="shared" si="1"/>
        <v>-0.30986668188145183</v>
      </c>
      <c r="H40" s="85">
        <f t="shared" si="1"/>
        <v>0.70859244590884907</v>
      </c>
      <c r="I40" s="85">
        <f t="shared" si="1"/>
        <v>0.59348276374139464</v>
      </c>
      <c r="J40" s="85">
        <f t="shared" si="1"/>
        <v>-7.6741053547046301E-2</v>
      </c>
      <c r="K40" s="86">
        <f t="shared" si="1"/>
        <v>0.17113966864572028</v>
      </c>
      <c r="L40" s="2"/>
      <c r="M40" s="160"/>
      <c r="N40" s="2"/>
      <c r="O40" s="160"/>
      <c r="P40" s="2"/>
      <c r="Q40" s="2"/>
      <c r="R40" s="9"/>
      <c r="S40" s="9"/>
      <c r="T40" s="9"/>
      <c r="U40" s="9"/>
      <c r="V40" s="9"/>
      <c r="W40" s="9"/>
      <c r="X40" s="9"/>
      <c r="Y40" s="9"/>
      <c r="Z40" s="9"/>
      <c r="AA40" s="9"/>
      <c r="AB40" s="9"/>
      <c r="AC40" s="9"/>
      <c r="AD40" s="9"/>
    </row>
    <row r="41" spans="1:30" ht="4.5" customHeight="1" x14ac:dyDescent="0.25">
      <c r="A41" s="2"/>
      <c r="B41" s="2"/>
      <c r="C41" s="2"/>
      <c r="D41" s="148"/>
      <c r="E41" s="2"/>
      <c r="F41" s="2"/>
      <c r="G41" s="2"/>
      <c r="H41" s="2"/>
      <c r="I41" s="2"/>
      <c r="J41" s="2"/>
      <c r="K41" s="2"/>
      <c r="L41" s="2"/>
      <c r="M41" s="2"/>
      <c r="N41" s="2"/>
      <c r="O41" s="2"/>
      <c r="P41" s="2"/>
      <c r="Q41" s="2"/>
      <c r="R41" s="9"/>
      <c r="S41" s="9"/>
      <c r="T41" s="9"/>
      <c r="U41" s="9"/>
      <c r="V41" s="9"/>
      <c r="W41" s="9"/>
      <c r="X41" s="9"/>
      <c r="Y41" s="9"/>
      <c r="Z41" s="9"/>
      <c r="AA41" s="9"/>
      <c r="AB41" s="9"/>
      <c r="AC41" s="9"/>
      <c r="AD41" s="9"/>
    </row>
    <row r="42" spans="1:30" ht="15.75" customHeight="1" x14ac:dyDescent="0.25">
      <c r="A42" s="2"/>
      <c r="B42" s="140"/>
      <c r="C42" s="141"/>
      <c r="D42" s="161"/>
      <c r="E42" s="959" t="s">
        <v>95</v>
      </c>
      <c r="F42" s="960"/>
      <c r="G42" s="960"/>
      <c r="H42" s="960"/>
      <c r="I42" s="960"/>
      <c r="J42" s="960"/>
      <c r="K42" s="961"/>
      <c r="L42" s="2"/>
      <c r="M42" s="142" t="s">
        <v>147</v>
      </c>
      <c r="N42" s="143"/>
      <c r="O42" s="142" t="s">
        <v>147</v>
      </c>
      <c r="P42" s="2"/>
      <c r="Q42" s="2"/>
      <c r="R42" s="9"/>
      <c r="S42" s="9"/>
      <c r="T42" s="9"/>
      <c r="U42" s="9"/>
      <c r="V42" s="9"/>
      <c r="W42" s="9"/>
      <c r="X42" s="9"/>
      <c r="Y42" s="9"/>
      <c r="Z42" s="9"/>
      <c r="AA42" s="9"/>
      <c r="AB42" s="9"/>
      <c r="AC42" s="9"/>
      <c r="AD42" s="9"/>
    </row>
    <row r="43" spans="1:30" ht="15.75" customHeight="1" x14ac:dyDescent="0.25">
      <c r="A43" s="2"/>
      <c r="B43" s="144" t="s">
        <v>148</v>
      </c>
      <c r="C43" s="145"/>
      <c r="D43" s="162"/>
      <c r="E43" s="145">
        <f t="shared" ref="E43:K43" si="2">E19</f>
        <v>2024</v>
      </c>
      <c r="F43" s="145">
        <f t="shared" si="2"/>
        <v>2025</v>
      </c>
      <c r="G43" s="145" t="str">
        <f t="shared" si="2"/>
        <v>2026e</v>
      </c>
      <c r="H43" s="145" t="str">
        <f t="shared" si="2"/>
        <v>2027e</v>
      </c>
      <c r="I43" s="145" t="str">
        <f t="shared" si="2"/>
        <v>2028e</v>
      </c>
      <c r="J43" s="145" t="str">
        <f t="shared" si="2"/>
        <v>2029e</v>
      </c>
      <c r="K43" s="145" t="str">
        <f t="shared" si="2"/>
        <v>2030e</v>
      </c>
      <c r="L43" s="2"/>
      <c r="M43" s="147" t="s">
        <v>100</v>
      </c>
      <c r="N43" s="143"/>
      <c r="O43" s="147" t="s">
        <v>101</v>
      </c>
      <c r="P43" s="2"/>
      <c r="Q43" s="2"/>
      <c r="R43" s="9"/>
      <c r="S43" s="9"/>
      <c r="T43" s="9"/>
      <c r="U43" s="9"/>
      <c r="V43" s="9"/>
      <c r="W43" s="9"/>
      <c r="X43" s="9"/>
      <c r="Y43" s="9"/>
      <c r="Z43" s="9"/>
      <c r="AA43" s="9"/>
      <c r="AB43" s="9"/>
      <c r="AC43" s="9"/>
      <c r="AD43" s="9"/>
    </row>
    <row r="44" spans="1:30" ht="15.75" customHeight="1" x14ac:dyDescent="0.25">
      <c r="A44" s="9"/>
      <c r="B44" s="95" t="str">
        <f>Summary!C91</f>
        <v>Leverage</v>
      </c>
      <c r="C44" s="95"/>
      <c r="D44" s="148"/>
      <c r="E44" s="9"/>
      <c r="F44" s="9"/>
      <c r="G44" s="9"/>
      <c r="H44" s="9"/>
      <c r="I44" s="9"/>
      <c r="J44" s="9"/>
      <c r="K44" s="9"/>
      <c r="L44" s="9"/>
      <c r="M44" s="2"/>
      <c r="N44" s="2"/>
      <c r="O44" s="2"/>
      <c r="P44" s="9"/>
      <c r="Q44" s="9"/>
      <c r="R44" s="9"/>
      <c r="S44" s="9"/>
      <c r="T44" s="9"/>
      <c r="U44" s="9"/>
      <c r="V44" s="9"/>
      <c r="W44" s="9"/>
      <c r="X44" s="9"/>
      <c r="Y44" s="9"/>
      <c r="Z44" s="9"/>
      <c r="AA44" s="9"/>
      <c r="AB44" s="9"/>
      <c r="AC44" s="9"/>
      <c r="AD44" s="9"/>
    </row>
    <row r="45" spans="1:30" ht="15.75" customHeight="1" x14ac:dyDescent="0.25">
      <c r="A45" s="2"/>
      <c r="B45" s="103" t="str">
        <f>Summary!C92</f>
        <v>Total Debt / EBITDA</v>
      </c>
      <c r="C45" s="2"/>
      <c r="D45" s="149">
        <f>Summary!T92</f>
        <v>4.0413515291022692</v>
      </c>
      <c r="E45" s="120">
        <f>Summary!U92</f>
        <v>3.506210966989225</v>
      </c>
      <c r="F45" s="121">
        <f>Summary!V92</f>
        <v>3.7090932442846136</v>
      </c>
      <c r="G45" s="120">
        <f ca="1">Summary!W92</f>
        <v>3.2971493736760316</v>
      </c>
      <c r="H45" s="120">
        <f ca="1">Summary!X92</f>
        <v>2.7187806477364878</v>
      </c>
      <c r="I45" s="120">
        <f ca="1">Summary!Y92</f>
        <v>2.554903521530163</v>
      </c>
      <c r="J45" s="120">
        <f ca="1">Summary!Z92</f>
        <v>2.49781639089935</v>
      </c>
      <c r="K45" s="121">
        <f ca="1">Summary!AA92</f>
        <v>2.4457359155328851</v>
      </c>
      <c r="L45" s="2"/>
      <c r="M45" s="163">
        <f t="shared" ref="M45:M47" si="3">AVERAGE(D45:F45)</f>
        <v>3.7522185801253691</v>
      </c>
      <c r="N45" s="151"/>
      <c r="O45" s="163">
        <f t="shared" ref="O45:O47" ca="1" si="4">AVERAGE(G45:K45)</f>
        <v>2.7028771698749834</v>
      </c>
      <c r="P45" s="2"/>
      <c r="Q45" s="2"/>
      <c r="R45" s="9"/>
      <c r="S45" s="9"/>
      <c r="T45" s="9"/>
      <c r="U45" s="9"/>
      <c r="V45" s="9"/>
      <c r="W45" s="9"/>
      <c r="X45" s="9"/>
      <c r="Y45" s="9"/>
      <c r="Z45" s="9"/>
      <c r="AA45" s="9"/>
      <c r="AB45" s="9"/>
      <c r="AC45" s="9"/>
      <c r="AD45" s="9"/>
    </row>
    <row r="46" spans="1:30" ht="13.5" customHeight="1" x14ac:dyDescent="0.25">
      <c r="A46" s="2"/>
      <c r="B46" s="103" t="str">
        <f>Summary!C93</f>
        <v>Total Debt / Equity</v>
      </c>
      <c r="C46" s="2"/>
      <c r="D46" s="149">
        <f>Summary!T93</f>
        <v>1.7521117724631998</v>
      </c>
      <c r="E46" s="120">
        <f>Summary!U93</f>
        <v>1.6881112873380915</v>
      </c>
      <c r="F46" s="121">
        <f>Summary!V93</f>
        <v>1.7254585648563063</v>
      </c>
      <c r="G46" s="120">
        <f ca="1">Summary!W93</f>
        <v>1.4048090358323568</v>
      </c>
      <c r="H46" s="120">
        <f ca="1">Summary!X93</f>
        <v>1.1002183254756523</v>
      </c>
      <c r="I46" s="120">
        <f ca="1">Summary!Y93</f>
        <v>0.92478631718571114</v>
      </c>
      <c r="J46" s="120">
        <f ca="1">Summary!Z93</f>
        <v>0.79519721833303914</v>
      </c>
      <c r="K46" s="121">
        <f ca="1">Summary!AA93</f>
        <v>0.69545425653286885</v>
      </c>
      <c r="L46" s="2"/>
      <c r="M46" s="164">
        <f t="shared" si="3"/>
        <v>1.7218938748858659</v>
      </c>
      <c r="N46" s="151"/>
      <c r="O46" s="164">
        <f t="shared" ca="1" si="4"/>
        <v>0.98409303067192566</v>
      </c>
      <c r="P46" s="2"/>
      <c r="Q46" s="2"/>
      <c r="R46" s="9"/>
      <c r="S46" s="9"/>
      <c r="T46" s="9"/>
      <c r="U46" s="9"/>
      <c r="V46" s="9"/>
      <c r="W46" s="9"/>
      <c r="X46" s="9"/>
      <c r="Y46" s="9"/>
      <c r="Z46" s="9"/>
      <c r="AA46" s="9"/>
      <c r="AB46" s="9"/>
      <c r="AC46" s="9"/>
      <c r="AD46" s="9"/>
    </row>
    <row r="47" spans="1:30" ht="13.5" customHeight="1" x14ac:dyDescent="0.25">
      <c r="A47" s="2"/>
      <c r="B47" s="103" t="str">
        <f>Summary!C94</f>
        <v>Total Debt / Total Assets</v>
      </c>
      <c r="C47" s="2"/>
      <c r="D47" s="149">
        <f>Summary!T94</f>
        <v>0.18827075386430137</v>
      </c>
      <c r="E47" s="120">
        <f>Summary!U94</f>
        <v>0.18820014661406242</v>
      </c>
      <c r="F47" s="121">
        <f>Summary!V94</f>
        <v>0.19249330116113206</v>
      </c>
      <c r="G47" s="120">
        <f ca="1">Summary!W94</f>
        <v>0.18048268776818857</v>
      </c>
      <c r="H47" s="120">
        <f ca="1">Summary!X94</f>
        <v>0.16634357374810854</v>
      </c>
      <c r="I47" s="120">
        <f ca="1">Summary!Y94</f>
        <v>0.16580359766982566</v>
      </c>
      <c r="J47" s="120">
        <f ca="1">Summary!Z94</f>
        <v>0.16122569339760748</v>
      </c>
      <c r="K47" s="121">
        <f ca="1">Summary!AA94</f>
        <v>0.15706109888025976</v>
      </c>
      <c r="L47" s="2"/>
      <c r="M47" s="164">
        <f t="shared" si="3"/>
        <v>0.18965473387983192</v>
      </c>
      <c r="N47" s="151"/>
      <c r="O47" s="164">
        <f t="shared" ca="1" si="4"/>
        <v>0.16618333029279803</v>
      </c>
      <c r="P47" s="2"/>
      <c r="Q47" s="2"/>
      <c r="R47" s="9"/>
      <c r="S47" s="9"/>
      <c r="T47" s="9"/>
      <c r="U47" s="9"/>
      <c r="V47" s="9"/>
      <c r="W47" s="9"/>
      <c r="X47" s="9"/>
      <c r="Y47" s="9"/>
      <c r="Z47" s="9"/>
      <c r="AA47" s="9"/>
      <c r="AB47" s="9"/>
      <c r="AC47" s="9"/>
      <c r="AD47" s="9"/>
    </row>
    <row r="48" spans="1:30" ht="13.5" customHeight="1" x14ac:dyDescent="0.25">
      <c r="A48" s="2"/>
      <c r="B48" s="2"/>
      <c r="C48" s="2"/>
      <c r="D48" s="149"/>
      <c r="E48" s="2"/>
      <c r="F48" s="153"/>
      <c r="G48" s="2"/>
      <c r="H48" s="2"/>
      <c r="I48" s="2"/>
      <c r="J48" s="2"/>
      <c r="K48" s="153"/>
      <c r="L48" s="2"/>
      <c r="M48" s="83"/>
      <c r="N48" s="151"/>
      <c r="O48" s="83"/>
      <c r="P48" s="2"/>
      <c r="Q48" s="2"/>
      <c r="R48" s="9"/>
      <c r="S48" s="9"/>
      <c r="T48" s="9"/>
      <c r="U48" s="9"/>
      <c r="V48" s="9"/>
      <c r="W48" s="9"/>
      <c r="X48" s="9"/>
      <c r="Y48" s="9"/>
      <c r="Z48" s="9"/>
      <c r="AA48" s="9"/>
      <c r="AB48" s="9"/>
      <c r="AC48" s="9"/>
      <c r="AD48" s="9"/>
    </row>
    <row r="49" spans="1:30" ht="13.5" customHeight="1" x14ac:dyDescent="0.25">
      <c r="A49" s="2"/>
      <c r="B49" s="95" t="str">
        <f>Summary!C103</f>
        <v>Liquidity</v>
      </c>
      <c r="C49" s="27"/>
      <c r="D49" s="149"/>
      <c r="E49" s="2"/>
      <c r="F49" s="153"/>
      <c r="G49" s="2"/>
      <c r="H49" s="2"/>
      <c r="I49" s="2"/>
      <c r="J49" s="2"/>
      <c r="K49" s="153"/>
      <c r="L49" s="2"/>
      <c r="M49" s="83"/>
      <c r="N49" s="151"/>
      <c r="O49" s="83"/>
      <c r="P49" s="2"/>
      <c r="Q49" s="2"/>
      <c r="R49" s="9"/>
      <c r="S49" s="9"/>
      <c r="T49" s="9"/>
      <c r="U49" s="9"/>
      <c r="V49" s="9"/>
      <c r="W49" s="9"/>
      <c r="X49" s="9"/>
      <c r="Y49" s="9"/>
      <c r="Z49" s="9"/>
      <c r="AA49" s="9"/>
      <c r="AB49" s="9"/>
      <c r="AC49" s="9"/>
      <c r="AD49" s="9"/>
    </row>
    <row r="50" spans="1:30" ht="13.5" customHeight="1" x14ac:dyDescent="0.25">
      <c r="A50" s="2"/>
      <c r="B50" s="103" t="str">
        <f>Summary!C104</f>
        <v>Current Ratio</v>
      </c>
      <c r="C50" s="2"/>
      <c r="D50" s="149">
        <f>Summary!T104</f>
        <v>0.75100700863953662</v>
      </c>
      <c r="E50" s="120">
        <f>Summary!U104</f>
        <v>0.65154569234883919</v>
      </c>
      <c r="F50" s="121">
        <f>Summary!V104</f>
        <v>0.65580663683996454</v>
      </c>
      <c r="G50" s="120">
        <f ca="1">Summary!W104</f>
        <v>0.73918832340864304</v>
      </c>
      <c r="H50" s="120">
        <f ca="1">Summary!X104</f>
        <v>0.80146677326272797</v>
      </c>
      <c r="I50" s="120">
        <f ca="1">Summary!Y104</f>
        <v>0.86174438693041544</v>
      </c>
      <c r="J50" s="120">
        <f ca="1">Summary!Z104</f>
        <v>0.92516088909963556</v>
      </c>
      <c r="K50" s="121">
        <f ca="1">Summary!AA104</f>
        <v>0.98417870575567656</v>
      </c>
      <c r="L50" s="2"/>
      <c r="M50" s="164">
        <f t="shared" ref="M50:M52" si="5">AVERAGE(D50:F50)</f>
        <v>0.68611977927611345</v>
      </c>
      <c r="N50" s="151"/>
      <c r="O50" s="164">
        <f t="shared" ref="O50:O52" ca="1" si="6">AVERAGE(G50:K50)</f>
        <v>0.86234781569141972</v>
      </c>
      <c r="P50" s="2"/>
      <c r="Q50" s="2"/>
      <c r="R50" s="9"/>
      <c r="S50" s="9"/>
      <c r="T50" s="9"/>
      <c r="U50" s="9"/>
      <c r="V50" s="9"/>
      <c r="W50" s="9"/>
      <c r="X50" s="9"/>
      <c r="Y50" s="9"/>
      <c r="Z50" s="9"/>
      <c r="AA50" s="9"/>
      <c r="AB50" s="9"/>
      <c r="AC50" s="9"/>
      <c r="AD50" s="9"/>
    </row>
    <row r="51" spans="1:30" ht="13.5" customHeight="1" x14ac:dyDescent="0.25">
      <c r="A51" s="2"/>
      <c r="B51" s="103" t="str">
        <f>Summary!C105</f>
        <v>Quick Ratio</v>
      </c>
      <c r="C51" s="2"/>
      <c r="D51" s="149">
        <f>Summary!T105</f>
        <v>0.75100700863953662</v>
      </c>
      <c r="E51" s="120">
        <f>Summary!U105</f>
        <v>0.65154569234883919</v>
      </c>
      <c r="F51" s="121">
        <f>Summary!V105</f>
        <v>0.65580663683996454</v>
      </c>
      <c r="G51" s="120">
        <f ca="1">Summary!W105</f>
        <v>0.73918832340864304</v>
      </c>
      <c r="H51" s="120">
        <f ca="1">Summary!X105</f>
        <v>0.80146677326272797</v>
      </c>
      <c r="I51" s="120">
        <f ca="1">Summary!Y105</f>
        <v>0.86174438693041544</v>
      </c>
      <c r="J51" s="120">
        <f ca="1">Summary!Z105</f>
        <v>0.92516088909963556</v>
      </c>
      <c r="K51" s="121">
        <f ca="1">Summary!AA105</f>
        <v>0.98417870575567656</v>
      </c>
      <c r="L51" s="2"/>
      <c r="M51" s="164">
        <f t="shared" si="5"/>
        <v>0.68611977927611345</v>
      </c>
      <c r="N51" s="151"/>
      <c r="O51" s="164">
        <f t="shared" ca="1" si="6"/>
        <v>0.86234781569141972</v>
      </c>
      <c r="P51" s="2"/>
      <c r="Q51" s="2"/>
      <c r="R51" s="9"/>
      <c r="S51" s="9"/>
      <c r="T51" s="9"/>
      <c r="U51" s="9"/>
      <c r="V51" s="9"/>
      <c r="W51" s="9"/>
      <c r="X51" s="9"/>
      <c r="Y51" s="9"/>
      <c r="Z51" s="9"/>
      <c r="AA51" s="9"/>
      <c r="AB51" s="9"/>
      <c r="AC51" s="9"/>
      <c r="AD51" s="9"/>
    </row>
    <row r="52" spans="1:30" ht="13.5" customHeight="1" x14ac:dyDescent="0.25">
      <c r="A52" s="2"/>
      <c r="B52" s="103" t="str">
        <f>Summary!C106</f>
        <v>Cash Ratio</v>
      </c>
      <c r="C52" s="2"/>
      <c r="D52" s="149">
        <f>Summary!T106</f>
        <v>0.32755723956612515</v>
      </c>
      <c r="E52" s="120">
        <f>Summary!U106</f>
        <v>0.26510629692688048</v>
      </c>
      <c r="F52" s="121">
        <f>Summary!V106</f>
        <v>0.28585783668684356</v>
      </c>
      <c r="G52" s="120">
        <f ca="1">Summary!W106</f>
        <v>0.3723504657417317</v>
      </c>
      <c r="H52" s="120">
        <f ca="1">Summary!X106</f>
        <v>0.43675622020810884</v>
      </c>
      <c r="I52" s="120">
        <f ca="1">Summary!Y106</f>
        <v>0.49757416758840778</v>
      </c>
      <c r="J52" s="120">
        <f ca="1">Summary!Z106</f>
        <v>0.56223734577396367</v>
      </c>
      <c r="K52" s="121">
        <f ca="1">Summary!AA106</f>
        <v>0.62264701649885845</v>
      </c>
      <c r="L52" s="2"/>
      <c r="M52" s="164">
        <f t="shared" si="5"/>
        <v>0.29284045772661638</v>
      </c>
      <c r="N52" s="151"/>
      <c r="O52" s="164">
        <f t="shared" ca="1" si="6"/>
        <v>0.49831304316221409</v>
      </c>
      <c r="P52" s="2"/>
      <c r="Q52" s="2"/>
      <c r="R52" s="9"/>
      <c r="S52" s="9"/>
      <c r="T52" s="9"/>
      <c r="U52" s="9"/>
      <c r="V52" s="9"/>
      <c r="W52" s="9"/>
      <c r="X52" s="9"/>
      <c r="Y52" s="9"/>
      <c r="Z52" s="9"/>
      <c r="AA52" s="9"/>
      <c r="AB52" s="9"/>
      <c r="AC52" s="9"/>
      <c r="AD52" s="9"/>
    </row>
    <row r="53" spans="1:30" ht="13.5" customHeight="1" x14ac:dyDescent="0.25">
      <c r="A53" s="2"/>
      <c r="B53" s="2"/>
      <c r="C53" s="2"/>
      <c r="D53" s="149"/>
      <c r="E53" s="2"/>
      <c r="F53" s="153"/>
      <c r="G53" s="2"/>
      <c r="H53" s="2"/>
      <c r="I53" s="2"/>
      <c r="J53" s="2"/>
      <c r="K53" s="153"/>
      <c r="L53" s="2"/>
      <c r="M53" s="83"/>
      <c r="N53" s="151"/>
      <c r="O53" s="83"/>
      <c r="P53" s="2"/>
      <c r="Q53" s="2"/>
      <c r="R53" s="9"/>
      <c r="S53" s="9"/>
      <c r="T53" s="9"/>
      <c r="U53" s="9"/>
      <c r="V53" s="9"/>
      <c r="W53" s="9"/>
      <c r="X53" s="9"/>
      <c r="Y53" s="9"/>
      <c r="Z53" s="9"/>
      <c r="AA53" s="9"/>
      <c r="AB53" s="9"/>
      <c r="AC53" s="9"/>
      <c r="AD53" s="9"/>
    </row>
    <row r="54" spans="1:30" ht="13.5" customHeight="1" x14ac:dyDescent="0.25">
      <c r="A54" s="2"/>
      <c r="B54" s="95" t="str">
        <f>Summary!C75</f>
        <v>Profitability</v>
      </c>
      <c r="C54" s="95"/>
      <c r="D54" s="149"/>
      <c r="E54" s="2"/>
      <c r="F54" s="153"/>
      <c r="G54" s="2"/>
      <c r="H54" s="2"/>
      <c r="I54" s="2"/>
      <c r="J54" s="2"/>
      <c r="K54" s="153"/>
      <c r="L54" s="2"/>
      <c r="M54" s="83"/>
      <c r="N54" s="151"/>
      <c r="O54" s="83"/>
      <c r="P54" s="2"/>
      <c r="Q54" s="2"/>
      <c r="R54" s="9"/>
      <c r="S54" s="9"/>
      <c r="T54" s="9"/>
      <c r="U54" s="9"/>
      <c r="V54" s="9"/>
      <c r="W54" s="9"/>
      <c r="X54" s="9"/>
      <c r="Y54" s="9"/>
      <c r="Z54" s="9"/>
      <c r="AA54" s="9"/>
      <c r="AB54" s="9"/>
      <c r="AC54" s="9"/>
      <c r="AD54" s="9"/>
    </row>
    <row r="55" spans="1:30" ht="13.5" customHeight="1" x14ac:dyDescent="0.25">
      <c r="A55" s="2"/>
      <c r="B55" s="103" t="str">
        <f>Summary!C80</f>
        <v>Return on Assets (ROA)</v>
      </c>
      <c r="C55" s="2"/>
      <c r="D55" s="149">
        <f>Summary!T80</f>
        <v>3.2071020420668839E-2</v>
      </c>
      <c r="E55" s="117">
        <f>Summary!U80</f>
        <v>3.7312910510165366E-2</v>
      </c>
      <c r="F55" s="118">
        <f>Summary!V80</f>
        <v>3.6103742018050201E-2</v>
      </c>
      <c r="G55" s="117">
        <f ca="1">Summary!W80</f>
        <v>3.8419882953237249E-2</v>
      </c>
      <c r="H55" s="117">
        <f ca="1">Summary!X80</f>
        <v>4.3585587983556724E-2</v>
      </c>
      <c r="I55" s="117">
        <f ca="1">Summary!Y80</f>
        <v>4.6545301739058083E-2</v>
      </c>
      <c r="J55" s="117">
        <f ca="1">Summary!Z80</f>
        <v>4.6591536773484418E-2</v>
      </c>
      <c r="K55" s="118">
        <f ca="1">Summary!AA80</f>
        <v>4.6267880833774845E-2</v>
      </c>
      <c r="L55" s="2"/>
      <c r="M55" s="83">
        <f t="shared" ref="M55:M57" si="7">AVERAGE(D55:F55)</f>
        <v>3.5162557649628133E-2</v>
      </c>
      <c r="N55" s="151"/>
      <c r="O55" s="83">
        <f t="shared" ref="O55:O57" ca="1" si="8">AVERAGE(G55:K55)</f>
        <v>4.4282038056622258E-2</v>
      </c>
      <c r="P55" s="2"/>
      <c r="Q55" s="2"/>
      <c r="R55" s="9"/>
      <c r="S55" s="9"/>
      <c r="T55" s="9"/>
      <c r="U55" s="9"/>
      <c r="V55" s="9"/>
      <c r="W55" s="9"/>
      <c r="X55" s="9"/>
      <c r="Y55" s="9"/>
      <c r="Z55" s="9"/>
      <c r="AA55" s="9"/>
      <c r="AB55" s="9"/>
      <c r="AC55" s="9"/>
      <c r="AD55" s="9"/>
    </row>
    <row r="56" spans="1:30" ht="13.5" customHeight="1" x14ac:dyDescent="0.25">
      <c r="A56" s="2"/>
      <c r="B56" s="103" t="str">
        <f>Summary!C81</f>
        <v>Return on Equity (ROE)</v>
      </c>
      <c r="C56" s="2"/>
      <c r="D56" s="149">
        <f>Summary!T81</f>
        <v>0.29846384146558791</v>
      </c>
      <c r="E56" s="117">
        <f>Summary!U81</f>
        <v>0.33468807824477925</v>
      </c>
      <c r="F56" s="118">
        <f>Summary!V81</f>
        <v>0.32362430543108084</v>
      </c>
      <c r="G56" s="117">
        <f>Summary!W81</f>
        <v>0.30178335470110629</v>
      </c>
      <c r="H56" s="117">
        <f>Summary!X81</f>
        <v>0.28431418165597172</v>
      </c>
      <c r="I56" s="117">
        <f>Summary!Y81</f>
        <v>0.25545869662928367</v>
      </c>
      <c r="J56" s="117">
        <f>Summary!Z81</f>
        <v>0.22559627560385126</v>
      </c>
      <c r="K56" s="118">
        <f>Summary!AA81</f>
        <v>0.20074983284650558</v>
      </c>
      <c r="L56" s="2"/>
      <c r="M56" s="83">
        <f t="shared" si="7"/>
        <v>0.31892540838048267</v>
      </c>
      <c r="N56" s="151"/>
      <c r="O56" s="83">
        <f t="shared" si="8"/>
        <v>0.25358046828734371</v>
      </c>
      <c r="P56" s="2"/>
      <c r="Q56" s="2"/>
      <c r="R56" s="9"/>
      <c r="S56" s="9"/>
      <c r="T56" s="9"/>
      <c r="U56" s="9"/>
      <c r="V56" s="9"/>
      <c r="W56" s="9"/>
      <c r="X56" s="9"/>
      <c r="Y56" s="9"/>
      <c r="Z56" s="9"/>
      <c r="AA56" s="9"/>
      <c r="AB56" s="9"/>
      <c r="AC56" s="9"/>
      <c r="AD56" s="9"/>
    </row>
    <row r="57" spans="1:30" ht="13.5" customHeight="1" x14ac:dyDescent="0.25">
      <c r="A57" s="2"/>
      <c r="B57" s="103" t="s">
        <v>149</v>
      </c>
      <c r="C57" s="2"/>
      <c r="D57" s="149">
        <f>Summary!T82</f>
        <v>0.10844902610857854</v>
      </c>
      <c r="E57" s="117">
        <f>Summary!U82</f>
        <v>0.12450677909849668</v>
      </c>
      <c r="F57" s="118">
        <f>Summary!V82</f>
        <v>0.11874123114696598</v>
      </c>
      <c r="G57" s="117">
        <f ca="1">Summary!W82</f>
        <v>0.12435326268801832</v>
      </c>
      <c r="H57" s="117">
        <f ca="1">Summary!X82</f>
        <v>0.13726231278821113</v>
      </c>
      <c r="I57" s="117">
        <f ca="1">Summary!Y82</f>
        <v>0.13487789299831945</v>
      </c>
      <c r="J57" s="117">
        <f ca="1">Summary!Z82</f>
        <v>0.12800751524686835</v>
      </c>
      <c r="K57" s="118">
        <f ca="1">Summary!AA82</f>
        <v>0.12083520112299651</v>
      </c>
      <c r="L57" s="2"/>
      <c r="M57" s="83">
        <f t="shared" si="7"/>
        <v>0.11723234545134707</v>
      </c>
      <c r="N57" s="151"/>
      <c r="O57" s="83">
        <f t="shared" ca="1" si="8"/>
        <v>0.12906723696888275</v>
      </c>
      <c r="P57" s="2"/>
      <c r="Q57" s="2"/>
      <c r="R57" s="9"/>
      <c r="S57" s="9"/>
      <c r="T57" s="9"/>
      <c r="U57" s="9"/>
      <c r="V57" s="9"/>
      <c r="W57" s="9"/>
      <c r="X57" s="9"/>
      <c r="Y57" s="9"/>
      <c r="Z57" s="9"/>
      <c r="AA57" s="9"/>
      <c r="AB57" s="9"/>
      <c r="AC57" s="9"/>
      <c r="AD57" s="9"/>
    </row>
    <row r="58" spans="1:30" ht="15" customHeight="1" x14ac:dyDescent="0.25">
      <c r="A58" s="2"/>
      <c r="B58" s="2"/>
      <c r="C58" s="2"/>
      <c r="D58" s="2"/>
      <c r="E58" s="2"/>
      <c r="F58" s="153"/>
      <c r="G58" s="2"/>
      <c r="H58" s="2"/>
      <c r="I58" s="2"/>
      <c r="J58" s="2"/>
      <c r="K58" s="153"/>
      <c r="L58" s="2"/>
      <c r="M58" s="83"/>
      <c r="N58" s="151"/>
      <c r="O58" s="83"/>
      <c r="P58" s="2"/>
      <c r="Q58" s="2"/>
      <c r="R58" s="9"/>
      <c r="S58" s="9"/>
      <c r="T58" s="9"/>
      <c r="U58" s="9"/>
      <c r="V58" s="9"/>
      <c r="W58" s="9"/>
      <c r="X58" s="9"/>
      <c r="Y58" s="9"/>
      <c r="Z58" s="9"/>
      <c r="AA58" s="9"/>
      <c r="AB58" s="9"/>
      <c r="AC58" s="9"/>
      <c r="AD58" s="9"/>
    </row>
    <row r="59" spans="1:30" ht="13.5" customHeight="1" x14ac:dyDescent="0.25">
      <c r="A59" s="2"/>
      <c r="B59" s="95" t="str">
        <f>Summary!C84</f>
        <v>Coverage</v>
      </c>
      <c r="C59" s="95"/>
      <c r="D59" s="149"/>
      <c r="E59" s="2"/>
      <c r="F59" s="153"/>
      <c r="G59" s="2"/>
      <c r="H59" s="2"/>
      <c r="I59" s="2"/>
      <c r="J59" s="2"/>
      <c r="K59" s="153"/>
      <c r="L59" s="2"/>
      <c r="M59" s="83"/>
      <c r="N59" s="151"/>
      <c r="O59" s="83"/>
      <c r="P59" s="2"/>
      <c r="Q59" s="2"/>
      <c r="R59" s="9"/>
      <c r="S59" s="9"/>
      <c r="T59" s="9"/>
      <c r="U59" s="9"/>
      <c r="V59" s="9"/>
      <c r="W59" s="9"/>
      <c r="X59" s="9"/>
      <c r="Y59" s="9"/>
      <c r="Z59" s="9"/>
      <c r="AA59" s="9"/>
      <c r="AB59" s="9"/>
      <c r="AC59" s="9"/>
      <c r="AD59" s="9"/>
    </row>
    <row r="60" spans="1:30" ht="13.5" customHeight="1" x14ac:dyDescent="0.25">
      <c r="A60" s="2"/>
      <c r="B60" s="103" t="s">
        <v>115</v>
      </c>
      <c r="C60" s="2"/>
      <c r="D60" s="149">
        <f>Summary!T85</f>
        <v>6849</v>
      </c>
      <c r="E60" s="80">
        <f>Summary!U85</f>
        <v>8252</v>
      </c>
      <c r="F60" s="81">
        <f>Summary!V85</f>
        <v>8234</v>
      </c>
      <c r="G60" s="80">
        <f>Summary!W85</f>
        <v>7891.1521039999998</v>
      </c>
      <c r="H60" s="80">
        <f>Summary!X85</f>
        <v>6947.2616636001312</v>
      </c>
      <c r="I60" s="80">
        <f>Summary!Y85</f>
        <v>6542.4378277107453</v>
      </c>
      <c r="J60" s="80">
        <f>Summary!Z85</f>
        <v>6619.7575474927817</v>
      </c>
      <c r="K60" s="81">
        <f>Summary!AA85</f>
        <v>6714.3255124569641</v>
      </c>
      <c r="L60" s="2"/>
      <c r="M60" s="165">
        <f t="shared" ref="M60:M64" si="9">AVERAGE(D60:F60)</f>
        <v>7778.333333333333</v>
      </c>
      <c r="N60" s="80"/>
      <c r="O60" s="165">
        <f t="shared" ref="O60:O64" si="10">AVERAGE(G60:K60)</f>
        <v>6942.9869310521244</v>
      </c>
      <c r="P60" s="2"/>
      <c r="Q60" s="2"/>
      <c r="R60" s="9"/>
      <c r="S60" s="9"/>
      <c r="T60" s="9"/>
      <c r="U60" s="9"/>
      <c r="V60" s="9"/>
      <c r="W60" s="9"/>
      <c r="X60" s="9"/>
      <c r="Y60" s="9"/>
      <c r="Z60" s="9"/>
      <c r="AA60" s="9"/>
      <c r="AB60" s="9"/>
      <c r="AC60" s="9"/>
      <c r="AD60" s="9"/>
    </row>
    <row r="61" spans="1:30" ht="13.5" customHeight="1" x14ac:dyDescent="0.25">
      <c r="A61" s="2"/>
      <c r="B61" s="103" t="s">
        <v>116</v>
      </c>
      <c r="C61" s="2"/>
      <c r="D61" s="149">
        <f>Summary!T86</f>
        <v>1563</v>
      </c>
      <c r="E61" s="100">
        <f>Summary!U86</f>
        <v>1911</v>
      </c>
      <c r="F61" s="101">
        <f>Summary!V86</f>
        <v>2425</v>
      </c>
      <c r="G61" s="100">
        <f>Summary!W86</f>
        <v>2937.6663091800001</v>
      </c>
      <c r="H61" s="100">
        <f>Summary!X86</f>
        <v>2485.8171780460571</v>
      </c>
      <c r="I61" s="100">
        <f>Summary!Y86</f>
        <v>2327.0066417555263</v>
      </c>
      <c r="J61" s="100">
        <f>Summary!Z86</f>
        <v>3023.0491283327933</v>
      </c>
      <c r="K61" s="101">
        <f>Summary!AA86</f>
        <v>2879.4040499879652</v>
      </c>
      <c r="L61" s="2"/>
      <c r="M61" s="166">
        <f t="shared" si="9"/>
        <v>1966.3333333333333</v>
      </c>
      <c r="N61" s="100"/>
      <c r="O61" s="166">
        <f t="shared" si="10"/>
        <v>2730.5886614604683</v>
      </c>
      <c r="P61" s="2"/>
      <c r="Q61" s="2"/>
      <c r="R61" s="9"/>
      <c r="S61" s="9"/>
      <c r="T61" s="9"/>
      <c r="U61" s="9"/>
      <c r="V61" s="9"/>
      <c r="W61" s="9"/>
      <c r="X61" s="9"/>
      <c r="Y61" s="9"/>
      <c r="Z61" s="9"/>
      <c r="AA61" s="9"/>
      <c r="AB61" s="9"/>
      <c r="AC61" s="9"/>
      <c r="AD61" s="9"/>
    </row>
    <row r="62" spans="1:30" ht="13.5" customHeight="1" x14ac:dyDescent="0.25">
      <c r="A62" s="2"/>
      <c r="B62" s="103" t="s">
        <v>150</v>
      </c>
      <c r="C62" s="2"/>
      <c r="D62" s="149">
        <f>Summary!T87</f>
        <v>1.5349686085559935</v>
      </c>
      <c r="E62" s="120">
        <f>Summary!U87</f>
        <v>1.5626514784294716</v>
      </c>
      <c r="F62" s="121">
        <f>Summary!V87</f>
        <v>1.6753704153509836</v>
      </c>
      <c r="G62" s="120">
        <f>Summary!W87</f>
        <v>2.0393385380979594</v>
      </c>
      <c r="H62" s="120">
        <f>Summary!X87</f>
        <v>2.8634591529644697</v>
      </c>
      <c r="I62" s="120">
        <f>Summary!Y87</f>
        <v>3.4782839058879498</v>
      </c>
      <c r="J62" s="120">
        <f>Summary!Z87</f>
        <v>3.7612145998262476</v>
      </c>
      <c r="K62" s="121">
        <f>Summary!AA87</f>
        <v>3.9912622906764277</v>
      </c>
      <c r="L62" s="2"/>
      <c r="M62" s="164">
        <f t="shared" si="9"/>
        <v>1.5909968341121496</v>
      </c>
      <c r="N62" s="120"/>
      <c r="O62" s="164">
        <f t="shared" si="10"/>
        <v>3.2267116974906109</v>
      </c>
      <c r="P62" s="2"/>
      <c r="Q62" s="2"/>
      <c r="R62" s="9"/>
      <c r="S62" s="9"/>
      <c r="T62" s="9"/>
      <c r="U62" s="9"/>
      <c r="V62" s="9"/>
      <c r="W62" s="9"/>
      <c r="X62" s="9"/>
      <c r="Y62" s="9"/>
      <c r="Z62" s="9"/>
      <c r="AA62" s="9"/>
      <c r="AB62" s="9"/>
      <c r="AC62" s="9"/>
      <c r="AD62" s="9"/>
    </row>
    <row r="63" spans="1:30" ht="13.5" customHeight="1" x14ac:dyDescent="0.25">
      <c r="A63" s="2"/>
      <c r="B63" s="103" t="s">
        <v>151</v>
      </c>
      <c r="C63" s="2"/>
      <c r="D63" s="149">
        <f>Summary!T88</f>
        <v>1.7760256971820705</v>
      </c>
      <c r="E63" s="120">
        <f>Summary!U88</f>
        <v>1.765753756665051</v>
      </c>
      <c r="F63" s="121">
        <f>Summary!V88</f>
        <v>1.8911829001700267</v>
      </c>
      <c r="G63" s="120">
        <f>Summary!W88</f>
        <v>2.3162330739815826</v>
      </c>
      <c r="H63" s="120">
        <f>Summary!X88</f>
        <v>3.1966228087653485</v>
      </c>
      <c r="I63" s="120">
        <f>Summary!Y88</f>
        <v>3.8378117316004206</v>
      </c>
      <c r="J63" s="120">
        <f>Summary!Z88</f>
        <v>4.1153473194294001</v>
      </c>
      <c r="K63" s="121">
        <f>Summary!AA88</f>
        <v>4.3721852574338458</v>
      </c>
      <c r="L63" s="2"/>
      <c r="M63" s="164">
        <f t="shared" si="9"/>
        <v>1.8109874513390494</v>
      </c>
      <c r="N63" s="120"/>
      <c r="O63" s="164">
        <f t="shared" si="10"/>
        <v>3.5676400382421192</v>
      </c>
      <c r="P63" s="2"/>
      <c r="Q63" s="2"/>
      <c r="R63" s="9"/>
      <c r="S63" s="9"/>
      <c r="T63" s="9"/>
      <c r="U63" s="9"/>
      <c r="V63" s="9"/>
      <c r="W63" s="9"/>
      <c r="X63" s="9"/>
      <c r="Y63" s="9"/>
      <c r="Z63" s="9"/>
      <c r="AA63" s="9"/>
      <c r="AB63" s="9"/>
      <c r="AC63" s="9"/>
      <c r="AD63" s="9"/>
    </row>
    <row r="64" spans="1:30" ht="13.5" customHeight="1" x14ac:dyDescent="0.25">
      <c r="A64" s="2"/>
      <c r="B64" s="103" t="s">
        <v>152</v>
      </c>
      <c r="D64" s="149">
        <f>Summary!T89</f>
        <v>1.5478171995911811</v>
      </c>
      <c r="E64" s="120">
        <f>Summary!U89</f>
        <v>1.5341735336888027</v>
      </c>
      <c r="F64" s="121">
        <f>Summary!V89</f>
        <v>1.5966723342239495</v>
      </c>
      <c r="G64" s="120">
        <f>Summary!W89</f>
        <v>1.9439596378009636</v>
      </c>
      <c r="H64" s="120">
        <f>Summary!X89</f>
        <v>2.838810292350372</v>
      </c>
      <c r="I64" s="120">
        <f>Summary!Y89</f>
        <v>3.4821329000952277</v>
      </c>
      <c r="J64" s="120">
        <f>Summary!Z89</f>
        <v>3.6586766473323884</v>
      </c>
      <c r="K64" s="121">
        <f>Summary!AA89</f>
        <v>3.9433403876631052</v>
      </c>
      <c r="L64" s="2"/>
      <c r="M64" s="164">
        <f t="shared" si="9"/>
        <v>1.5595543558346445</v>
      </c>
      <c r="N64" s="120"/>
      <c r="O64" s="164">
        <f t="shared" si="10"/>
        <v>3.1733839730484115</v>
      </c>
      <c r="P64" s="2"/>
      <c r="Q64" s="2"/>
      <c r="R64" s="9"/>
      <c r="S64" s="9"/>
      <c r="T64" s="9"/>
      <c r="U64" s="9"/>
      <c r="V64" s="9"/>
      <c r="W64" s="9"/>
      <c r="X64" s="9"/>
      <c r="Y64" s="9"/>
      <c r="Z64" s="9"/>
      <c r="AA64" s="9"/>
      <c r="AB64" s="9"/>
      <c r="AC64" s="9"/>
      <c r="AD64" s="9"/>
    </row>
    <row r="65" spans="1:30" ht="13.5" customHeight="1" x14ac:dyDescent="0.25">
      <c r="A65" s="2"/>
      <c r="B65" s="103"/>
      <c r="C65" s="9"/>
      <c r="D65" s="149"/>
      <c r="E65" s="2"/>
      <c r="F65" s="153"/>
      <c r="G65" s="2"/>
      <c r="H65" s="2"/>
      <c r="I65" s="2"/>
      <c r="J65" s="2"/>
      <c r="K65" s="153"/>
      <c r="L65" s="2"/>
      <c r="M65" s="83"/>
      <c r="N65" s="151"/>
      <c r="O65" s="83"/>
      <c r="P65" s="2"/>
      <c r="Q65" s="2"/>
      <c r="R65" s="9"/>
      <c r="S65" s="9"/>
      <c r="T65" s="9"/>
      <c r="U65" s="9"/>
      <c r="V65" s="9"/>
      <c r="W65" s="9"/>
      <c r="X65" s="9"/>
      <c r="Y65" s="9"/>
      <c r="Z65" s="9"/>
      <c r="AA65" s="9"/>
      <c r="AB65" s="9"/>
      <c r="AC65" s="9"/>
      <c r="AD65" s="9"/>
    </row>
    <row r="66" spans="1:30" ht="13.5" customHeight="1" x14ac:dyDescent="0.25">
      <c r="A66" s="2"/>
      <c r="B66" s="95" t="str">
        <f>Summary!C96</f>
        <v>Efficiency</v>
      </c>
      <c r="C66" s="95"/>
      <c r="D66" s="149"/>
      <c r="E66" s="2"/>
      <c r="F66" s="153"/>
      <c r="G66" s="2"/>
      <c r="H66" s="2"/>
      <c r="I66" s="2"/>
      <c r="J66" s="2"/>
      <c r="K66" s="153"/>
      <c r="L66" s="2"/>
      <c r="M66" s="83"/>
      <c r="N66" s="151"/>
      <c r="O66" s="83"/>
      <c r="P66" s="2"/>
      <c r="Q66" s="2"/>
      <c r="R66" s="9"/>
      <c r="S66" s="9"/>
      <c r="T66" s="9"/>
      <c r="U66" s="9"/>
      <c r="V66" s="9"/>
      <c r="W66" s="9"/>
      <c r="X66" s="9"/>
      <c r="Y66" s="9"/>
      <c r="Z66" s="9"/>
      <c r="AA66" s="9"/>
      <c r="AB66" s="9"/>
      <c r="AC66" s="9"/>
      <c r="AD66" s="9"/>
    </row>
    <row r="67" spans="1:30" ht="13.5" customHeight="1" x14ac:dyDescent="0.25">
      <c r="A67" s="2"/>
      <c r="B67" s="103" t="str">
        <f>Summary!C97</f>
        <v>Asset Turnover</v>
      </c>
      <c r="C67" s="9"/>
      <c r="D67" s="149">
        <f>Summary!T97</f>
        <v>0.25799286119153758</v>
      </c>
      <c r="E67" s="124">
        <f>Summary!U97</f>
        <v>0.27333944839221841</v>
      </c>
      <c r="F67" s="125">
        <f>Summary!V97</f>
        <v>0.26816351832349061</v>
      </c>
      <c r="G67" s="124">
        <f ca="1">Summary!W97</f>
        <v>0.26792387199460804</v>
      </c>
      <c r="H67" s="124">
        <f ca="1">Summary!X97</f>
        <v>0.26900774298449831</v>
      </c>
      <c r="I67" s="124">
        <f ca="1">Summary!Y97</f>
        <v>0.27030133275600299</v>
      </c>
      <c r="J67" s="124">
        <f ca="1">Summary!Z97</f>
        <v>0.2644791469214316</v>
      </c>
      <c r="K67" s="125">
        <f ca="1">Summary!AA97</f>
        <v>0.2588110137197922</v>
      </c>
      <c r="L67" s="2"/>
      <c r="M67" s="164">
        <f t="shared" ref="M67:M71" si="11">AVERAGE(D67:F67)</f>
        <v>0.26649860930241553</v>
      </c>
      <c r="N67" s="124"/>
      <c r="O67" s="164">
        <f t="shared" ref="O67:O71" ca="1" si="12">AVERAGE(G67:K67)</f>
        <v>0.26610462167526661</v>
      </c>
      <c r="P67" s="2"/>
      <c r="Q67" s="2"/>
      <c r="R67" s="9"/>
      <c r="S67" s="9"/>
      <c r="T67" s="9"/>
      <c r="U67" s="9"/>
      <c r="V67" s="9"/>
      <c r="W67" s="9"/>
      <c r="X67" s="9"/>
      <c r="Y67" s="9"/>
      <c r="Z67" s="9"/>
      <c r="AA67" s="9"/>
      <c r="AB67" s="9"/>
      <c r="AC67" s="9"/>
      <c r="AD67" s="9"/>
    </row>
    <row r="68" spans="1:30" ht="13.5" customHeight="1" x14ac:dyDescent="0.25">
      <c r="A68" s="2"/>
      <c r="B68" s="103" t="str">
        <f>Summary!C98</f>
        <v>Days Sales Outstanding</v>
      </c>
      <c r="C68" s="2"/>
      <c r="D68" s="149">
        <f>Summary!T98</f>
        <v>318.07129921026069</v>
      </c>
      <c r="E68" s="126">
        <f>Summary!U98</f>
        <v>293.85793318149354</v>
      </c>
      <c r="F68" s="127">
        <f>Summary!V98</f>
        <v>274.64931086337822</v>
      </c>
      <c r="G68" s="126">
        <f>Summary!W98</f>
        <v>269.88107923045789</v>
      </c>
      <c r="H68" s="126">
        <f>Summary!X98</f>
        <v>270.04552911685471</v>
      </c>
      <c r="I68" s="126">
        <f>Summary!Y98</f>
        <v>271</v>
      </c>
      <c r="J68" s="126">
        <f>Summary!Z98</f>
        <v>271</v>
      </c>
      <c r="K68" s="127">
        <f>Summary!AA98</f>
        <v>270</v>
      </c>
      <c r="L68" s="2"/>
      <c r="M68" s="167">
        <f t="shared" si="11"/>
        <v>295.52618108504413</v>
      </c>
      <c r="N68" s="126"/>
      <c r="O68" s="167">
        <f t="shared" si="12"/>
        <v>270.38532166946254</v>
      </c>
      <c r="P68" s="2"/>
      <c r="Q68" s="2"/>
      <c r="R68" s="9"/>
      <c r="S68" s="9"/>
      <c r="T68" s="9"/>
      <c r="U68" s="9"/>
      <c r="V68" s="9"/>
      <c r="W68" s="9"/>
      <c r="X68" s="9"/>
      <c r="Y68" s="9"/>
      <c r="Z68" s="9"/>
      <c r="AA68" s="9"/>
      <c r="AB68" s="9"/>
      <c r="AC68" s="9"/>
      <c r="AD68" s="9"/>
    </row>
    <row r="69" spans="1:30" ht="13.5" customHeight="1" x14ac:dyDescent="0.25">
      <c r="A69" s="2"/>
      <c r="B69" s="103" t="str">
        <f>Summary!C99</f>
        <v>Days Inventory Outstanding</v>
      </c>
      <c r="C69" s="2"/>
      <c r="D69" s="149">
        <f>Summary!T99</f>
        <v>0</v>
      </c>
      <c r="E69" s="126">
        <f>Summary!U99</f>
        <v>0</v>
      </c>
      <c r="F69" s="127">
        <f>Summary!V99</f>
        <v>0</v>
      </c>
      <c r="G69" s="126">
        <f>Summary!W99</f>
        <v>0</v>
      </c>
      <c r="H69" s="126">
        <f>Summary!X99</f>
        <v>0</v>
      </c>
      <c r="I69" s="126">
        <f>Summary!Y99</f>
        <v>0</v>
      </c>
      <c r="J69" s="126">
        <f>Summary!Z99</f>
        <v>0</v>
      </c>
      <c r="K69" s="127">
        <f>Summary!AA99</f>
        <v>0</v>
      </c>
      <c r="L69" s="2"/>
      <c r="M69" s="167">
        <f t="shared" si="11"/>
        <v>0</v>
      </c>
      <c r="N69" s="126"/>
      <c r="O69" s="167">
        <f t="shared" si="12"/>
        <v>0</v>
      </c>
      <c r="P69" s="2"/>
      <c r="Q69" s="2"/>
      <c r="R69" s="9"/>
      <c r="S69" s="9"/>
      <c r="T69" s="9"/>
      <c r="U69" s="9"/>
      <c r="V69" s="9"/>
      <c r="W69" s="9"/>
      <c r="X69" s="9"/>
      <c r="Y69" s="9"/>
      <c r="Z69" s="9"/>
      <c r="AA69" s="9"/>
      <c r="AB69" s="9"/>
      <c r="AC69" s="9"/>
      <c r="AD69" s="9"/>
    </row>
    <row r="70" spans="1:30" ht="13.5" customHeight="1" x14ac:dyDescent="0.25">
      <c r="A70" s="2"/>
      <c r="B70" s="103" t="str">
        <f>Summary!C100</f>
        <v>Days Payables Outstanding (from SG&amp;A)</v>
      </c>
      <c r="C70" s="2"/>
      <c r="D70" s="149">
        <f>Summary!T100</f>
        <v>122.3841189381271</v>
      </c>
      <c r="E70" s="126">
        <f>Summary!U100</f>
        <v>117.84562100951693</v>
      </c>
      <c r="F70" s="127">
        <f>Summary!V100</f>
        <v>112.78682535558875</v>
      </c>
      <c r="G70" s="126">
        <f>Summary!W100</f>
        <v>104.48826778189597</v>
      </c>
      <c r="H70" s="126">
        <f>Summary!X100</f>
        <v>105.48811653731919</v>
      </c>
      <c r="I70" s="126">
        <f>Summary!Y100</f>
        <v>102.5</v>
      </c>
      <c r="J70" s="126">
        <f>Summary!Z100</f>
        <v>102.5</v>
      </c>
      <c r="K70" s="127">
        <f>Summary!AA100</f>
        <v>102.5</v>
      </c>
      <c r="L70" s="2"/>
      <c r="M70" s="167">
        <f t="shared" si="11"/>
        <v>117.67218843441093</v>
      </c>
      <c r="N70" s="126"/>
      <c r="O70" s="167">
        <f t="shared" si="12"/>
        <v>103.49527686384303</v>
      </c>
      <c r="P70" s="2"/>
      <c r="Q70" s="2"/>
      <c r="R70" s="9"/>
      <c r="S70" s="9"/>
      <c r="T70" s="9"/>
      <c r="U70" s="9"/>
      <c r="V70" s="9"/>
      <c r="W70" s="9"/>
      <c r="X70" s="9"/>
      <c r="Y70" s="9"/>
      <c r="Z70" s="9"/>
      <c r="AA70" s="9"/>
      <c r="AB70" s="9"/>
      <c r="AC70" s="9"/>
      <c r="AD70" s="9"/>
    </row>
    <row r="71" spans="1:30" ht="13.5" customHeight="1" x14ac:dyDescent="0.25">
      <c r="A71" s="2"/>
      <c r="B71" s="103" t="str">
        <f>Summary!C101</f>
        <v>Cash Conversion Cycle</v>
      </c>
      <c r="C71" s="2"/>
      <c r="D71" s="149">
        <f>Summary!T101</f>
        <v>195.68718027213359</v>
      </c>
      <c r="E71" s="126">
        <f>Summary!U101</f>
        <v>176.01231217197659</v>
      </c>
      <c r="F71" s="127">
        <f>Summary!V101</f>
        <v>161.86248550778947</v>
      </c>
      <c r="G71" s="126">
        <f>Summary!W101</f>
        <v>165.39281144856193</v>
      </c>
      <c r="H71" s="126">
        <f>Summary!X101</f>
        <v>164.55741257953554</v>
      </c>
      <c r="I71" s="126">
        <f>Summary!Y101</f>
        <v>168.5</v>
      </c>
      <c r="J71" s="126">
        <f>Summary!Z101</f>
        <v>168.5</v>
      </c>
      <c r="K71" s="127">
        <f>Summary!AA101</f>
        <v>167.5</v>
      </c>
      <c r="L71" s="2"/>
      <c r="M71" s="168">
        <f t="shared" si="11"/>
        <v>177.85399265063324</v>
      </c>
      <c r="N71" s="126"/>
      <c r="O71" s="168">
        <f t="shared" si="12"/>
        <v>166.89004480561948</v>
      </c>
      <c r="P71" s="2"/>
      <c r="Q71" s="2"/>
      <c r="R71" s="9"/>
      <c r="S71" s="9"/>
      <c r="T71" s="9"/>
      <c r="U71" s="9"/>
      <c r="V71" s="9"/>
      <c r="W71" s="9"/>
      <c r="X71" s="9"/>
      <c r="Y71" s="9"/>
      <c r="Z71" s="9"/>
      <c r="AA71" s="9"/>
      <c r="AB71" s="9"/>
      <c r="AC71" s="9"/>
      <c r="AD71" s="9"/>
    </row>
    <row r="72" spans="1:30" ht="13.5" customHeight="1" x14ac:dyDescent="0.25">
      <c r="A72" s="2"/>
      <c r="B72" s="103"/>
      <c r="C72" s="2"/>
      <c r="D72" s="2"/>
      <c r="E72" s="2"/>
      <c r="F72" s="2"/>
      <c r="G72" s="2"/>
      <c r="H72" s="2"/>
      <c r="I72" s="2"/>
      <c r="J72" s="2"/>
      <c r="K72" s="2"/>
      <c r="L72" s="2"/>
      <c r="M72" s="2"/>
      <c r="N72" s="2"/>
      <c r="O72" s="2"/>
      <c r="P72" s="2"/>
      <c r="Q72" s="2"/>
      <c r="R72" s="9"/>
      <c r="S72" s="9"/>
      <c r="T72" s="9"/>
      <c r="U72" s="9"/>
      <c r="V72" s="9"/>
      <c r="W72" s="9"/>
      <c r="X72" s="9"/>
      <c r="Y72" s="9"/>
      <c r="Z72" s="9"/>
      <c r="AA72" s="9"/>
      <c r="AB72" s="9"/>
      <c r="AC72" s="9"/>
      <c r="AD72" s="9"/>
    </row>
    <row r="73" spans="1:30" ht="13.5" customHeight="1" x14ac:dyDescent="0.25">
      <c r="A73" s="2"/>
      <c r="B73" s="2"/>
      <c r="C73" s="2"/>
      <c r="D73" s="2"/>
      <c r="E73" s="2"/>
      <c r="F73" s="2"/>
      <c r="G73" s="2"/>
      <c r="H73" s="2"/>
      <c r="I73" s="2"/>
      <c r="J73" s="2"/>
      <c r="K73" s="2"/>
      <c r="L73" s="2"/>
      <c r="M73" s="2"/>
      <c r="N73" s="2"/>
      <c r="O73" s="2"/>
      <c r="P73" s="2"/>
      <c r="Q73" s="2"/>
      <c r="R73" s="9"/>
      <c r="S73" s="9"/>
      <c r="T73" s="9"/>
      <c r="U73" s="9"/>
      <c r="V73" s="9"/>
      <c r="W73" s="9"/>
      <c r="X73" s="9"/>
      <c r="Y73" s="9"/>
      <c r="Z73" s="9"/>
      <c r="AA73" s="9"/>
      <c r="AB73" s="9"/>
      <c r="AC73" s="9"/>
      <c r="AD73" s="9"/>
    </row>
    <row r="74" spans="1:30" ht="13.5" customHeight="1" x14ac:dyDescent="0.25">
      <c r="A74" s="2"/>
      <c r="B74" s="2"/>
      <c r="C74" s="2"/>
      <c r="D74" s="2"/>
      <c r="E74" s="2"/>
      <c r="F74" s="2"/>
      <c r="G74" s="2"/>
      <c r="H74" s="2"/>
      <c r="I74" s="2"/>
      <c r="J74" s="2"/>
      <c r="K74" s="2"/>
      <c r="L74" s="2"/>
      <c r="M74" s="2"/>
      <c r="N74" s="2"/>
      <c r="O74" s="2"/>
      <c r="P74" s="2"/>
      <c r="Q74" s="2"/>
      <c r="R74" s="9"/>
      <c r="S74" s="9"/>
      <c r="T74" s="9"/>
      <c r="U74" s="9"/>
      <c r="V74" s="9"/>
      <c r="W74" s="9"/>
      <c r="X74" s="9"/>
      <c r="Y74" s="9"/>
      <c r="Z74" s="9"/>
      <c r="AA74" s="9"/>
      <c r="AB74" s="9"/>
      <c r="AC74" s="9"/>
      <c r="AD74" s="9"/>
    </row>
    <row r="75" spans="1:30" ht="13.5" customHeight="1" x14ac:dyDescent="0.25">
      <c r="A75" s="2"/>
      <c r="B75" s="2"/>
      <c r="C75" s="2"/>
      <c r="D75" s="2"/>
      <c r="E75" s="2"/>
      <c r="F75" s="2"/>
      <c r="G75" s="2"/>
      <c r="H75" s="2"/>
      <c r="I75" s="2"/>
      <c r="J75" s="2"/>
      <c r="K75" s="2"/>
      <c r="L75" s="2"/>
      <c r="M75" s="2"/>
      <c r="N75" s="2"/>
      <c r="O75" s="2"/>
      <c r="P75" s="2"/>
      <c r="Q75" s="2"/>
      <c r="R75" s="9"/>
      <c r="S75" s="9"/>
      <c r="T75" s="9"/>
      <c r="U75" s="9"/>
      <c r="V75" s="9"/>
      <c r="W75" s="9"/>
      <c r="X75" s="9"/>
      <c r="Y75" s="9"/>
      <c r="Z75" s="9"/>
      <c r="AA75" s="9"/>
      <c r="AB75" s="9"/>
      <c r="AC75" s="9"/>
      <c r="AD75" s="9"/>
    </row>
    <row r="76" spans="1:30" ht="13.5" customHeight="1" x14ac:dyDescent="0.25">
      <c r="A76" s="2"/>
      <c r="B76" s="2"/>
      <c r="C76" s="2"/>
      <c r="D76" s="2"/>
      <c r="E76" s="2"/>
      <c r="F76" s="2"/>
      <c r="G76" s="2"/>
      <c r="H76" s="2"/>
      <c r="I76" s="2"/>
      <c r="J76" s="2"/>
      <c r="K76" s="2"/>
      <c r="L76" s="2"/>
      <c r="M76" s="2"/>
      <c r="N76" s="2"/>
      <c r="O76" s="2"/>
      <c r="P76" s="2"/>
      <c r="Q76" s="2"/>
      <c r="R76" s="9"/>
      <c r="S76" s="9"/>
      <c r="T76" s="9"/>
      <c r="U76" s="9"/>
      <c r="V76" s="9"/>
      <c r="W76" s="9"/>
      <c r="X76" s="9"/>
      <c r="Y76" s="9"/>
      <c r="Z76" s="9"/>
      <c r="AA76" s="9"/>
      <c r="AB76" s="9"/>
      <c r="AC76" s="9"/>
      <c r="AD76" s="9"/>
    </row>
    <row r="77" spans="1:30" ht="13.5" customHeight="1" x14ac:dyDescent="0.25">
      <c r="A77" s="2"/>
      <c r="B77" s="2"/>
      <c r="C77" s="2"/>
      <c r="D77" s="2"/>
      <c r="E77" s="2"/>
      <c r="F77" s="2"/>
      <c r="G77" s="2"/>
      <c r="H77" s="2"/>
      <c r="I77" s="2"/>
      <c r="J77" s="2"/>
      <c r="K77" s="2"/>
      <c r="L77" s="2"/>
      <c r="M77" s="2"/>
      <c r="N77" s="2"/>
      <c r="O77" s="2"/>
      <c r="P77" s="2"/>
      <c r="Q77" s="2"/>
      <c r="R77" s="9"/>
      <c r="S77" s="9"/>
      <c r="T77" s="9"/>
      <c r="U77" s="9"/>
      <c r="V77" s="9"/>
      <c r="W77" s="9"/>
      <c r="X77" s="9"/>
      <c r="Y77" s="9"/>
      <c r="Z77" s="9"/>
      <c r="AA77" s="9"/>
      <c r="AB77" s="9"/>
      <c r="AC77" s="9"/>
      <c r="AD77" s="9"/>
    </row>
    <row r="78" spans="1:30" ht="13.5" customHeight="1" x14ac:dyDescent="0.25">
      <c r="A78" s="2"/>
      <c r="B78" s="2"/>
      <c r="C78" s="2"/>
      <c r="D78" s="2"/>
      <c r="E78" s="2"/>
      <c r="F78" s="2"/>
      <c r="G78" s="2"/>
      <c r="H78" s="2"/>
      <c r="I78" s="2"/>
      <c r="J78" s="2"/>
      <c r="K78" s="2"/>
      <c r="L78" s="2"/>
      <c r="M78" s="2"/>
      <c r="N78" s="2"/>
      <c r="O78" s="2"/>
      <c r="P78" s="2"/>
      <c r="Q78" s="2"/>
      <c r="R78" s="9"/>
      <c r="S78" s="9"/>
      <c r="T78" s="9"/>
      <c r="U78" s="9"/>
      <c r="V78" s="9"/>
      <c r="W78" s="9"/>
      <c r="X78" s="9"/>
      <c r="Y78" s="9"/>
      <c r="Z78" s="9"/>
      <c r="AA78" s="9"/>
      <c r="AB78" s="9"/>
      <c r="AC78" s="9"/>
      <c r="AD78" s="9"/>
    </row>
    <row r="79" spans="1:30" ht="13.5" customHeight="1" x14ac:dyDescent="0.25">
      <c r="A79" s="2"/>
      <c r="B79" s="2"/>
      <c r="C79" s="2"/>
      <c r="D79" s="2"/>
      <c r="E79" s="2"/>
      <c r="F79" s="2"/>
      <c r="G79" s="2"/>
      <c r="H79" s="2"/>
      <c r="I79" s="2"/>
      <c r="J79" s="2"/>
      <c r="K79" s="2"/>
      <c r="L79" s="2"/>
      <c r="M79" s="2"/>
      <c r="N79" s="2"/>
      <c r="O79" s="2"/>
      <c r="P79" s="2"/>
      <c r="Q79" s="2"/>
      <c r="R79" s="9"/>
      <c r="S79" s="9"/>
      <c r="T79" s="9"/>
      <c r="U79" s="9"/>
      <c r="V79" s="9"/>
      <c r="W79" s="9"/>
      <c r="X79" s="9"/>
      <c r="Y79" s="9"/>
      <c r="Z79" s="9"/>
      <c r="AA79" s="9"/>
      <c r="AB79" s="9"/>
      <c r="AC79" s="9"/>
      <c r="AD79" s="9"/>
    </row>
    <row r="80" spans="1:30" ht="13.5" customHeight="1" x14ac:dyDescent="0.25">
      <c r="A80" s="2"/>
      <c r="B80" s="2"/>
      <c r="C80" s="2"/>
      <c r="D80" s="2"/>
      <c r="E80" s="2"/>
      <c r="F80" s="2"/>
      <c r="G80" s="2"/>
      <c r="H80" s="2"/>
      <c r="I80" s="2"/>
      <c r="J80" s="2"/>
      <c r="K80" s="2"/>
      <c r="L80" s="2"/>
      <c r="M80" s="2"/>
      <c r="N80" s="2"/>
      <c r="O80" s="2"/>
      <c r="P80" s="2"/>
      <c r="Q80" s="2"/>
      <c r="R80" s="9"/>
      <c r="S80" s="9"/>
      <c r="T80" s="9"/>
      <c r="U80" s="9"/>
      <c r="V80" s="9"/>
      <c r="W80" s="9"/>
      <c r="X80" s="9"/>
      <c r="Y80" s="9"/>
      <c r="Z80" s="9"/>
      <c r="AA80" s="9"/>
      <c r="AB80" s="9"/>
      <c r="AC80" s="9"/>
      <c r="AD80" s="9"/>
    </row>
    <row r="81" spans="1:30" ht="13.5" customHeight="1" x14ac:dyDescent="0.25">
      <c r="A81" s="2"/>
      <c r="B81" s="2"/>
      <c r="C81" s="2"/>
      <c r="D81" s="2"/>
      <c r="E81" s="2"/>
      <c r="F81" s="2"/>
      <c r="G81" s="2"/>
      <c r="H81" s="2"/>
      <c r="I81" s="2"/>
      <c r="J81" s="2"/>
      <c r="K81" s="2"/>
      <c r="L81" s="2"/>
      <c r="M81" s="2"/>
      <c r="N81" s="2"/>
      <c r="O81" s="2"/>
      <c r="P81" s="2"/>
      <c r="Q81" s="2"/>
      <c r="R81" s="9"/>
      <c r="S81" s="9"/>
      <c r="T81" s="9"/>
      <c r="U81" s="9"/>
      <c r="V81" s="9"/>
      <c r="W81" s="9"/>
      <c r="X81" s="9"/>
      <c r="Y81" s="9"/>
      <c r="Z81" s="9"/>
      <c r="AA81" s="9"/>
      <c r="AB81" s="9"/>
      <c r="AC81" s="9"/>
      <c r="AD81" s="9"/>
    </row>
    <row r="82" spans="1:30" ht="13.5" customHeight="1" x14ac:dyDescent="0.25">
      <c r="A82" s="2"/>
      <c r="B82" s="2"/>
      <c r="C82" s="2"/>
      <c r="D82" s="2"/>
      <c r="E82" s="2"/>
      <c r="F82" s="2"/>
      <c r="G82" s="2"/>
      <c r="H82" s="2"/>
      <c r="I82" s="2"/>
      <c r="J82" s="2"/>
      <c r="K82" s="2"/>
      <c r="L82" s="2"/>
      <c r="M82" s="2"/>
      <c r="N82" s="2"/>
      <c r="O82" s="2"/>
      <c r="P82" s="2"/>
      <c r="Q82" s="2"/>
      <c r="R82" s="9"/>
      <c r="S82" s="9"/>
      <c r="T82" s="9"/>
      <c r="U82" s="9"/>
      <c r="V82" s="9"/>
      <c r="W82" s="9"/>
      <c r="X82" s="9"/>
      <c r="Y82" s="9"/>
      <c r="Z82" s="9"/>
      <c r="AA82" s="9"/>
      <c r="AB82" s="9"/>
      <c r="AC82" s="9"/>
      <c r="AD82" s="9"/>
    </row>
    <row r="83" spans="1:30" ht="13.5" customHeight="1" x14ac:dyDescent="0.25">
      <c r="A83" s="2"/>
      <c r="B83" s="2"/>
      <c r="C83" s="2"/>
      <c r="D83" s="2"/>
      <c r="E83" s="2"/>
      <c r="F83" s="2"/>
      <c r="G83" s="2"/>
      <c r="H83" s="2"/>
      <c r="I83" s="2"/>
      <c r="J83" s="2"/>
      <c r="K83" s="2"/>
      <c r="L83" s="2"/>
      <c r="M83" s="2"/>
      <c r="N83" s="2"/>
      <c r="O83" s="2"/>
      <c r="P83" s="2"/>
      <c r="Q83" s="2"/>
      <c r="R83" s="9"/>
      <c r="S83" s="9"/>
      <c r="T83" s="9"/>
      <c r="U83" s="9"/>
      <c r="V83" s="9"/>
      <c r="W83" s="9"/>
      <c r="X83" s="9"/>
      <c r="Y83" s="9"/>
      <c r="Z83" s="9"/>
      <c r="AA83" s="9"/>
      <c r="AB83" s="9"/>
      <c r="AC83" s="9"/>
      <c r="AD83" s="9"/>
    </row>
    <row r="84" spans="1:30" ht="13.5" customHeight="1" x14ac:dyDescent="0.25">
      <c r="A84" s="2"/>
      <c r="B84" s="2"/>
      <c r="C84" s="2"/>
      <c r="D84" s="2"/>
      <c r="E84" s="2"/>
      <c r="F84" s="2"/>
      <c r="G84" s="2"/>
      <c r="H84" s="2"/>
      <c r="I84" s="2"/>
      <c r="J84" s="2"/>
      <c r="K84" s="2"/>
      <c r="L84" s="2"/>
      <c r="M84" s="2"/>
      <c r="N84" s="2"/>
      <c r="O84" s="2"/>
      <c r="P84" s="2"/>
      <c r="Q84" s="2"/>
      <c r="R84" s="9"/>
      <c r="S84" s="9"/>
      <c r="T84" s="9"/>
      <c r="U84" s="9"/>
      <c r="V84" s="9"/>
      <c r="W84" s="9"/>
      <c r="X84" s="9"/>
      <c r="Y84" s="9"/>
      <c r="Z84" s="9"/>
      <c r="AA84" s="9"/>
      <c r="AB84" s="9"/>
      <c r="AC84" s="9"/>
      <c r="AD84" s="9"/>
    </row>
    <row r="85" spans="1:30" ht="13.5" customHeight="1" x14ac:dyDescent="0.25">
      <c r="A85" s="2"/>
      <c r="B85" s="2"/>
      <c r="C85" s="2"/>
      <c r="D85" s="2"/>
      <c r="E85" s="2"/>
      <c r="F85" s="2"/>
      <c r="G85" s="2"/>
      <c r="H85" s="2"/>
      <c r="I85" s="2"/>
      <c r="J85" s="2"/>
      <c r="K85" s="2"/>
      <c r="L85" s="2"/>
      <c r="M85" s="2"/>
      <c r="N85" s="2"/>
      <c r="O85" s="2"/>
      <c r="P85" s="2"/>
      <c r="Q85" s="2"/>
      <c r="R85" s="9"/>
      <c r="S85" s="9"/>
      <c r="T85" s="9"/>
      <c r="U85" s="9"/>
      <c r="V85" s="9"/>
      <c r="W85" s="9"/>
      <c r="X85" s="9"/>
      <c r="Y85" s="9"/>
      <c r="Z85" s="9"/>
      <c r="AA85" s="9"/>
      <c r="AB85" s="9"/>
      <c r="AC85" s="9"/>
      <c r="AD85" s="9"/>
    </row>
    <row r="86" spans="1:30" ht="13.5" customHeight="1" x14ac:dyDescent="0.25">
      <c r="A86" s="2"/>
      <c r="B86" s="2"/>
      <c r="C86" s="2"/>
      <c r="D86" s="2"/>
      <c r="E86" s="2"/>
      <c r="F86" s="2"/>
      <c r="G86" s="2"/>
      <c r="H86" s="2"/>
      <c r="I86" s="2"/>
      <c r="J86" s="2"/>
      <c r="K86" s="2"/>
      <c r="L86" s="2"/>
      <c r="M86" s="2"/>
      <c r="N86" s="2"/>
      <c r="O86" s="2"/>
      <c r="P86" s="2"/>
      <c r="Q86" s="2"/>
      <c r="R86" s="9"/>
      <c r="S86" s="9"/>
      <c r="T86" s="9"/>
      <c r="U86" s="9"/>
      <c r="V86" s="9"/>
      <c r="W86" s="9"/>
      <c r="X86" s="9"/>
      <c r="Y86" s="9"/>
      <c r="Z86" s="9"/>
      <c r="AA86" s="9"/>
      <c r="AB86" s="9"/>
      <c r="AC86" s="9"/>
      <c r="AD86" s="9"/>
    </row>
    <row r="87" spans="1:30" ht="13.5" customHeight="1" x14ac:dyDescent="0.25">
      <c r="A87" s="2"/>
      <c r="B87" s="2"/>
      <c r="C87" s="2"/>
      <c r="D87" s="2"/>
      <c r="E87" s="2"/>
      <c r="F87" s="2"/>
      <c r="G87" s="2"/>
      <c r="H87" s="2"/>
      <c r="I87" s="2"/>
      <c r="J87" s="2"/>
      <c r="K87" s="2"/>
      <c r="L87" s="2"/>
      <c r="M87" s="2"/>
      <c r="N87" s="2"/>
      <c r="O87" s="2"/>
      <c r="P87" s="2"/>
      <c r="Q87" s="2"/>
      <c r="R87" s="9"/>
      <c r="S87" s="9"/>
      <c r="T87" s="9"/>
      <c r="U87" s="9"/>
      <c r="V87" s="9"/>
      <c r="W87" s="9"/>
      <c r="X87" s="9"/>
      <c r="Y87" s="9"/>
      <c r="Z87" s="9"/>
      <c r="AA87" s="9"/>
      <c r="AB87" s="9"/>
      <c r="AC87" s="9"/>
      <c r="AD87" s="9"/>
    </row>
    <row r="88" spans="1:30" ht="13.5" customHeight="1" x14ac:dyDescent="0.25">
      <c r="A88" s="2"/>
      <c r="B88" s="2"/>
      <c r="C88" s="2"/>
      <c r="D88" s="2"/>
      <c r="E88" s="2"/>
      <c r="F88" s="2"/>
      <c r="G88" s="2"/>
      <c r="H88" s="2"/>
      <c r="I88" s="2"/>
      <c r="J88" s="2"/>
      <c r="K88" s="2"/>
      <c r="L88" s="2"/>
      <c r="M88" s="2"/>
      <c r="N88" s="2"/>
      <c r="O88" s="2"/>
      <c r="P88" s="2"/>
      <c r="Q88" s="2"/>
      <c r="R88" s="9"/>
      <c r="S88" s="9"/>
      <c r="T88" s="9"/>
      <c r="U88" s="9"/>
      <c r="V88" s="9"/>
      <c r="W88" s="9"/>
      <c r="X88" s="9"/>
      <c r="Y88" s="9"/>
      <c r="Z88" s="9"/>
      <c r="AA88" s="9"/>
      <c r="AB88" s="9"/>
      <c r="AC88" s="9"/>
      <c r="AD88" s="9"/>
    </row>
    <row r="89" spans="1:30" ht="13.5" customHeight="1" x14ac:dyDescent="0.25">
      <c r="A89" s="2"/>
      <c r="B89" s="2"/>
      <c r="C89" s="2"/>
      <c r="D89" s="2"/>
      <c r="E89" s="2"/>
      <c r="F89" s="2"/>
      <c r="G89" s="2"/>
      <c r="H89" s="2"/>
      <c r="I89" s="2"/>
      <c r="J89" s="2"/>
      <c r="K89" s="2"/>
      <c r="L89" s="2"/>
      <c r="M89" s="2"/>
      <c r="N89" s="2"/>
      <c r="O89" s="2"/>
      <c r="P89" s="2"/>
      <c r="Q89" s="2"/>
      <c r="R89" s="9"/>
      <c r="S89" s="9"/>
      <c r="T89" s="9"/>
      <c r="U89" s="9"/>
      <c r="V89" s="9"/>
      <c r="W89" s="9"/>
      <c r="X89" s="9"/>
      <c r="Y89" s="9"/>
      <c r="Z89" s="9"/>
      <c r="AA89" s="9"/>
      <c r="AB89" s="9"/>
      <c r="AC89" s="9"/>
      <c r="AD89" s="9"/>
    </row>
    <row r="90" spans="1:30" ht="13.5" customHeight="1" x14ac:dyDescent="0.25">
      <c r="A90" s="2"/>
      <c r="B90" s="2"/>
      <c r="C90" s="2"/>
      <c r="D90" s="2"/>
      <c r="E90" s="2"/>
      <c r="F90" s="2"/>
      <c r="G90" s="2"/>
      <c r="H90" s="2"/>
      <c r="I90" s="2"/>
      <c r="J90" s="2"/>
      <c r="K90" s="2"/>
      <c r="L90" s="2"/>
      <c r="M90" s="2"/>
      <c r="N90" s="2"/>
      <c r="O90" s="2"/>
      <c r="P90" s="2"/>
      <c r="Q90" s="2"/>
      <c r="R90" s="9"/>
      <c r="S90" s="9"/>
      <c r="T90" s="9"/>
      <c r="U90" s="9"/>
      <c r="V90" s="9"/>
      <c r="W90" s="9"/>
      <c r="X90" s="9"/>
      <c r="Y90" s="9"/>
      <c r="Z90" s="9"/>
      <c r="AA90" s="9"/>
      <c r="AB90" s="9"/>
      <c r="AC90" s="9"/>
      <c r="AD90" s="9"/>
    </row>
    <row r="91" spans="1:30" ht="13.5" customHeight="1" x14ac:dyDescent="0.25">
      <c r="A91" s="2"/>
      <c r="B91" s="2"/>
      <c r="C91" s="2"/>
      <c r="D91" s="2"/>
      <c r="E91" s="2"/>
      <c r="F91" s="2"/>
      <c r="G91" s="2"/>
      <c r="H91" s="2"/>
      <c r="I91" s="2"/>
      <c r="J91" s="2"/>
      <c r="K91" s="2"/>
      <c r="L91" s="2"/>
      <c r="M91" s="2"/>
      <c r="N91" s="2"/>
      <c r="O91" s="2"/>
      <c r="P91" s="2"/>
      <c r="Q91" s="2"/>
      <c r="R91" s="9"/>
      <c r="S91" s="9"/>
      <c r="T91" s="9"/>
      <c r="U91" s="9"/>
      <c r="V91" s="9"/>
      <c r="W91" s="9"/>
      <c r="X91" s="9"/>
      <c r="Y91" s="9"/>
      <c r="Z91" s="9"/>
      <c r="AA91" s="9"/>
      <c r="AB91" s="9"/>
      <c r="AC91" s="9"/>
      <c r="AD91" s="9"/>
    </row>
    <row r="92" spans="1:30" ht="13.5" customHeight="1" x14ac:dyDescent="0.25">
      <c r="A92" s="2"/>
      <c r="B92" s="2"/>
      <c r="C92" s="2"/>
      <c r="D92" s="2"/>
      <c r="E92" s="2"/>
      <c r="F92" s="2"/>
      <c r="G92" s="2"/>
      <c r="H92" s="2"/>
      <c r="I92" s="2"/>
      <c r="J92" s="2"/>
      <c r="K92" s="2"/>
      <c r="L92" s="2"/>
      <c r="M92" s="2"/>
      <c r="N92" s="2"/>
      <c r="O92" s="2"/>
      <c r="P92" s="2"/>
      <c r="Q92" s="2"/>
      <c r="R92" s="9"/>
      <c r="S92" s="9"/>
      <c r="T92" s="9"/>
      <c r="U92" s="9"/>
      <c r="V92" s="9"/>
      <c r="W92" s="9"/>
      <c r="X92" s="9"/>
      <c r="Y92" s="9"/>
      <c r="Z92" s="9"/>
      <c r="AA92" s="9"/>
      <c r="AB92" s="9"/>
      <c r="AC92" s="9"/>
      <c r="AD92" s="9"/>
    </row>
    <row r="93" spans="1:30" ht="13.5" customHeight="1" x14ac:dyDescent="0.25">
      <c r="A93" s="2"/>
      <c r="B93" s="2"/>
      <c r="C93" s="2"/>
      <c r="D93" s="2"/>
      <c r="E93" s="2"/>
      <c r="F93" s="2"/>
      <c r="G93" s="2"/>
      <c r="H93" s="2"/>
      <c r="I93" s="2"/>
      <c r="J93" s="2"/>
      <c r="K93" s="2"/>
      <c r="L93" s="2"/>
      <c r="M93" s="2"/>
      <c r="N93" s="2"/>
      <c r="O93" s="2"/>
      <c r="P93" s="2"/>
      <c r="Q93" s="2"/>
      <c r="R93" s="9"/>
      <c r="S93" s="9"/>
      <c r="T93" s="9"/>
      <c r="U93" s="9"/>
      <c r="V93" s="9"/>
      <c r="W93" s="9"/>
      <c r="X93" s="9"/>
      <c r="Y93" s="9"/>
      <c r="Z93" s="9"/>
      <c r="AA93" s="9"/>
      <c r="AB93" s="9"/>
      <c r="AC93" s="9"/>
      <c r="AD93" s="9"/>
    </row>
    <row r="94" spans="1:30" ht="13.5" customHeight="1" x14ac:dyDescent="0.25">
      <c r="A94" s="2"/>
      <c r="B94" s="2"/>
      <c r="C94" s="2"/>
      <c r="D94" s="2"/>
      <c r="E94" s="2"/>
      <c r="F94" s="2"/>
      <c r="G94" s="2"/>
      <c r="H94" s="2"/>
      <c r="I94" s="2"/>
      <c r="J94" s="2"/>
      <c r="K94" s="2"/>
      <c r="L94" s="2"/>
      <c r="M94" s="2"/>
      <c r="N94" s="2"/>
      <c r="O94" s="2"/>
      <c r="P94" s="2"/>
      <c r="Q94" s="2"/>
      <c r="R94" s="9"/>
      <c r="S94" s="9"/>
      <c r="T94" s="9"/>
      <c r="U94" s="9"/>
      <c r="V94" s="9"/>
      <c r="W94" s="9"/>
      <c r="X94" s="9"/>
      <c r="Y94" s="9"/>
      <c r="Z94" s="9"/>
      <c r="AA94" s="9"/>
      <c r="AB94" s="9"/>
      <c r="AC94" s="9"/>
      <c r="AD94" s="9"/>
    </row>
    <row r="95" spans="1:30" ht="13.5" customHeight="1" x14ac:dyDescent="0.25">
      <c r="A95" s="2"/>
      <c r="B95" s="2"/>
      <c r="C95" s="2"/>
      <c r="D95" s="2"/>
      <c r="E95" s="2"/>
      <c r="F95" s="2"/>
      <c r="G95" s="2"/>
      <c r="H95" s="2"/>
      <c r="I95" s="2"/>
      <c r="J95" s="2"/>
      <c r="K95" s="2"/>
      <c r="L95" s="2"/>
      <c r="M95" s="2"/>
      <c r="N95" s="2"/>
      <c r="O95" s="2"/>
      <c r="P95" s="2"/>
      <c r="Q95" s="2"/>
      <c r="R95" s="9"/>
      <c r="S95" s="9"/>
      <c r="T95" s="9"/>
      <c r="U95" s="9"/>
      <c r="V95" s="9"/>
      <c r="W95" s="9"/>
      <c r="X95" s="9"/>
      <c r="Y95" s="9"/>
      <c r="Z95" s="9"/>
      <c r="AA95" s="9"/>
      <c r="AB95" s="9"/>
      <c r="AC95" s="9"/>
      <c r="AD95" s="9"/>
    </row>
    <row r="96" spans="1:30" ht="13.5" customHeight="1" x14ac:dyDescent="0.25">
      <c r="A96" s="2"/>
      <c r="B96" s="2"/>
      <c r="C96" s="2"/>
      <c r="D96" s="2"/>
      <c r="E96" s="2"/>
      <c r="F96" s="2"/>
      <c r="G96" s="2"/>
      <c r="H96" s="2"/>
      <c r="I96" s="2"/>
      <c r="J96" s="2"/>
      <c r="K96" s="2"/>
      <c r="L96" s="2"/>
      <c r="M96" s="2"/>
      <c r="N96" s="2"/>
      <c r="O96" s="2"/>
      <c r="P96" s="2"/>
      <c r="Q96" s="2"/>
      <c r="R96" s="9"/>
      <c r="S96" s="9"/>
      <c r="T96" s="9"/>
      <c r="U96" s="9"/>
      <c r="V96" s="9"/>
      <c r="W96" s="9"/>
      <c r="X96" s="9"/>
      <c r="Y96" s="9"/>
      <c r="Z96" s="9"/>
      <c r="AA96" s="9"/>
      <c r="AB96" s="9"/>
      <c r="AC96" s="9"/>
      <c r="AD96" s="9"/>
    </row>
    <row r="97" spans="1:30" ht="13.5" customHeight="1" x14ac:dyDescent="0.25">
      <c r="A97" s="2"/>
      <c r="B97" s="2"/>
      <c r="C97" s="2"/>
      <c r="D97" s="2"/>
      <c r="E97" s="2"/>
      <c r="F97" s="2"/>
      <c r="G97" s="2"/>
      <c r="H97" s="2"/>
      <c r="I97" s="2"/>
      <c r="J97" s="2"/>
      <c r="K97" s="2"/>
      <c r="L97" s="2"/>
      <c r="M97" s="2"/>
      <c r="N97" s="2"/>
      <c r="O97" s="2"/>
      <c r="P97" s="2"/>
      <c r="Q97" s="2"/>
      <c r="R97" s="9"/>
      <c r="S97" s="9"/>
      <c r="T97" s="9"/>
      <c r="U97" s="9"/>
      <c r="V97" s="9"/>
      <c r="W97" s="9"/>
      <c r="X97" s="9"/>
      <c r="Y97" s="9"/>
      <c r="Z97" s="9"/>
      <c r="AA97" s="9"/>
      <c r="AB97" s="9"/>
      <c r="AC97" s="9"/>
      <c r="AD97" s="9"/>
    </row>
    <row r="98" spans="1:30" ht="13.5" customHeight="1" x14ac:dyDescent="0.25">
      <c r="A98" s="2"/>
      <c r="B98" s="2"/>
      <c r="C98" s="2"/>
      <c r="D98" s="2"/>
      <c r="E98" s="2"/>
      <c r="F98" s="2"/>
      <c r="G98" s="2"/>
      <c r="H98" s="2"/>
      <c r="I98" s="2"/>
      <c r="J98" s="2"/>
      <c r="K98" s="2"/>
      <c r="L98" s="2"/>
      <c r="M98" s="2"/>
      <c r="N98" s="2"/>
      <c r="O98" s="2"/>
      <c r="P98" s="2"/>
      <c r="Q98" s="2"/>
      <c r="R98" s="9"/>
      <c r="S98" s="9"/>
      <c r="T98" s="9"/>
      <c r="U98" s="9"/>
      <c r="V98" s="9"/>
      <c r="W98" s="9"/>
      <c r="X98" s="9"/>
      <c r="Y98" s="9"/>
      <c r="Z98" s="9"/>
      <c r="AA98" s="9"/>
      <c r="AB98" s="9"/>
      <c r="AC98" s="9"/>
      <c r="AD98" s="9"/>
    </row>
    <row r="99" spans="1:30" ht="13.5" customHeight="1" x14ac:dyDescent="0.25">
      <c r="A99" s="2"/>
      <c r="B99" s="2"/>
      <c r="C99" s="2"/>
      <c r="D99" s="2"/>
      <c r="E99" s="2"/>
      <c r="F99" s="2"/>
      <c r="G99" s="2"/>
      <c r="H99" s="2"/>
      <c r="I99" s="2"/>
      <c r="J99" s="2"/>
      <c r="K99" s="2"/>
      <c r="L99" s="2"/>
      <c r="M99" s="2"/>
      <c r="N99" s="2"/>
      <c r="O99" s="2"/>
      <c r="P99" s="2"/>
      <c r="Q99" s="2"/>
      <c r="R99" s="9"/>
      <c r="S99" s="9"/>
      <c r="T99" s="9"/>
      <c r="U99" s="9"/>
      <c r="V99" s="9"/>
      <c r="W99" s="9"/>
      <c r="X99" s="9"/>
      <c r="Y99" s="9"/>
      <c r="Z99" s="9"/>
      <c r="AA99" s="9"/>
      <c r="AB99" s="9"/>
      <c r="AC99" s="9"/>
      <c r="AD99" s="9"/>
    </row>
    <row r="100" spans="1:30" ht="13.5" customHeight="1" x14ac:dyDescent="0.25">
      <c r="A100" s="2"/>
      <c r="B100" s="2"/>
      <c r="C100" s="2"/>
      <c r="D100" s="2"/>
      <c r="E100" s="2"/>
      <c r="F100" s="2"/>
      <c r="G100" s="2"/>
      <c r="H100" s="2"/>
      <c r="I100" s="2"/>
      <c r="J100" s="2"/>
      <c r="K100" s="2"/>
      <c r="L100" s="2"/>
      <c r="M100" s="2"/>
      <c r="N100" s="2"/>
      <c r="O100" s="2"/>
      <c r="P100" s="2"/>
      <c r="Q100" s="2"/>
      <c r="R100" s="9"/>
      <c r="S100" s="9"/>
      <c r="T100" s="9"/>
      <c r="U100" s="9"/>
      <c r="V100" s="9"/>
      <c r="W100" s="9"/>
      <c r="X100" s="9"/>
      <c r="Y100" s="9"/>
      <c r="Z100" s="9"/>
      <c r="AA100" s="9"/>
      <c r="AB100" s="9"/>
      <c r="AC100" s="9"/>
      <c r="AD100" s="9"/>
    </row>
    <row r="101" spans="1:30" ht="13.5" customHeight="1" x14ac:dyDescent="0.25">
      <c r="A101" s="2"/>
      <c r="B101" s="2"/>
      <c r="C101" s="2"/>
      <c r="D101" s="2"/>
      <c r="E101" s="2"/>
      <c r="F101" s="2"/>
      <c r="G101" s="2"/>
      <c r="H101" s="2"/>
      <c r="I101" s="2"/>
      <c r="J101" s="2"/>
      <c r="K101" s="2"/>
      <c r="L101" s="2"/>
      <c r="M101" s="2"/>
      <c r="N101" s="2"/>
      <c r="O101" s="2"/>
      <c r="P101" s="2"/>
      <c r="Q101" s="2"/>
      <c r="R101" s="9"/>
      <c r="S101" s="9"/>
      <c r="T101" s="9"/>
      <c r="U101" s="9"/>
      <c r="V101" s="9"/>
      <c r="W101" s="9"/>
      <c r="X101" s="9"/>
      <c r="Y101" s="9"/>
      <c r="Z101" s="9"/>
      <c r="AA101" s="9"/>
      <c r="AB101" s="9"/>
      <c r="AC101" s="9"/>
      <c r="AD101" s="9"/>
    </row>
    <row r="102" spans="1:30" ht="13.5" customHeight="1" x14ac:dyDescent="0.25">
      <c r="A102" s="2"/>
      <c r="B102" s="2"/>
      <c r="C102" s="2"/>
      <c r="D102" s="2"/>
      <c r="E102" s="2"/>
      <c r="F102" s="2"/>
      <c r="G102" s="2"/>
      <c r="H102" s="2"/>
      <c r="I102" s="2"/>
      <c r="J102" s="2"/>
      <c r="K102" s="2"/>
      <c r="L102" s="2"/>
      <c r="M102" s="2"/>
      <c r="N102" s="2"/>
      <c r="O102" s="2"/>
      <c r="P102" s="2"/>
      <c r="Q102" s="2"/>
      <c r="R102" s="9"/>
      <c r="S102" s="9"/>
      <c r="T102" s="9"/>
      <c r="U102" s="9"/>
      <c r="V102" s="9"/>
      <c r="W102" s="9"/>
      <c r="X102" s="9"/>
      <c r="Y102" s="9"/>
      <c r="Z102" s="9"/>
      <c r="AA102" s="9"/>
      <c r="AB102" s="9"/>
      <c r="AC102" s="9"/>
      <c r="AD102" s="9"/>
    </row>
    <row r="103" spans="1:30" ht="13.5" customHeight="1" x14ac:dyDescent="0.25">
      <c r="A103" s="2"/>
      <c r="B103" s="2"/>
      <c r="C103" s="2"/>
      <c r="D103" s="2"/>
      <c r="E103" s="2"/>
      <c r="F103" s="2"/>
      <c r="G103" s="2"/>
      <c r="H103" s="2"/>
      <c r="I103" s="2"/>
      <c r="J103" s="2"/>
      <c r="K103" s="2"/>
      <c r="L103" s="2"/>
      <c r="M103" s="2"/>
      <c r="N103" s="2"/>
      <c r="O103" s="2"/>
      <c r="P103" s="2"/>
      <c r="Q103" s="2"/>
      <c r="R103" s="9"/>
      <c r="S103" s="9"/>
      <c r="T103" s="9"/>
      <c r="U103" s="9"/>
      <c r="V103" s="9"/>
      <c r="W103" s="9"/>
      <c r="X103" s="9"/>
      <c r="Y103" s="9"/>
      <c r="Z103" s="9"/>
      <c r="AA103" s="9"/>
      <c r="AB103" s="9"/>
      <c r="AC103" s="9"/>
      <c r="AD103" s="9"/>
    </row>
    <row r="104" spans="1:30" ht="13.5" customHeight="1" x14ac:dyDescent="0.25">
      <c r="A104" s="2"/>
      <c r="B104" s="2"/>
      <c r="C104" s="2"/>
      <c r="D104" s="2"/>
      <c r="E104" s="2"/>
      <c r="F104" s="2"/>
      <c r="G104" s="2"/>
      <c r="H104" s="2"/>
      <c r="I104" s="2"/>
      <c r="J104" s="2"/>
      <c r="K104" s="2"/>
      <c r="L104" s="2"/>
      <c r="M104" s="2"/>
      <c r="N104" s="2"/>
      <c r="O104" s="2"/>
      <c r="P104" s="2"/>
      <c r="Q104" s="2"/>
      <c r="R104" s="9"/>
      <c r="S104" s="9"/>
      <c r="T104" s="9"/>
      <c r="U104" s="9"/>
      <c r="V104" s="9"/>
      <c r="W104" s="9"/>
      <c r="X104" s="9"/>
      <c r="Y104" s="9"/>
      <c r="Z104" s="9"/>
      <c r="AA104" s="9"/>
      <c r="AB104" s="9"/>
      <c r="AC104" s="9"/>
      <c r="AD104" s="9"/>
    </row>
    <row r="105" spans="1:30" ht="13.5" customHeight="1" x14ac:dyDescent="0.25">
      <c r="A105" s="2"/>
      <c r="B105" s="2"/>
      <c r="C105" s="2"/>
      <c r="D105" s="2"/>
      <c r="E105" s="2"/>
      <c r="F105" s="2"/>
      <c r="G105" s="2"/>
      <c r="H105" s="2"/>
      <c r="I105" s="2"/>
      <c r="J105" s="2"/>
      <c r="K105" s="2"/>
      <c r="L105" s="2"/>
      <c r="M105" s="2"/>
      <c r="N105" s="2"/>
      <c r="O105" s="2"/>
      <c r="P105" s="2"/>
      <c r="Q105" s="2"/>
      <c r="R105" s="9"/>
      <c r="S105" s="9"/>
      <c r="T105" s="9"/>
      <c r="U105" s="9"/>
      <c r="V105" s="9"/>
      <c r="W105" s="9"/>
      <c r="X105" s="9"/>
      <c r="Y105" s="9"/>
      <c r="Z105" s="9"/>
      <c r="AA105" s="9"/>
      <c r="AB105" s="9"/>
      <c r="AC105" s="9"/>
      <c r="AD105" s="9"/>
    </row>
    <row r="106" spans="1:30" ht="13.5" customHeight="1" x14ac:dyDescent="0.25">
      <c r="A106" s="2"/>
      <c r="B106" s="2"/>
      <c r="C106" s="2"/>
      <c r="D106" s="2"/>
      <c r="E106" s="2"/>
      <c r="F106" s="2"/>
      <c r="G106" s="2"/>
      <c r="H106" s="2"/>
      <c r="I106" s="2"/>
      <c r="J106" s="2"/>
      <c r="K106" s="2"/>
      <c r="L106" s="2"/>
      <c r="M106" s="2"/>
      <c r="N106" s="2"/>
      <c r="O106" s="2"/>
      <c r="P106" s="2"/>
      <c r="Q106" s="2"/>
      <c r="R106" s="9"/>
      <c r="S106" s="9"/>
      <c r="T106" s="9"/>
      <c r="U106" s="9"/>
      <c r="V106" s="9"/>
      <c r="W106" s="9"/>
      <c r="X106" s="9"/>
      <c r="Y106" s="9"/>
      <c r="Z106" s="9"/>
      <c r="AA106" s="9"/>
      <c r="AB106" s="9"/>
      <c r="AC106" s="9"/>
      <c r="AD106" s="9"/>
    </row>
    <row r="107" spans="1:30" ht="13.5" customHeight="1" x14ac:dyDescent="0.25">
      <c r="A107" s="2"/>
      <c r="B107" s="2"/>
      <c r="C107" s="2"/>
      <c r="D107" s="2"/>
      <c r="E107" s="2"/>
      <c r="F107" s="2"/>
      <c r="G107" s="2"/>
      <c r="H107" s="2"/>
      <c r="I107" s="2"/>
      <c r="J107" s="2"/>
      <c r="K107" s="2"/>
      <c r="L107" s="2"/>
      <c r="M107" s="2"/>
      <c r="N107" s="2"/>
      <c r="O107" s="2"/>
      <c r="P107" s="2"/>
      <c r="Q107" s="2"/>
      <c r="R107" s="9"/>
      <c r="S107" s="9"/>
      <c r="T107" s="9"/>
      <c r="U107" s="9"/>
      <c r="V107" s="9"/>
      <c r="W107" s="9"/>
      <c r="X107" s="9"/>
      <c r="Y107" s="9"/>
      <c r="Z107" s="9"/>
      <c r="AA107" s="9"/>
      <c r="AB107" s="9"/>
      <c r="AC107" s="9"/>
      <c r="AD107" s="9"/>
    </row>
    <row r="108" spans="1:30" ht="13.5" customHeight="1" x14ac:dyDescent="0.25">
      <c r="A108" s="2"/>
      <c r="B108" s="2"/>
      <c r="C108" s="2"/>
      <c r="D108" s="2"/>
      <c r="E108" s="2"/>
      <c r="F108" s="2"/>
      <c r="G108" s="2"/>
      <c r="H108" s="2"/>
      <c r="I108" s="2"/>
      <c r="J108" s="2"/>
      <c r="K108" s="2"/>
      <c r="L108" s="2"/>
      <c r="M108" s="2"/>
      <c r="N108" s="2"/>
      <c r="O108" s="2"/>
      <c r="P108" s="2"/>
      <c r="Q108" s="2"/>
      <c r="R108" s="9"/>
      <c r="S108" s="9"/>
      <c r="T108" s="9"/>
      <c r="U108" s="9"/>
      <c r="V108" s="9"/>
      <c r="W108" s="9"/>
      <c r="X108" s="9"/>
      <c r="Y108" s="9"/>
      <c r="Z108" s="9"/>
      <c r="AA108" s="9"/>
      <c r="AB108" s="9"/>
      <c r="AC108" s="9"/>
      <c r="AD108" s="9"/>
    </row>
    <row r="109" spans="1:30" ht="13.5" customHeight="1" x14ac:dyDescent="0.25">
      <c r="A109" s="2"/>
      <c r="B109" s="2"/>
      <c r="C109" s="2"/>
      <c r="D109" s="2"/>
      <c r="E109" s="2"/>
      <c r="F109" s="2"/>
      <c r="G109" s="2"/>
      <c r="H109" s="2"/>
      <c r="I109" s="2"/>
      <c r="J109" s="2"/>
      <c r="K109" s="2"/>
      <c r="L109" s="2"/>
      <c r="M109" s="2"/>
      <c r="N109" s="2"/>
      <c r="O109" s="2"/>
      <c r="P109" s="2"/>
      <c r="Q109" s="2"/>
      <c r="R109" s="9"/>
      <c r="S109" s="9"/>
      <c r="T109" s="9"/>
      <c r="U109" s="9"/>
      <c r="V109" s="9"/>
      <c r="W109" s="9"/>
      <c r="X109" s="9"/>
      <c r="Y109" s="9"/>
      <c r="Z109" s="9"/>
      <c r="AA109" s="9"/>
      <c r="AB109" s="9"/>
      <c r="AC109" s="9"/>
      <c r="AD109" s="9"/>
    </row>
    <row r="110" spans="1:30" ht="13.5" customHeight="1" x14ac:dyDescent="0.25">
      <c r="A110" s="2"/>
      <c r="B110" s="2"/>
      <c r="C110" s="2"/>
      <c r="D110" s="2"/>
      <c r="E110" s="2"/>
      <c r="F110" s="2"/>
      <c r="G110" s="2"/>
      <c r="H110" s="2"/>
      <c r="I110" s="2"/>
      <c r="J110" s="2"/>
      <c r="K110" s="2"/>
      <c r="L110" s="2"/>
      <c r="M110" s="2"/>
      <c r="N110" s="2"/>
      <c r="O110" s="2"/>
      <c r="P110" s="2"/>
      <c r="Q110" s="2"/>
      <c r="R110" s="9"/>
      <c r="S110" s="9"/>
      <c r="T110" s="9"/>
      <c r="U110" s="9"/>
      <c r="V110" s="9"/>
      <c r="W110" s="9"/>
      <c r="X110" s="9"/>
      <c r="Y110" s="9"/>
      <c r="Z110" s="9"/>
      <c r="AA110" s="9"/>
      <c r="AB110" s="9"/>
      <c r="AC110" s="9"/>
      <c r="AD110" s="9"/>
    </row>
    <row r="111" spans="1:30" ht="13.5" customHeight="1" x14ac:dyDescent="0.25">
      <c r="A111" s="2"/>
      <c r="B111" s="2"/>
      <c r="C111" s="2"/>
      <c r="D111" s="2"/>
      <c r="E111" s="2"/>
      <c r="F111" s="2"/>
      <c r="G111" s="2"/>
      <c r="H111" s="2"/>
      <c r="I111" s="2"/>
      <c r="J111" s="2"/>
      <c r="K111" s="2"/>
      <c r="L111" s="2"/>
      <c r="M111" s="2"/>
      <c r="N111" s="2"/>
      <c r="O111" s="2"/>
      <c r="P111" s="2"/>
      <c r="Q111" s="2"/>
      <c r="R111" s="9"/>
      <c r="S111" s="9"/>
      <c r="T111" s="9"/>
      <c r="U111" s="9"/>
      <c r="V111" s="9"/>
      <c r="W111" s="9"/>
      <c r="X111" s="9"/>
      <c r="Y111" s="9"/>
      <c r="Z111" s="9"/>
      <c r="AA111" s="9"/>
      <c r="AB111" s="9"/>
      <c r="AC111" s="9"/>
      <c r="AD111" s="9"/>
    </row>
    <row r="112" spans="1:30" ht="13.5" customHeight="1" x14ac:dyDescent="0.25">
      <c r="A112" s="2"/>
      <c r="B112" s="2"/>
      <c r="C112" s="2"/>
      <c r="D112" s="2"/>
      <c r="E112" s="2"/>
      <c r="F112" s="2"/>
      <c r="G112" s="2"/>
      <c r="H112" s="2"/>
      <c r="I112" s="2"/>
      <c r="J112" s="2"/>
      <c r="K112" s="2"/>
      <c r="L112" s="2"/>
      <c r="M112" s="2"/>
      <c r="N112" s="2"/>
      <c r="O112" s="2"/>
      <c r="P112" s="2"/>
      <c r="Q112" s="2"/>
      <c r="R112" s="9"/>
      <c r="S112" s="9"/>
      <c r="T112" s="9"/>
      <c r="U112" s="9"/>
      <c r="V112" s="9"/>
      <c r="W112" s="9"/>
      <c r="X112" s="9"/>
      <c r="Y112" s="9"/>
      <c r="Z112" s="9"/>
      <c r="AA112" s="9"/>
      <c r="AB112" s="9"/>
      <c r="AC112" s="9"/>
      <c r="AD112" s="9"/>
    </row>
    <row r="113" spans="1:30" ht="13.5" customHeight="1" x14ac:dyDescent="0.25">
      <c r="A113" s="2"/>
      <c r="B113" s="2"/>
      <c r="C113" s="2"/>
      <c r="D113" s="2"/>
      <c r="E113" s="2"/>
      <c r="F113" s="2"/>
      <c r="G113" s="2"/>
      <c r="H113" s="2"/>
      <c r="I113" s="2"/>
      <c r="J113" s="2"/>
      <c r="K113" s="2"/>
      <c r="L113" s="2"/>
      <c r="M113" s="2"/>
      <c r="N113" s="2"/>
      <c r="O113" s="2"/>
      <c r="P113" s="2"/>
      <c r="Q113" s="2"/>
      <c r="R113" s="9"/>
      <c r="S113" s="9"/>
      <c r="T113" s="9"/>
      <c r="U113" s="9"/>
      <c r="V113" s="9"/>
      <c r="W113" s="9"/>
      <c r="X113" s="9"/>
      <c r="Y113" s="9"/>
      <c r="Z113" s="9"/>
      <c r="AA113" s="9"/>
      <c r="AB113" s="9"/>
      <c r="AC113" s="9"/>
      <c r="AD113" s="9"/>
    </row>
    <row r="114" spans="1:30" ht="13.5" customHeight="1" x14ac:dyDescent="0.25">
      <c r="A114" s="2"/>
      <c r="B114" s="2"/>
      <c r="C114" s="2"/>
      <c r="D114" s="2"/>
      <c r="E114" s="2"/>
      <c r="F114" s="2"/>
      <c r="G114" s="2"/>
      <c r="H114" s="2"/>
      <c r="I114" s="2"/>
      <c r="J114" s="2"/>
      <c r="K114" s="2"/>
      <c r="L114" s="2"/>
      <c r="M114" s="2"/>
      <c r="N114" s="2"/>
      <c r="O114" s="2"/>
      <c r="P114" s="2"/>
      <c r="Q114" s="2"/>
      <c r="R114" s="9"/>
      <c r="S114" s="9"/>
      <c r="T114" s="9"/>
      <c r="U114" s="9"/>
      <c r="V114" s="9"/>
      <c r="W114" s="9"/>
      <c r="X114" s="9"/>
      <c r="Y114" s="9"/>
      <c r="Z114" s="9"/>
      <c r="AA114" s="9"/>
      <c r="AB114" s="9"/>
      <c r="AC114" s="9"/>
      <c r="AD114" s="9"/>
    </row>
    <row r="115" spans="1:30" ht="13.5" customHeight="1" x14ac:dyDescent="0.25">
      <c r="A115" s="2"/>
      <c r="B115" s="2"/>
      <c r="C115" s="2"/>
      <c r="D115" s="2"/>
      <c r="E115" s="2"/>
      <c r="F115" s="2"/>
      <c r="G115" s="2"/>
      <c r="H115" s="2"/>
      <c r="I115" s="2"/>
      <c r="J115" s="2"/>
      <c r="K115" s="2"/>
      <c r="L115" s="2"/>
      <c r="M115" s="2"/>
      <c r="N115" s="2"/>
      <c r="O115" s="2"/>
      <c r="P115" s="2"/>
      <c r="Q115" s="2"/>
      <c r="R115" s="9"/>
      <c r="S115" s="9"/>
      <c r="T115" s="9"/>
      <c r="U115" s="9"/>
      <c r="V115" s="9"/>
      <c r="W115" s="9"/>
      <c r="X115" s="9"/>
      <c r="Y115" s="9"/>
      <c r="Z115" s="9"/>
      <c r="AA115" s="9"/>
      <c r="AB115" s="9"/>
      <c r="AC115" s="9"/>
      <c r="AD115" s="9"/>
    </row>
    <row r="116" spans="1:30" ht="13.5" customHeight="1" x14ac:dyDescent="0.25">
      <c r="A116" s="2"/>
      <c r="B116" s="2"/>
      <c r="C116" s="2"/>
      <c r="D116" s="2"/>
      <c r="E116" s="2"/>
      <c r="F116" s="2"/>
      <c r="G116" s="2"/>
      <c r="H116" s="2"/>
      <c r="I116" s="2"/>
      <c r="J116" s="2"/>
      <c r="K116" s="2"/>
      <c r="L116" s="2"/>
      <c r="M116" s="2"/>
      <c r="N116" s="2"/>
      <c r="O116" s="2"/>
      <c r="P116" s="2"/>
      <c r="Q116" s="2"/>
      <c r="R116" s="9"/>
      <c r="S116" s="9"/>
      <c r="T116" s="9"/>
      <c r="U116" s="9"/>
      <c r="V116" s="9"/>
      <c r="W116" s="9"/>
      <c r="X116" s="9"/>
      <c r="Y116" s="9"/>
      <c r="Z116" s="9"/>
      <c r="AA116" s="9"/>
      <c r="AB116" s="9"/>
      <c r="AC116" s="9"/>
      <c r="AD116" s="9"/>
    </row>
    <row r="117" spans="1:30" ht="13.5" customHeight="1" x14ac:dyDescent="0.25">
      <c r="A117" s="2"/>
      <c r="B117" s="2"/>
      <c r="C117" s="2"/>
      <c r="D117" s="2"/>
      <c r="E117" s="2"/>
      <c r="F117" s="2"/>
      <c r="G117" s="2"/>
      <c r="H117" s="2"/>
      <c r="I117" s="2"/>
      <c r="J117" s="2"/>
      <c r="K117" s="2"/>
      <c r="L117" s="2"/>
      <c r="M117" s="2"/>
      <c r="N117" s="2"/>
      <c r="O117" s="2"/>
      <c r="P117" s="2"/>
      <c r="Q117" s="2"/>
      <c r="R117" s="9"/>
      <c r="S117" s="9"/>
      <c r="T117" s="9"/>
      <c r="U117" s="9"/>
      <c r="V117" s="9"/>
      <c r="W117" s="9"/>
      <c r="X117" s="9"/>
      <c r="Y117" s="9"/>
      <c r="Z117" s="9"/>
      <c r="AA117" s="9"/>
      <c r="AB117" s="9"/>
      <c r="AC117" s="9"/>
      <c r="AD117" s="9"/>
    </row>
    <row r="118" spans="1:30" ht="13.5" customHeight="1" x14ac:dyDescent="0.25">
      <c r="A118" s="2"/>
      <c r="B118" s="2"/>
      <c r="C118" s="2"/>
      <c r="D118" s="2"/>
      <c r="E118" s="2"/>
      <c r="F118" s="2"/>
      <c r="G118" s="2"/>
      <c r="H118" s="2"/>
      <c r="I118" s="2"/>
      <c r="J118" s="2"/>
      <c r="K118" s="2"/>
      <c r="L118" s="2"/>
      <c r="M118" s="2"/>
      <c r="N118" s="2"/>
      <c r="O118" s="2"/>
      <c r="P118" s="2"/>
      <c r="Q118" s="2"/>
      <c r="R118" s="9"/>
      <c r="S118" s="9"/>
      <c r="T118" s="9"/>
      <c r="U118" s="9"/>
      <c r="V118" s="9"/>
      <c r="W118" s="9"/>
      <c r="X118" s="9"/>
      <c r="Y118" s="9"/>
      <c r="Z118" s="9"/>
      <c r="AA118" s="9"/>
      <c r="AB118" s="9"/>
      <c r="AC118" s="9"/>
      <c r="AD118" s="9"/>
    </row>
    <row r="119" spans="1:30" ht="13.5" customHeight="1" x14ac:dyDescent="0.25">
      <c r="A119" s="2"/>
      <c r="B119" s="2"/>
      <c r="C119" s="2"/>
      <c r="D119" s="2"/>
      <c r="E119" s="2"/>
      <c r="F119" s="2"/>
      <c r="G119" s="2"/>
      <c r="H119" s="2"/>
      <c r="I119" s="2"/>
      <c r="J119" s="2"/>
      <c r="K119" s="2"/>
      <c r="L119" s="2"/>
      <c r="M119" s="2"/>
      <c r="N119" s="2"/>
      <c r="O119" s="2"/>
      <c r="P119" s="2"/>
      <c r="Q119" s="2"/>
      <c r="R119" s="9"/>
      <c r="S119" s="9"/>
      <c r="T119" s="9"/>
      <c r="U119" s="9"/>
      <c r="V119" s="9"/>
      <c r="W119" s="9"/>
      <c r="X119" s="9"/>
      <c r="Y119" s="9"/>
      <c r="Z119" s="9"/>
      <c r="AA119" s="9"/>
      <c r="AB119" s="9"/>
      <c r="AC119" s="9"/>
      <c r="AD119" s="9"/>
    </row>
    <row r="120" spans="1:30" ht="13.5" customHeight="1" x14ac:dyDescent="0.25">
      <c r="A120" s="2"/>
      <c r="B120" s="2"/>
      <c r="C120" s="2"/>
      <c r="D120" s="2"/>
      <c r="E120" s="2"/>
      <c r="F120" s="2"/>
      <c r="G120" s="2"/>
      <c r="H120" s="2"/>
      <c r="I120" s="2"/>
      <c r="J120" s="2"/>
      <c r="K120" s="2"/>
      <c r="L120" s="2"/>
      <c r="M120" s="2"/>
      <c r="N120" s="2"/>
      <c r="O120" s="2"/>
      <c r="P120" s="2"/>
      <c r="Q120" s="2"/>
      <c r="R120" s="9"/>
      <c r="S120" s="9"/>
      <c r="T120" s="9"/>
      <c r="U120" s="9"/>
      <c r="V120" s="9"/>
      <c r="W120" s="9"/>
      <c r="X120" s="9"/>
      <c r="Y120" s="9"/>
      <c r="Z120" s="9"/>
      <c r="AA120" s="9"/>
      <c r="AB120" s="9"/>
      <c r="AC120" s="9"/>
      <c r="AD120" s="9"/>
    </row>
    <row r="121" spans="1:30" ht="13.5" customHeight="1" x14ac:dyDescent="0.25">
      <c r="A121" s="2"/>
      <c r="B121" s="2"/>
      <c r="C121" s="2"/>
      <c r="D121" s="2"/>
      <c r="E121" s="2"/>
      <c r="F121" s="2"/>
      <c r="G121" s="2"/>
      <c r="H121" s="2"/>
      <c r="I121" s="2"/>
      <c r="J121" s="2"/>
      <c r="K121" s="2"/>
      <c r="L121" s="2"/>
      <c r="M121" s="2"/>
      <c r="N121" s="2"/>
      <c r="O121" s="2"/>
      <c r="P121" s="2"/>
      <c r="Q121" s="2"/>
      <c r="R121" s="9"/>
      <c r="S121" s="9"/>
      <c r="T121" s="9"/>
      <c r="U121" s="9"/>
      <c r="V121" s="9"/>
      <c r="W121" s="9"/>
      <c r="X121" s="9"/>
      <c r="Y121" s="9"/>
      <c r="Z121" s="9"/>
      <c r="AA121" s="9"/>
      <c r="AB121" s="9"/>
      <c r="AC121" s="9"/>
      <c r="AD121" s="9"/>
    </row>
    <row r="122" spans="1:30" ht="13.5" customHeight="1" x14ac:dyDescent="0.25">
      <c r="A122" s="2"/>
      <c r="B122" s="2"/>
      <c r="C122" s="2"/>
      <c r="D122" s="2"/>
      <c r="E122" s="2"/>
      <c r="F122" s="2"/>
      <c r="G122" s="2"/>
      <c r="H122" s="2"/>
      <c r="I122" s="2"/>
      <c r="J122" s="2"/>
      <c r="K122" s="2"/>
      <c r="L122" s="2"/>
      <c r="M122" s="2"/>
      <c r="N122" s="2"/>
      <c r="O122" s="2"/>
      <c r="P122" s="2"/>
      <c r="Q122" s="2"/>
      <c r="R122" s="9"/>
      <c r="S122" s="9"/>
      <c r="T122" s="9"/>
      <c r="U122" s="9"/>
      <c r="V122" s="9"/>
      <c r="W122" s="9"/>
      <c r="X122" s="9"/>
      <c r="Y122" s="9"/>
      <c r="Z122" s="9"/>
      <c r="AA122" s="9"/>
      <c r="AB122" s="9"/>
      <c r="AC122" s="9"/>
      <c r="AD122" s="9"/>
    </row>
    <row r="123" spans="1:30" ht="13.5" customHeight="1" x14ac:dyDescent="0.25">
      <c r="A123" s="2"/>
      <c r="B123" s="2"/>
      <c r="C123" s="2"/>
      <c r="D123" s="2"/>
      <c r="E123" s="2"/>
      <c r="F123" s="2"/>
      <c r="G123" s="2"/>
      <c r="H123" s="2"/>
      <c r="I123" s="2"/>
      <c r="J123" s="2"/>
      <c r="K123" s="2"/>
      <c r="L123" s="2"/>
      <c r="M123" s="2"/>
      <c r="N123" s="2"/>
      <c r="O123" s="2"/>
      <c r="P123" s="2"/>
      <c r="Q123" s="2"/>
      <c r="R123" s="9"/>
      <c r="S123" s="9"/>
      <c r="T123" s="9"/>
      <c r="U123" s="9"/>
      <c r="V123" s="9"/>
      <c r="W123" s="9"/>
      <c r="X123" s="9"/>
      <c r="Y123" s="9"/>
      <c r="Z123" s="9"/>
      <c r="AA123" s="9"/>
      <c r="AB123" s="9"/>
      <c r="AC123" s="9"/>
      <c r="AD123" s="9"/>
    </row>
    <row r="124" spans="1:30" ht="13.5" customHeight="1" x14ac:dyDescent="0.25">
      <c r="A124" s="2"/>
      <c r="B124" s="2"/>
      <c r="C124" s="2"/>
      <c r="D124" s="2"/>
      <c r="E124" s="2"/>
      <c r="F124" s="2"/>
      <c r="G124" s="2"/>
      <c r="H124" s="2"/>
      <c r="I124" s="2"/>
      <c r="J124" s="2"/>
      <c r="K124" s="2"/>
      <c r="L124" s="2"/>
      <c r="M124" s="2"/>
      <c r="N124" s="2"/>
      <c r="O124" s="2"/>
      <c r="P124" s="2"/>
      <c r="Q124" s="2"/>
      <c r="R124" s="9"/>
      <c r="S124" s="9"/>
      <c r="T124" s="9"/>
      <c r="U124" s="9"/>
      <c r="V124" s="9"/>
      <c r="W124" s="9"/>
      <c r="X124" s="9"/>
      <c r="Y124" s="9"/>
      <c r="Z124" s="9"/>
      <c r="AA124" s="9"/>
      <c r="AB124" s="9"/>
      <c r="AC124" s="9"/>
      <c r="AD124" s="9"/>
    </row>
    <row r="125" spans="1:30" ht="13.5" customHeight="1" x14ac:dyDescent="0.25">
      <c r="A125" s="2"/>
      <c r="B125" s="2"/>
      <c r="C125" s="2"/>
      <c r="D125" s="2"/>
      <c r="E125" s="2"/>
      <c r="F125" s="2"/>
      <c r="G125" s="2"/>
      <c r="H125" s="2"/>
      <c r="I125" s="2"/>
      <c r="J125" s="2"/>
      <c r="K125" s="2"/>
      <c r="L125" s="2"/>
      <c r="M125" s="2"/>
      <c r="N125" s="2"/>
      <c r="O125" s="2"/>
      <c r="P125" s="2"/>
      <c r="Q125" s="2"/>
      <c r="R125" s="9"/>
      <c r="S125" s="9"/>
      <c r="T125" s="9"/>
      <c r="U125" s="9"/>
      <c r="V125" s="9"/>
      <c r="W125" s="9"/>
      <c r="X125" s="9"/>
      <c r="Y125" s="9"/>
      <c r="Z125" s="9"/>
      <c r="AA125" s="9"/>
      <c r="AB125" s="9"/>
      <c r="AC125" s="9"/>
      <c r="AD125" s="9"/>
    </row>
    <row r="126" spans="1:30" ht="13.5" customHeight="1" x14ac:dyDescent="0.25">
      <c r="A126" s="2"/>
      <c r="B126" s="2"/>
      <c r="C126" s="2"/>
      <c r="D126" s="2"/>
      <c r="E126" s="2"/>
      <c r="F126" s="2"/>
      <c r="G126" s="2"/>
      <c r="H126" s="2"/>
      <c r="I126" s="2"/>
      <c r="J126" s="2"/>
      <c r="K126" s="2"/>
      <c r="L126" s="2"/>
      <c r="M126" s="2"/>
      <c r="N126" s="2"/>
      <c r="O126" s="2"/>
      <c r="P126" s="2"/>
      <c r="Q126" s="2"/>
      <c r="R126" s="9"/>
      <c r="S126" s="9"/>
      <c r="T126" s="9"/>
      <c r="U126" s="9"/>
      <c r="V126" s="9"/>
      <c r="W126" s="9"/>
      <c r="X126" s="9"/>
      <c r="Y126" s="9"/>
      <c r="Z126" s="9"/>
      <c r="AA126" s="9"/>
      <c r="AB126" s="9"/>
      <c r="AC126" s="9"/>
      <c r="AD126" s="9"/>
    </row>
    <row r="127" spans="1:30" ht="13.5" customHeight="1" x14ac:dyDescent="0.25">
      <c r="A127" s="2"/>
      <c r="B127" s="2"/>
      <c r="C127" s="2"/>
      <c r="D127" s="2"/>
      <c r="E127" s="2"/>
      <c r="F127" s="2"/>
      <c r="G127" s="2"/>
      <c r="H127" s="2"/>
      <c r="I127" s="2"/>
      <c r="J127" s="2"/>
      <c r="K127" s="2"/>
      <c r="L127" s="2"/>
      <c r="M127" s="2"/>
      <c r="N127" s="2"/>
      <c r="O127" s="2"/>
      <c r="P127" s="2"/>
      <c r="Q127" s="2"/>
      <c r="R127" s="9"/>
      <c r="S127" s="9"/>
      <c r="T127" s="9"/>
      <c r="U127" s="9"/>
      <c r="V127" s="9"/>
      <c r="W127" s="9"/>
      <c r="X127" s="9"/>
      <c r="Y127" s="9"/>
      <c r="Z127" s="9"/>
      <c r="AA127" s="9"/>
      <c r="AB127" s="9"/>
      <c r="AC127" s="9"/>
      <c r="AD127" s="9"/>
    </row>
    <row r="128" spans="1:30" ht="13.5" customHeight="1" x14ac:dyDescent="0.25">
      <c r="A128" s="2"/>
      <c r="B128" s="2"/>
      <c r="C128" s="2"/>
      <c r="D128" s="2"/>
      <c r="E128" s="2"/>
      <c r="F128" s="2"/>
      <c r="G128" s="2"/>
      <c r="H128" s="2"/>
      <c r="I128" s="2"/>
      <c r="J128" s="2"/>
      <c r="K128" s="2"/>
      <c r="L128" s="2"/>
      <c r="M128" s="2"/>
      <c r="N128" s="2"/>
      <c r="O128" s="2"/>
      <c r="P128" s="2"/>
      <c r="Q128" s="2"/>
      <c r="R128" s="9"/>
      <c r="S128" s="9"/>
      <c r="T128" s="9"/>
      <c r="U128" s="9"/>
      <c r="V128" s="9"/>
      <c r="W128" s="9"/>
      <c r="X128" s="9"/>
      <c r="Y128" s="9"/>
      <c r="Z128" s="9"/>
      <c r="AA128" s="9"/>
      <c r="AB128" s="9"/>
      <c r="AC128" s="9"/>
      <c r="AD128" s="9"/>
    </row>
    <row r="129" spans="1:30" ht="13.5" customHeight="1" x14ac:dyDescent="0.25">
      <c r="A129" s="2"/>
      <c r="B129" s="2"/>
      <c r="C129" s="2"/>
      <c r="D129" s="2"/>
      <c r="E129" s="2"/>
      <c r="F129" s="2"/>
      <c r="G129" s="2"/>
      <c r="H129" s="2"/>
      <c r="I129" s="2"/>
      <c r="J129" s="2"/>
      <c r="K129" s="2"/>
      <c r="L129" s="2"/>
      <c r="M129" s="2"/>
      <c r="N129" s="2"/>
      <c r="O129" s="2"/>
      <c r="P129" s="2"/>
      <c r="Q129" s="2"/>
      <c r="R129" s="9"/>
      <c r="S129" s="9"/>
      <c r="T129" s="9"/>
      <c r="U129" s="9"/>
      <c r="V129" s="9"/>
      <c r="W129" s="9"/>
      <c r="X129" s="9"/>
      <c r="Y129" s="9"/>
      <c r="Z129" s="9"/>
      <c r="AA129" s="9"/>
      <c r="AB129" s="9"/>
      <c r="AC129" s="9"/>
      <c r="AD129" s="9"/>
    </row>
    <row r="130" spans="1:30" ht="13.5" customHeight="1" x14ac:dyDescent="0.25">
      <c r="A130" s="2"/>
      <c r="B130" s="2"/>
      <c r="C130" s="2"/>
      <c r="D130" s="2"/>
      <c r="E130" s="2"/>
      <c r="F130" s="2"/>
      <c r="G130" s="2"/>
      <c r="H130" s="2"/>
      <c r="I130" s="2"/>
      <c r="J130" s="2"/>
      <c r="K130" s="2"/>
      <c r="L130" s="2"/>
      <c r="M130" s="2"/>
      <c r="N130" s="2"/>
      <c r="O130" s="2"/>
      <c r="P130" s="2"/>
      <c r="Q130" s="2"/>
      <c r="R130" s="9"/>
      <c r="S130" s="9"/>
      <c r="T130" s="9"/>
      <c r="U130" s="9"/>
      <c r="V130" s="9"/>
      <c r="W130" s="9"/>
      <c r="X130" s="9"/>
      <c r="Y130" s="9"/>
      <c r="Z130" s="9"/>
      <c r="AA130" s="9"/>
      <c r="AB130" s="9"/>
      <c r="AC130" s="9"/>
      <c r="AD130" s="9"/>
    </row>
    <row r="131" spans="1:30" ht="13.5" customHeight="1" x14ac:dyDescent="0.25">
      <c r="A131" s="2"/>
      <c r="B131" s="2"/>
      <c r="C131" s="2"/>
      <c r="D131" s="2"/>
      <c r="E131" s="2"/>
      <c r="F131" s="2"/>
      <c r="G131" s="2"/>
      <c r="H131" s="2"/>
      <c r="I131" s="2"/>
      <c r="J131" s="2"/>
      <c r="K131" s="2"/>
      <c r="L131" s="2"/>
      <c r="M131" s="2"/>
      <c r="N131" s="2"/>
      <c r="O131" s="2"/>
      <c r="P131" s="2"/>
      <c r="Q131" s="2"/>
      <c r="R131" s="9"/>
      <c r="S131" s="9"/>
      <c r="T131" s="9"/>
      <c r="U131" s="9"/>
      <c r="V131" s="9"/>
      <c r="W131" s="9"/>
      <c r="X131" s="9"/>
      <c r="Y131" s="9"/>
      <c r="Z131" s="9"/>
      <c r="AA131" s="9"/>
      <c r="AB131" s="9"/>
      <c r="AC131" s="9"/>
      <c r="AD131" s="9"/>
    </row>
    <row r="132" spans="1:30" ht="13.5" customHeight="1" x14ac:dyDescent="0.25">
      <c r="A132" s="2"/>
      <c r="B132" s="2"/>
      <c r="C132" s="2"/>
      <c r="D132" s="2"/>
      <c r="E132" s="2"/>
      <c r="F132" s="2"/>
      <c r="G132" s="2"/>
      <c r="H132" s="2"/>
      <c r="I132" s="2"/>
      <c r="J132" s="2"/>
      <c r="K132" s="2"/>
      <c r="L132" s="2"/>
      <c r="M132" s="2"/>
      <c r="N132" s="2"/>
      <c r="O132" s="2"/>
      <c r="P132" s="2"/>
      <c r="Q132" s="2"/>
      <c r="R132" s="9"/>
      <c r="S132" s="9"/>
      <c r="T132" s="9"/>
      <c r="U132" s="9"/>
      <c r="V132" s="9"/>
      <c r="W132" s="9"/>
      <c r="X132" s="9"/>
      <c r="Y132" s="9"/>
      <c r="Z132" s="9"/>
      <c r="AA132" s="9"/>
      <c r="AB132" s="9"/>
      <c r="AC132" s="9"/>
      <c r="AD132" s="9"/>
    </row>
    <row r="133" spans="1:30" ht="13.5" customHeight="1" x14ac:dyDescent="0.25">
      <c r="A133" s="2"/>
      <c r="B133" s="2"/>
      <c r="C133" s="2"/>
      <c r="D133" s="2"/>
      <c r="E133" s="2"/>
      <c r="F133" s="2"/>
      <c r="G133" s="2"/>
      <c r="H133" s="2"/>
      <c r="I133" s="2"/>
      <c r="J133" s="2"/>
      <c r="K133" s="2"/>
      <c r="L133" s="2"/>
      <c r="M133" s="2"/>
      <c r="N133" s="2"/>
      <c r="O133" s="2"/>
      <c r="P133" s="2"/>
      <c r="Q133" s="2"/>
      <c r="R133" s="9"/>
      <c r="S133" s="9"/>
      <c r="T133" s="9"/>
      <c r="U133" s="9"/>
      <c r="V133" s="9"/>
      <c r="W133" s="9"/>
      <c r="X133" s="9"/>
      <c r="Y133" s="9"/>
      <c r="Z133" s="9"/>
      <c r="AA133" s="9"/>
      <c r="AB133" s="9"/>
      <c r="AC133" s="9"/>
      <c r="AD133" s="9"/>
    </row>
    <row r="134" spans="1:30" ht="13.5" customHeight="1" x14ac:dyDescent="0.25">
      <c r="A134" s="2"/>
      <c r="B134" s="2"/>
      <c r="C134" s="2"/>
      <c r="D134" s="2"/>
      <c r="E134" s="2"/>
      <c r="F134" s="2"/>
      <c r="G134" s="2"/>
      <c r="H134" s="2"/>
      <c r="I134" s="2"/>
      <c r="J134" s="2"/>
      <c r="K134" s="2"/>
      <c r="L134" s="2"/>
      <c r="M134" s="2"/>
      <c r="N134" s="2"/>
      <c r="O134" s="2"/>
      <c r="P134" s="2"/>
      <c r="Q134" s="2"/>
      <c r="R134" s="9"/>
      <c r="S134" s="9"/>
      <c r="T134" s="9"/>
      <c r="U134" s="9"/>
      <c r="V134" s="9"/>
      <c r="W134" s="9"/>
      <c r="X134" s="9"/>
      <c r="Y134" s="9"/>
      <c r="Z134" s="9"/>
      <c r="AA134" s="9"/>
      <c r="AB134" s="9"/>
      <c r="AC134" s="9"/>
      <c r="AD134" s="9"/>
    </row>
    <row r="135" spans="1:30" ht="13.5" customHeight="1" x14ac:dyDescent="0.25">
      <c r="A135" s="2"/>
      <c r="B135" s="2"/>
      <c r="C135" s="2"/>
      <c r="D135" s="2"/>
      <c r="E135" s="2"/>
      <c r="F135" s="2"/>
      <c r="G135" s="2"/>
      <c r="H135" s="2"/>
      <c r="I135" s="2"/>
      <c r="J135" s="2"/>
      <c r="K135" s="2"/>
      <c r="L135" s="2"/>
      <c r="M135" s="2"/>
      <c r="N135" s="2"/>
      <c r="O135" s="2"/>
      <c r="P135" s="2"/>
      <c r="Q135" s="2"/>
      <c r="R135" s="9"/>
      <c r="S135" s="9"/>
      <c r="T135" s="9"/>
      <c r="U135" s="9"/>
      <c r="V135" s="9"/>
      <c r="W135" s="9"/>
      <c r="X135" s="9"/>
      <c r="Y135" s="9"/>
      <c r="Z135" s="9"/>
      <c r="AA135" s="9"/>
      <c r="AB135" s="9"/>
      <c r="AC135" s="9"/>
      <c r="AD135" s="9"/>
    </row>
    <row r="136" spans="1:30" ht="13.5" customHeight="1" x14ac:dyDescent="0.25">
      <c r="A136" s="2"/>
      <c r="B136" s="2"/>
      <c r="C136" s="2"/>
      <c r="D136" s="2"/>
      <c r="E136" s="2"/>
      <c r="F136" s="2"/>
      <c r="G136" s="2"/>
      <c r="H136" s="2"/>
      <c r="I136" s="2"/>
      <c r="J136" s="2"/>
      <c r="K136" s="2"/>
      <c r="L136" s="2"/>
      <c r="M136" s="2"/>
      <c r="N136" s="2"/>
      <c r="O136" s="2"/>
      <c r="P136" s="2"/>
      <c r="Q136" s="2"/>
      <c r="R136" s="9"/>
      <c r="S136" s="9"/>
      <c r="T136" s="9"/>
      <c r="U136" s="9"/>
      <c r="V136" s="9"/>
      <c r="W136" s="9"/>
      <c r="X136" s="9"/>
      <c r="Y136" s="9"/>
      <c r="Z136" s="9"/>
      <c r="AA136" s="9"/>
      <c r="AB136" s="9"/>
      <c r="AC136" s="9"/>
      <c r="AD136" s="9"/>
    </row>
    <row r="137" spans="1:30" ht="13.5" customHeight="1" x14ac:dyDescent="0.25">
      <c r="A137" s="2"/>
      <c r="B137" s="2"/>
      <c r="C137" s="2"/>
      <c r="D137" s="2"/>
      <c r="E137" s="2"/>
      <c r="F137" s="2"/>
      <c r="G137" s="2"/>
      <c r="H137" s="2"/>
      <c r="I137" s="2"/>
      <c r="J137" s="2"/>
      <c r="K137" s="2"/>
      <c r="L137" s="2"/>
      <c r="M137" s="2"/>
      <c r="N137" s="2"/>
      <c r="O137" s="2"/>
      <c r="P137" s="2"/>
      <c r="Q137" s="2"/>
      <c r="R137" s="9"/>
      <c r="S137" s="9"/>
      <c r="T137" s="9"/>
      <c r="U137" s="9"/>
      <c r="V137" s="9"/>
      <c r="W137" s="9"/>
      <c r="X137" s="9"/>
      <c r="Y137" s="9"/>
      <c r="Z137" s="9"/>
      <c r="AA137" s="9"/>
      <c r="AB137" s="9"/>
      <c r="AC137" s="9"/>
      <c r="AD137" s="9"/>
    </row>
    <row r="138" spans="1:30" ht="13.5" customHeight="1" x14ac:dyDescent="0.25">
      <c r="A138" s="2"/>
      <c r="B138" s="2"/>
      <c r="C138" s="2"/>
      <c r="D138" s="2"/>
      <c r="E138" s="2"/>
      <c r="F138" s="2"/>
      <c r="G138" s="2"/>
      <c r="H138" s="2"/>
      <c r="I138" s="2"/>
      <c r="J138" s="2"/>
      <c r="K138" s="2"/>
      <c r="L138" s="2"/>
      <c r="M138" s="2"/>
      <c r="N138" s="2"/>
      <c r="O138" s="2"/>
      <c r="P138" s="2"/>
      <c r="Q138" s="2"/>
      <c r="R138" s="9"/>
      <c r="S138" s="9"/>
      <c r="T138" s="9"/>
      <c r="U138" s="9"/>
      <c r="V138" s="9"/>
      <c r="W138" s="9"/>
      <c r="X138" s="9"/>
      <c r="Y138" s="9"/>
      <c r="Z138" s="9"/>
      <c r="AA138" s="9"/>
      <c r="AB138" s="9"/>
      <c r="AC138" s="9"/>
      <c r="AD138" s="9"/>
    </row>
    <row r="139" spans="1:30" ht="13.5" customHeight="1" x14ac:dyDescent="0.25">
      <c r="A139" s="2"/>
      <c r="B139" s="2"/>
      <c r="C139" s="2"/>
      <c r="D139" s="2"/>
      <c r="E139" s="2"/>
      <c r="F139" s="2"/>
      <c r="G139" s="2"/>
      <c r="H139" s="2"/>
      <c r="I139" s="2"/>
      <c r="J139" s="2"/>
      <c r="K139" s="2"/>
      <c r="L139" s="2"/>
      <c r="M139" s="2"/>
      <c r="N139" s="2"/>
      <c r="O139" s="2"/>
      <c r="P139" s="2"/>
      <c r="Q139" s="2"/>
      <c r="R139" s="9"/>
      <c r="S139" s="9"/>
      <c r="T139" s="9"/>
      <c r="U139" s="9"/>
      <c r="V139" s="9"/>
      <c r="W139" s="9"/>
      <c r="X139" s="9"/>
      <c r="Y139" s="9"/>
      <c r="Z139" s="9"/>
      <c r="AA139" s="9"/>
      <c r="AB139" s="9"/>
      <c r="AC139" s="9"/>
      <c r="AD139" s="9"/>
    </row>
    <row r="140" spans="1:30" ht="13.5" customHeight="1" x14ac:dyDescent="0.25">
      <c r="A140" s="2"/>
      <c r="B140" s="2"/>
      <c r="C140" s="2"/>
      <c r="D140" s="2"/>
      <c r="E140" s="2"/>
      <c r="F140" s="2"/>
      <c r="G140" s="2"/>
      <c r="H140" s="2"/>
      <c r="I140" s="2"/>
      <c r="J140" s="2"/>
      <c r="K140" s="2"/>
      <c r="L140" s="2"/>
      <c r="M140" s="2"/>
      <c r="N140" s="2"/>
      <c r="O140" s="2"/>
      <c r="P140" s="2"/>
      <c r="Q140" s="2"/>
      <c r="R140" s="9"/>
      <c r="S140" s="9"/>
      <c r="T140" s="9"/>
      <c r="U140" s="9"/>
      <c r="V140" s="9"/>
      <c r="W140" s="9"/>
      <c r="X140" s="9"/>
      <c r="Y140" s="9"/>
      <c r="Z140" s="9"/>
      <c r="AA140" s="9"/>
      <c r="AB140" s="9"/>
      <c r="AC140" s="9"/>
      <c r="AD140" s="9"/>
    </row>
    <row r="141" spans="1:30" ht="13.5" customHeight="1" x14ac:dyDescent="0.25">
      <c r="A141" s="2"/>
      <c r="B141" s="2"/>
      <c r="C141" s="2"/>
      <c r="D141" s="2"/>
      <c r="E141" s="2"/>
      <c r="F141" s="2"/>
      <c r="G141" s="2"/>
      <c r="H141" s="2"/>
      <c r="I141" s="2"/>
      <c r="J141" s="2"/>
      <c r="K141" s="2"/>
      <c r="L141" s="2"/>
      <c r="M141" s="2"/>
      <c r="N141" s="2"/>
      <c r="O141" s="2"/>
      <c r="P141" s="2"/>
      <c r="Q141" s="2"/>
      <c r="R141" s="9"/>
      <c r="S141" s="9"/>
      <c r="T141" s="9"/>
      <c r="U141" s="9"/>
      <c r="V141" s="9"/>
      <c r="W141" s="9"/>
      <c r="X141" s="9"/>
      <c r="Y141" s="9"/>
      <c r="Z141" s="9"/>
      <c r="AA141" s="9"/>
      <c r="AB141" s="9"/>
      <c r="AC141" s="9"/>
      <c r="AD141" s="9"/>
    </row>
    <row r="142" spans="1:30" ht="13.5" customHeight="1" x14ac:dyDescent="0.25">
      <c r="A142" s="2"/>
      <c r="B142" s="2"/>
      <c r="C142" s="2"/>
      <c r="D142" s="2"/>
      <c r="E142" s="2"/>
      <c r="F142" s="2"/>
      <c r="G142" s="2"/>
      <c r="H142" s="2"/>
      <c r="I142" s="2"/>
      <c r="J142" s="2"/>
      <c r="K142" s="2"/>
      <c r="L142" s="2"/>
      <c r="M142" s="2"/>
      <c r="N142" s="2"/>
      <c r="O142" s="2"/>
      <c r="P142" s="2"/>
      <c r="Q142" s="2"/>
      <c r="R142" s="9"/>
      <c r="S142" s="9"/>
      <c r="T142" s="9"/>
      <c r="U142" s="9"/>
      <c r="V142" s="9"/>
      <c r="W142" s="9"/>
      <c r="X142" s="9"/>
      <c r="Y142" s="9"/>
      <c r="Z142" s="9"/>
      <c r="AA142" s="9"/>
      <c r="AB142" s="9"/>
      <c r="AC142" s="9"/>
      <c r="AD142" s="9"/>
    </row>
    <row r="143" spans="1:30" ht="13.5" customHeight="1" x14ac:dyDescent="0.25">
      <c r="A143" s="2"/>
      <c r="B143" s="2"/>
      <c r="C143" s="2"/>
      <c r="D143" s="2"/>
      <c r="E143" s="2"/>
      <c r="F143" s="2"/>
      <c r="G143" s="2"/>
      <c r="H143" s="2"/>
      <c r="I143" s="2"/>
      <c r="J143" s="2"/>
      <c r="K143" s="2"/>
      <c r="L143" s="2"/>
      <c r="M143" s="2"/>
      <c r="N143" s="2"/>
      <c r="O143" s="2"/>
      <c r="P143" s="2"/>
      <c r="Q143" s="2"/>
      <c r="R143" s="9"/>
      <c r="S143" s="9"/>
      <c r="T143" s="9"/>
      <c r="U143" s="9"/>
      <c r="V143" s="9"/>
      <c r="W143" s="9"/>
      <c r="X143" s="9"/>
      <c r="Y143" s="9"/>
      <c r="Z143" s="9"/>
      <c r="AA143" s="9"/>
      <c r="AB143" s="9"/>
      <c r="AC143" s="9"/>
      <c r="AD143" s="9"/>
    </row>
    <row r="144" spans="1:30" ht="13.5" customHeight="1" x14ac:dyDescent="0.25">
      <c r="A144" s="2"/>
      <c r="B144" s="2"/>
      <c r="C144" s="2"/>
      <c r="D144" s="2"/>
      <c r="E144" s="2"/>
      <c r="F144" s="2"/>
      <c r="G144" s="2"/>
      <c r="H144" s="2"/>
      <c r="I144" s="2"/>
      <c r="J144" s="2"/>
      <c r="K144" s="2"/>
      <c r="L144" s="2"/>
      <c r="M144" s="2"/>
      <c r="N144" s="2"/>
      <c r="O144" s="2"/>
      <c r="P144" s="2"/>
      <c r="Q144" s="2"/>
      <c r="R144" s="9"/>
      <c r="S144" s="9"/>
      <c r="T144" s="9"/>
      <c r="U144" s="9"/>
      <c r="V144" s="9"/>
      <c r="W144" s="9"/>
      <c r="X144" s="9"/>
      <c r="Y144" s="9"/>
      <c r="Z144" s="9"/>
      <c r="AA144" s="9"/>
      <c r="AB144" s="9"/>
      <c r="AC144" s="9"/>
      <c r="AD144" s="9"/>
    </row>
    <row r="145" spans="1:30" ht="13.5" customHeight="1" x14ac:dyDescent="0.25">
      <c r="A145" s="2"/>
      <c r="B145" s="2"/>
      <c r="C145" s="2"/>
      <c r="D145" s="2"/>
      <c r="E145" s="2"/>
      <c r="F145" s="2"/>
      <c r="G145" s="2"/>
      <c r="H145" s="2"/>
      <c r="I145" s="2"/>
      <c r="J145" s="2"/>
      <c r="K145" s="2"/>
      <c r="L145" s="2"/>
      <c r="M145" s="2"/>
      <c r="N145" s="2"/>
      <c r="O145" s="2"/>
      <c r="P145" s="2"/>
      <c r="Q145" s="2"/>
      <c r="R145" s="9"/>
      <c r="S145" s="9"/>
      <c r="T145" s="9"/>
      <c r="U145" s="9"/>
      <c r="V145" s="9"/>
      <c r="W145" s="9"/>
      <c r="X145" s="9"/>
      <c r="Y145" s="9"/>
      <c r="Z145" s="9"/>
      <c r="AA145" s="9"/>
      <c r="AB145" s="9"/>
      <c r="AC145" s="9"/>
      <c r="AD145" s="9"/>
    </row>
    <row r="146" spans="1:30" ht="13.5" customHeight="1" x14ac:dyDescent="0.25">
      <c r="A146" s="2"/>
      <c r="B146" s="2"/>
      <c r="C146" s="2"/>
      <c r="D146" s="2"/>
      <c r="E146" s="2"/>
      <c r="F146" s="2"/>
      <c r="G146" s="2"/>
      <c r="H146" s="2"/>
      <c r="I146" s="2"/>
      <c r="J146" s="2"/>
      <c r="K146" s="2"/>
      <c r="L146" s="2"/>
      <c r="M146" s="2"/>
      <c r="N146" s="2"/>
      <c r="O146" s="2"/>
      <c r="P146" s="2"/>
      <c r="Q146" s="2"/>
      <c r="R146" s="9"/>
      <c r="S146" s="9"/>
      <c r="T146" s="9"/>
      <c r="U146" s="9"/>
      <c r="V146" s="9"/>
      <c r="W146" s="9"/>
      <c r="X146" s="9"/>
      <c r="Y146" s="9"/>
      <c r="Z146" s="9"/>
      <c r="AA146" s="9"/>
      <c r="AB146" s="9"/>
      <c r="AC146" s="9"/>
      <c r="AD146" s="9"/>
    </row>
    <row r="147" spans="1:30" ht="13.5" customHeight="1" x14ac:dyDescent="0.25">
      <c r="A147" s="2"/>
      <c r="B147" s="2"/>
      <c r="C147" s="2"/>
      <c r="D147" s="2"/>
      <c r="E147" s="2"/>
      <c r="F147" s="2"/>
      <c r="G147" s="2"/>
      <c r="H147" s="2"/>
      <c r="I147" s="2"/>
      <c r="J147" s="2"/>
      <c r="K147" s="2"/>
      <c r="L147" s="2"/>
      <c r="M147" s="2"/>
      <c r="N147" s="2"/>
      <c r="O147" s="2"/>
      <c r="P147" s="2"/>
      <c r="Q147" s="2"/>
      <c r="R147" s="9"/>
      <c r="S147" s="9"/>
      <c r="T147" s="9"/>
      <c r="U147" s="9"/>
      <c r="V147" s="9"/>
      <c r="W147" s="9"/>
      <c r="X147" s="9"/>
      <c r="Y147" s="9"/>
      <c r="Z147" s="9"/>
      <c r="AA147" s="9"/>
      <c r="AB147" s="9"/>
      <c r="AC147" s="9"/>
      <c r="AD147" s="9"/>
    </row>
    <row r="148" spans="1:30" ht="13.5" customHeight="1" x14ac:dyDescent="0.25">
      <c r="A148" s="2"/>
      <c r="B148" s="2"/>
      <c r="C148" s="2"/>
      <c r="D148" s="2"/>
      <c r="E148" s="2"/>
      <c r="F148" s="2"/>
      <c r="G148" s="2"/>
      <c r="H148" s="2"/>
      <c r="I148" s="2"/>
      <c r="J148" s="2"/>
      <c r="K148" s="2"/>
      <c r="L148" s="2"/>
      <c r="M148" s="2"/>
      <c r="N148" s="2"/>
      <c r="O148" s="2"/>
      <c r="P148" s="2"/>
      <c r="Q148" s="2"/>
      <c r="R148" s="9"/>
      <c r="S148" s="9"/>
      <c r="T148" s="9"/>
      <c r="U148" s="9"/>
      <c r="V148" s="9"/>
      <c r="W148" s="9"/>
      <c r="X148" s="9"/>
      <c r="Y148" s="9"/>
      <c r="Z148" s="9"/>
      <c r="AA148" s="9"/>
      <c r="AB148" s="9"/>
      <c r="AC148" s="9"/>
      <c r="AD148" s="9"/>
    </row>
    <row r="149" spans="1:30" ht="13.5" customHeight="1" x14ac:dyDescent="0.25">
      <c r="A149" s="2"/>
      <c r="B149" s="2"/>
      <c r="C149" s="2"/>
      <c r="D149" s="2"/>
      <c r="E149" s="2"/>
      <c r="F149" s="2"/>
      <c r="G149" s="2"/>
      <c r="H149" s="2"/>
      <c r="I149" s="2"/>
      <c r="J149" s="2"/>
      <c r="K149" s="2"/>
      <c r="L149" s="2"/>
      <c r="M149" s="2"/>
      <c r="N149" s="2"/>
      <c r="O149" s="2"/>
      <c r="P149" s="2"/>
      <c r="Q149" s="2"/>
      <c r="R149" s="9"/>
      <c r="S149" s="9"/>
      <c r="T149" s="9"/>
      <c r="U149" s="9"/>
      <c r="V149" s="9"/>
      <c r="W149" s="9"/>
      <c r="X149" s="9"/>
      <c r="Y149" s="9"/>
      <c r="Z149" s="9"/>
      <c r="AA149" s="9"/>
      <c r="AB149" s="9"/>
      <c r="AC149" s="9"/>
      <c r="AD149" s="9"/>
    </row>
    <row r="150" spans="1:30" ht="13.5" customHeight="1" x14ac:dyDescent="0.25">
      <c r="A150" s="2"/>
      <c r="B150" s="2"/>
      <c r="C150" s="2"/>
      <c r="D150" s="2"/>
      <c r="E150" s="2"/>
      <c r="F150" s="2"/>
      <c r="G150" s="2"/>
      <c r="H150" s="2"/>
      <c r="I150" s="2"/>
      <c r="J150" s="2"/>
      <c r="K150" s="2"/>
      <c r="L150" s="2"/>
      <c r="M150" s="2"/>
      <c r="N150" s="2"/>
      <c r="O150" s="2"/>
      <c r="P150" s="2"/>
      <c r="Q150" s="2"/>
      <c r="R150" s="9"/>
      <c r="S150" s="9"/>
      <c r="T150" s="9"/>
      <c r="U150" s="9"/>
      <c r="V150" s="9"/>
      <c r="W150" s="9"/>
      <c r="X150" s="9"/>
      <c r="Y150" s="9"/>
      <c r="Z150" s="9"/>
      <c r="AA150" s="9"/>
      <c r="AB150" s="9"/>
      <c r="AC150" s="9"/>
      <c r="AD150" s="9"/>
    </row>
    <row r="151" spans="1:30" ht="13.5" customHeight="1" x14ac:dyDescent="0.25">
      <c r="A151" s="2"/>
      <c r="B151" s="2"/>
      <c r="C151" s="2"/>
      <c r="D151" s="2"/>
      <c r="E151" s="2"/>
      <c r="F151" s="2"/>
      <c r="G151" s="2"/>
      <c r="H151" s="2"/>
      <c r="I151" s="2"/>
      <c r="J151" s="2"/>
      <c r="K151" s="2"/>
      <c r="L151" s="2"/>
      <c r="M151" s="2"/>
      <c r="N151" s="2"/>
      <c r="O151" s="2"/>
      <c r="P151" s="2"/>
      <c r="Q151" s="2"/>
      <c r="R151" s="9"/>
      <c r="S151" s="9"/>
      <c r="T151" s="9"/>
      <c r="U151" s="9"/>
      <c r="V151" s="9"/>
      <c r="W151" s="9"/>
      <c r="X151" s="9"/>
      <c r="Y151" s="9"/>
      <c r="Z151" s="9"/>
      <c r="AA151" s="9"/>
      <c r="AB151" s="9"/>
      <c r="AC151" s="9"/>
      <c r="AD151" s="9"/>
    </row>
    <row r="152" spans="1:30" ht="13.5" customHeight="1" x14ac:dyDescent="0.25">
      <c r="A152" s="2"/>
      <c r="B152" s="2"/>
      <c r="C152" s="2"/>
      <c r="D152" s="2"/>
      <c r="E152" s="2"/>
      <c r="F152" s="2"/>
      <c r="G152" s="2"/>
      <c r="H152" s="2"/>
      <c r="I152" s="2"/>
      <c r="J152" s="2"/>
      <c r="K152" s="2"/>
      <c r="L152" s="2"/>
      <c r="M152" s="2"/>
      <c r="N152" s="2"/>
      <c r="O152" s="2"/>
      <c r="P152" s="2"/>
      <c r="Q152" s="2"/>
      <c r="R152" s="9"/>
      <c r="S152" s="9"/>
      <c r="T152" s="9"/>
      <c r="U152" s="9"/>
      <c r="V152" s="9"/>
      <c r="W152" s="9"/>
      <c r="X152" s="9"/>
      <c r="Y152" s="9"/>
      <c r="Z152" s="9"/>
      <c r="AA152" s="9"/>
      <c r="AB152" s="9"/>
      <c r="AC152" s="9"/>
      <c r="AD152" s="9"/>
    </row>
    <row r="153" spans="1:30" ht="13.5" customHeight="1" x14ac:dyDescent="0.25">
      <c r="A153" s="2"/>
      <c r="B153" s="2"/>
      <c r="C153" s="2"/>
      <c r="D153" s="2"/>
      <c r="E153" s="2"/>
      <c r="F153" s="2"/>
      <c r="G153" s="2"/>
      <c r="H153" s="2"/>
      <c r="I153" s="2"/>
      <c r="J153" s="2"/>
      <c r="K153" s="2"/>
      <c r="L153" s="2"/>
      <c r="M153" s="2"/>
      <c r="N153" s="2"/>
      <c r="O153" s="2"/>
      <c r="P153" s="2"/>
      <c r="Q153" s="2"/>
      <c r="R153" s="9"/>
      <c r="S153" s="9"/>
      <c r="T153" s="9"/>
      <c r="U153" s="9"/>
      <c r="V153" s="9"/>
      <c r="W153" s="9"/>
      <c r="X153" s="9"/>
      <c r="Y153" s="9"/>
      <c r="Z153" s="9"/>
      <c r="AA153" s="9"/>
      <c r="AB153" s="9"/>
      <c r="AC153" s="9"/>
      <c r="AD153" s="9"/>
    </row>
    <row r="154" spans="1:30" ht="13.5" customHeight="1" x14ac:dyDescent="0.25">
      <c r="A154" s="2"/>
      <c r="B154" s="2"/>
      <c r="C154" s="2"/>
      <c r="D154" s="2"/>
      <c r="E154" s="2"/>
      <c r="F154" s="2"/>
      <c r="G154" s="2"/>
      <c r="H154" s="2"/>
      <c r="I154" s="2"/>
      <c r="J154" s="2"/>
      <c r="K154" s="2"/>
      <c r="L154" s="2"/>
      <c r="M154" s="2"/>
      <c r="N154" s="2"/>
      <c r="O154" s="2"/>
      <c r="P154" s="2"/>
      <c r="Q154" s="2"/>
      <c r="R154" s="9"/>
      <c r="S154" s="9"/>
      <c r="T154" s="9"/>
      <c r="U154" s="9"/>
      <c r="V154" s="9"/>
      <c r="W154" s="9"/>
      <c r="X154" s="9"/>
      <c r="Y154" s="9"/>
      <c r="Z154" s="9"/>
      <c r="AA154" s="9"/>
      <c r="AB154" s="9"/>
      <c r="AC154" s="9"/>
      <c r="AD154" s="9"/>
    </row>
    <row r="155" spans="1:30" ht="13.5" customHeight="1" x14ac:dyDescent="0.25">
      <c r="A155" s="2"/>
      <c r="B155" s="2"/>
      <c r="C155" s="2"/>
      <c r="D155" s="2"/>
      <c r="E155" s="2"/>
      <c r="F155" s="2"/>
      <c r="G155" s="2"/>
      <c r="H155" s="2"/>
      <c r="I155" s="2"/>
      <c r="J155" s="2"/>
      <c r="K155" s="2"/>
      <c r="L155" s="2"/>
      <c r="M155" s="2"/>
      <c r="N155" s="2"/>
      <c r="O155" s="2"/>
      <c r="P155" s="2"/>
      <c r="Q155" s="2"/>
      <c r="R155" s="9"/>
      <c r="S155" s="9"/>
      <c r="T155" s="9"/>
      <c r="U155" s="9"/>
      <c r="V155" s="9"/>
      <c r="W155" s="9"/>
      <c r="X155" s="9"/>
      <c r="Y155" s="9"/>
      <c r="Z155" s="9"/>
      <c r="AA155" s="9"/>
      <c r="AB155" s="9"/>
      <c r="AC155" s="9"/>
      <c r="AD155" s="9"/>
    </row>
    <row r="156" spans="1:30" ht="13.5" customHeight="1" x14ac:dyDescent="0.25">
      <c r="A156" s="2"/>
      <c r="B156" s="2"/>
      <c r="C156" s="2"/>
      <c r="D156" s="2"/>
      <c r="E156" s="2"/>
      <c r="F156" s="2"/>
      <c r="G156" s="2"/>
      <c r="H156" s="2"/>
      <c r="I156" s="2"/>
      <c r="J156" s="2"/>
      <c r="K156" s="2"/>
      <c r="L156" s="2"/>
      <c r="M156" s="2"/>
      <c r="N156" s="2"/>
      <c r="O156" s="2"/>
      <c r="P156" s="2"/>
      <c r="Q156" s="2"/>
      <c r="R156" s="9"/>
      <c r="S156" s="9"/>
      <c r="T156" s="9"/>
      <c r="U156" s="9"/>
      <c r="V156" s="9"/>
      <c r="W156" s="9"/>
      <c r="X156" s="9"/>
      <c r="Y156" s="9"/>
      <c r="Z156" s="9"/>
      <c r="AA156" s="9"/>
      <c r="AB156" s="9"/>
      <c r="AC156" s="9"/>
      <c r="AD156" s="9"/>
    </row>
    <row r="157" spans="1:30" ht="13.5" customHeight="1" x14ac:dyDescent="0.25">
      <c r="A157" s="2"/>
      <c r="B157" s="2"/>
      <c r="C157" s="2"/>
      <c r="D157" s="2"/>
      <c r="E157" s="2"/>
      <c r="F157" s="2"/>
      <c r="G157" s="2"/>
      <c r="H157" s="2"/>
      <c r="I157" s="2"/>
      <c r="J157" s="2"/>
      <c r="K157" s="2"/>
      <c r="L157" s="2"/>
      <c r="M157" s="2"/>
      <c r="N157" s="2"/>
      <c r="O157" s="2"/>
      <c r="P157" s="2"/>
      <c r="Q157" s="2"/>
      <c r="R157" s="9"/>
      <c r="S157" s="9"/>
      <c r="T157" s="9"/>
      <c r="U157" s="9"/>
      <c r="V157" s="9"/>
      <c r="W157" s="9"/>
      <c r="X157" s="9"/>
      <c r="Y157" s="9"/>
      <c r="Z157" s="9"/>
      <c r="AA157" s="9"/>
      <c r="AB157" s="9"/>
      <c r="AC157" s="9"/>
      <c r="AD157" s="9"/>
    </row>
    <row r="158" spans="1:30" ht="13.5" customHeight="1" x14ac:dyDescent="0.25">
      <c r="A158" s="2"/>
      <c r="B158" s="2"/>
      <c r="C158" s="2"/>
      <c r="D158" s="2"/>
      <c r="E158" s="2"/>
      <c r="F158" s="2"/>
      <c r="G158" s="2"/>
      <c r="H158" s="2"/>
      <c r="I158" s="2"/>
      <c r="J158" s="2"/>
      <c r="K158" s="2"/>
      <c r="L158" s="2"/>
      <c r="M158" s="2"/>
      <c r="N158" s="2"/>
      <c r="O158" s="2"/>
      <c r="P158" s="2"/>
      <c r="Q158" s="2"/>
      <c r="R158" s="9"/>
      <c r="S158" s="9"/>
      <c r="T158" s="9"/>
      <c r="U158" s="9"/>
      <c r="V158" s="9"/>
      <c r="W158" s="9"/>
      <c r="X158" s="9"/>
      <c r="Y158" s="9"/>
      <c r="Z158" s="9"/>
      <c r="AA158" s="9"/>
      <c r="AB158" s="9"/>
      <c r="AC158" s="9"/>
      <c r="AD158" s="9"/>
    </row>
    <row r="159" spans="1:30" ht="13.5" customHeight="1" x14ac:dyDescent="0.25">
      <c r="A159" s="2"/>
      <c r="B159" s="2"/>
      <c r="C159" s="2"/>
      <c r="D159" s="2"/>
      <c r="E159" s="2"/>
      <c r="F159" s="2"/>
      <c r="G159" s="2"/>
      <c r="H159" s="2"/>
      <c r="I159" s="2"/>
      <c r="J159" s="2"/>
      <c r="K159" s="2"/>
      <c r="L159" s="2"/>
      <c r="M159" s="2"/>
      <c r="N159" s="2"/>
      <c r="O159" s="2"/>
      <c r="P159" s="2"/>
      <c r="Q159" s="2"/>
      <c r="R159" s="9"/>
      <c r="S159" s="9"/>
      <c r="T159" s="9"/>
      <c r="U159" s="9"/>
      <c r="V159" s="9"/>
      <c r="W159" s="9"/>
      <c r="X159" s="9"/>
      <c r="Y159" s="9"/>
      <c r="Z159" s="9"/>
      <c r="AA159" s="9"/>
      <c r="AB159" s="9"/>
      <c r="AC159" s="9"/>
      <c r="AD159" s="9"/>
    </row>
    <row r="160" spans="1:30" ht="13.5" customHeight="1" x14ac:dyDescent="0.25">
      <c r="A160" s="2"/>
      <c r="B160" s="2"/>
      <c r="C160" s="2"/>
      <c r="D160" s="2"/>
      <c r="E160" s="2"/>
      <c r="F160" s="2"/>
      <c r="G160" s="2"/>
      <c r="H160" s="2"/>
      <c r="I160" s="2"/>
      <c r="J160" s="2"/>
      <c r="K160" s="2"/>
      <c r="L160" s="2"/>
      <c r="M160" s="2"/>
      <c r="N160" s="2"/>
      <c r="O160" s="2"/>
      <c r="P160" s="2"/>
      <c r="Q160" s="2"/>
      <c r="R160" s="9"/>
      <c r="S160" s="9"/>
      <c r="T160" s="9"/>
      <c r="U160" s="9"/>
      <c r="V160" s="9"/>
      <c r="W160" s="9"/>
      <c r="X160" s="9"/>
      <c r="Y160" s="9"/>
      <c r="Z160" s="9"/>
      <c r="AA160" s="9"/>
      <c r="AB160" s="9"/>
      <c r="AC160" s="9"/>
      <c r="AD160" s="9"/>
    </row>
    <row r="161" spans="1:30" ht="13.5" customHeight="1" x14ac:dyDescent="0.25">
      <c r="A161" s="2"/>
      <c r="B161" s="2"/>
      <c r="C161" s="2"/>
      <c r="D161" s="2"/>
      <c r="E161" s="2"/>
      <c r="F161" s="2"/>
      <c r="G161" s="2"/>
      <c r="H161" s="2"/>
      <c r="I161" s="2"/>
      <c r="J161" s="2"/>
      <c r="K161" s="2"/>
      <c r="L161" s="2"/>
      <c r="M161" s="2"/>
      <c r="N161" s="2"/>
      <c r="O161" s="2"/>
      <c r="P161" s="2"/>
      <c r="Q161" s="2"/>
      <c r="R161" s="9"/>
      <c r="S161" s="9"/>
      <c r="T161" s="9"/>
      <c r="U161" s="9"/>
      <c r="V161" s="9"/>
      <c r="W161" s="9"/>
      <c r="X161" s="9"/>
      <c r="Y161" s="9"/>
      <c r="Z161" s="9"/>
      <c r="AA161" s="9"/>
      <c r="AB161" s="9"/>
      <c r="AC161" s="9"/>
      <c r="AD161" s="9"/>
    </row>
    <row r="162" spans="1:30" ht="13.5" customHeight="1" x14ac:dyDescent="0.25">
      <c r="A162" s="2"/>
      <c r="B162" s="2"/>
      <c r="C162" s="2"/>
      <c r="D162" s="2"/>
      <c r="E162" s="2"/>
      <c r="F162" s="2"/>
      <c r="G162" s="2"/>
      <c r="H162" s="2"/>
      <c r="I162" s="2"/>
      <c r="J162" s="2"/>
      <c r="K162" s="2"/>
      <c r="L162" s="2"/>
      <c r="M162" s="2"/>
      <c r="N162" s="2"/>
      <c r="O162" s="2"/>
      <c r="P162" s="2"/>
      <c r="Q162" s="2"/>
      <c r="R162" s="9"/>
      <c r="S162" s="9"/>
      <c r="T162" s="9"/>
      <c r="U162" s="9"/>
      <c r="V162" s="9"/>
      <c r="W162" s="9"/>
      <c r="X162" s="9"/>
      <c r="Y162" s="9"/>
      <c r="Z162" s="9"/>
      <c r="AA162" s="9"/>
      <c r="AB162" s="9"/>
      <c r="AC162" s="9"/>
      <c r="AD162" s="9"/>
    </row>
    <row r="163" spans="1:30" ht="13.5" customHeight="1" x14ac:dyDescent="0.25">
      <c r="A163" s="2"/>
      <c r="B163" s="2"/>
      <c r="C163" s="2"/>
      <c r="D163" s="2"/>
      <c r="E163" s="2"/>
      <c r="F163" s="2"/>
      <c r="G163" s="2"/>
      <c r="H163" s="2"/>
      <c r="I163" s="2"/>
      <c r="J163" s="2"/>
      <c r="K163" s="2"/>
      <c r="L163" s="2"/>
      <c r="M163" s="2"/>
      <c r="N163" s="2"/>
      <c r="O163" s="2"/>
      <c r="P163" s="2"/>
      <c r="Q163" s="2"/>
      <c r="R163" s="9"/>
      <c r="S163" s="9"/>
      <c r="T163" s="9"/>
      <c r="U163" s="9"/>
      <c r="V163" s="9"/>
      <c r="W163" s="9"/>
      <c r="X163" s="9"/>
      <c r="Y163" s="9"/>
      <c r="Z163" s="9"/>
      <c r="AA163" s="9"/>
      <c r="AB163" s="9"/>
      <c r="AC163" s="9"/>
      <c r="AD163" s="9"/>
    </row>
    <row r="164" spans="1:30" ht="13.5" customHeight="1" x14ac:dyDescent="0.25">
      <c r="A164" s="2"/>
      <c r="B164" s="2"/>
      <c r="C164" s="2"/>
      <c r="D164" s="2"/>
      <c r="E164" s="2"/>
      <c r="F164" s="2"/>
      <c r="G164" s="2"/>
      <c r="H164" s="2"/>
      <c r="I164" s="2"/>
      <c r="J164" s="2"/>
      <c r="K164" s="2"/>
      <c r="L164" s="2"/>
      <c r="M164" s="2"/>
      <c r="N164" s="2"/>
      <c r="O164" s="2"/>
      <c r="P164" s="2"/>
      <c r="Q164" s="2"/>
      <c r="R164" s="9"/>
      <c r="S164" s="9"/>
      <c r="T164" s="9"/>
      <c r="U164" s="9"/>
      <c r="V164" s="9"/>
      <c r="W164" s="9"/>
      <c r="X164" s="9"/>
      <c r="Y164" s="9"/>
      <c r="Z164" s="9"/>
      <c r="AA164" s="9"/>
      <c r="AB164" s="9"/>
      <c r="AC164" s="9"/>
      <c r="AD164" s="9"/>
    </row>
    <row r="165" spans="1:30" ht="13.5" customHeight="1" x14ac:dyDescent="0.25">
      <c r="A165" s="2"/>
      <c r="B165" s="2"/>
      <c r="C165" s="2"/>
      <c r="D165" s="2"/>
      <c r="E165" s="2"/>
      <c r="F165" s="2"/>
      <c r="G165" s="2"/>
      <c r="H165" s="2"/>
      <c r="I165" s="2"/>
      <c r="J165" s="2"/>
      <c r="K165" s="2"/>
      <c r="L165" s="2"/>
      <c r="M165" s="2"/>
      <c r="N165" s="2"/>
      <c r="O165" s="2"/>
      <c r="P165" s="2"/>
      <c r="Q165" s="2"/>
      <c r="R165" s="9"/>
      <c r="S165" s="9"/>
      <c r="T165" s="9"/>
      <c r="U165" s="9"/>
      <c r="V165" s="9"/>
      <c r="W165" s="9"/>
      <c r="X165" s="9"/>
      <c r="Y165" s="9"/>
      <c r="Z165" s="9"/>
      <c r="AA165" s="9"/>
      <c r="AB165" s="9"/>
      <c r="AC165" s="9"/>
      <c r="AD165" s="9"/>
    </row>
    <row r="166" spans="1:30" ht="13.5" customHeight="1" x14ac:dyDescent="0.25">
      <c r="A166" s="2"/>
      <c r="B166" s="2"/>
      <c r="C166" s="2"/>
      <c r="D166" s="2"/>
      <c r="E166" s="2"/>
      <c r="F166" s="2"/>
      <c r="G166" s="2"/>
      <c r="H166" s="2"/>
      <c r="I166" s="2"/>
      <c r="J166" s="2"/>
      <c r="K166" s="2"/>
      <c r="L166" s="2"/>
      <c r="M166" s="2"/>
      <c r="N166" s="2"/>
      <c r="O166" s="2"/>
      <c r="P166" s="2"/>
      <c r="Q166" s="2"/>
      <c r="R166" s="9"/>
      <c r="S166" s="9"/>
      <c r="T166" s="9"/>
      <c r="U166" s="9"/>
      <c r="V166" s="9"/>
      <c r="W166" s="9"/>
      <c r="X166" s="9"/>
      <c r="Y166" s="9"/>
      <c r="Z166" s="9"/>
      <c r="AA166" s="9"/>
      <c r="AB166" s="9"/>
      <c r="AC166" s="9"/>
      <c r="AD166" s="9"/>
    </row>
    <row r="167" spans="1:30" ht="13.5" customHeight="1" x14ac:dyDescent="0.25">
      <c r="A167" s="2"/>
      <c r="B167" s="2"/>
      <c r="C167" s="2"/>
      <c r="D167" s="2"/>
      <c r="E167" s="2"/>
      <c r="F167" s="2"/>
      <c r="G167" s="2"/>
      <c r="H167" s="2"/>
      <c r="I167" s="2"/>
      <c r="J167" s="2"/>
      <c r="K167" s="2"/>
      <c r="L167" s="2"/>
      <c r="M167" s="2"/>
      <c r="N167" s="2"/>
      <c r="O167" s="2"/>
      <c r="P167" s="2"/>
      <c r="Q167" s="2"/>
      <c r="R167" s="9"/>
      <c r="S167" s="9"/>
      <c r="T167" s="9"/>
      <c r="U167" s="9"/>
      <c r="V167" s="9"/>
      <c r="W167" s="9"/>
      <c r="X167" s="9"/>
      <c r="Y167" s="9"/>
      <c r="Z167" s="9"/>
      <c r="AA167" s="9"/>
      <c r="AB167" s="9"/>
      <c r="AC167" s="9"/>
      <c r="AD167" s="9"/>
    </row>
    <row r="168" spans="1:30" ht="13.5" customHeight="1" x14ac:dyDescent="0.25">
      <c r="A168" s="2"/>
      <c r="B168" s="2"/>
      <c r="C168" s="2"/>
      <c r="D168" s="2"/>
      <c r="E168" s="2"/>
      <c r="F168" s="2"/>
      <c r="G168" s="2"/>
      <c r="H168" s="2"/>
      <c r="I168" s="2"/>
      <c r="J168" s="2"/>
      <c r="K168" s="2"/>
      <c r="L168" s="2"/>
      <c r="M168" s="2"/>
      <c r="N168" s="2"/>
      <c r="O168" s="2"/>
      <c r="P168" s="2"/>
      <c r="Q168" s="2"/>
      <c r="R168" s="9"/>
      <c r="S168" s="9"/>
      <c r="T168" s="9"/>
      <c r="U168" s="9"/>
      <c r="V168" s="9"/>
      <c r="W168" s="9"/>
      <c r="X168" s="9"/>
      <c r="Y168" s="9"/>
      <c r="Z168" s="9"/>
      <c r="AA168" s="9"/>
      <c r="AB168" s="9"/>
      <c r="AC168" s="9"/>
      <c r="AD168" s="9"/>
    </row>
    <row r="169" spans="1:30" ht="13.5" customHeight="1" x14ac:dyDescent="0.25">
      <c r="A169" s="2"/>
      <c r="B169" s="2"/>
      <c r="C169" s="2"/>
      <c r="D169" s="2"/>
      <c r="E169" s="2"/>
      <c r="F169" s="2"/>
      <c r="G169" s="2"/>
      <c r="H169" s="2"/>
      <c r="I169" s="2"/>
      <c r="J169" s="2"/>
      <c r="K169" s="2"/>
      <c r="L169" s="2"/>
      <c r="M169" s="2"/>
      <c r="N169" s="2"/>
      <c r="O169" s="2"/>
      <c r="P169" s="2"/>
      <c r="Q169" s="2"/>
      <c r="R169" s="9"/>
      <c r="S169" s="9"/>
      <c r="T169" s="9"/>
      <c r="U169" s="9"/>
      <c r="V169" s="9"/>
      <c r="W169" s="9"/>
      <c r="X169" s="9"/>
      <c r="Y169" s="9"/>
      <c r="Z169" s="9"/>
      <c r="AA169" s="9"/>
      <c r="AB169" s="9"/>
      <c r="AC169" s="9"/>
      <c r="AD169" s="9"/>
    </row>
    <row r="170" spans="1:30" ht="13.5" customHeight="1" x14ac:dyDescent="0.25">
      <c r="A170" s="2"/>
      <c r="B170" s="2"/>
      <c r="C170" s="2"/>
      <c r="D170" s="2"/>
      <c r="E170" s="2"/>
      <c r="F170" s="2"/>
      <c r="G170" s="2"/>
      <c r="H170" s="2"/>
      <c r="I170" s="2"/>
      <c r="J170" s="2"/>
      <c r="K170" s="2"/>
      <c r="L170" s="2"/>
      <c r="M170" s="2"/>
      <c r="N170" s="2"/>
      <c r="O170" s="2"/>
      <c r="P170" s="2"/>
      <c r="Q170" s="2"/>
      <c r="R170" s="9"/>
      <c r="S170" s="9"/>
      <c r="T170" s="9"/>
      <c r="U170" s="9"/>
      <c r="V170" s="9"/>
      <c r="W170" s="9"/>
      <c r="X170" s="9"/>
      <c r="Y170" s="9"/>
      <c r="Z170" s="9"/>
      <c r="AA170" s="9"/>
      <c r="AB170" s="9"/>
      <c r="AC170" s="9"/>
      <c r="AD170" s="9"/>
    </row>
    <row r="171" spans="1:30" ht="13.5" customHeight="1" x14ac:dyDescent="0.25">
      <c r="A171" s="2"/>
      <c r="B171" s="2"/>
      <c r="C171" s="2"/>
      <c r="D171" s="2"/>
      <c r="E171" s="2"/>
      <c r="F171" s="2"/>
      <c r="G171" s="2"/>
      <c r="H171" s="2"/>
      <c r="I171" s="2"/>
      <c r="J171" s="2"/>
      <c r="K171" s="2"/>
      <c r="L171" s="2"/>
      <c r="M171" s="2"/>
      <c r="N171" s="2"/>
      <c r="O171" s="2"/>
      <c r="P171" s="2"/>
      <c r="Q171" s="2"/>
      <c r="R171" s="9"/>
      <c r="S171" s="9"/>
      <c r="T171" s="9"/>
      <c r="U171" s="9"/>
      <c r="V171" s="9"/>
      <c r="W171" s="9"/>
      <c r="X171" s="9"/>
      <c r="Y171" s="9"/>
      <c r="Z171" s="9"/>
      <c r="AA171" s="9"/>
      <c r="AB171" s="9"/>
      <c r="AC171" s="9"/>
      <c r="AD171" s="9"/>
    </row>
    <row r="172" spans="1:30" ht="13.5" customHeight="1" x14ac:dyDescent="0.25">
      <c r="A172" s="2"/>
      <c r="B172" s="2"/>
      <c r="C172" s="2"/>
      <c r="D172" s="2"/>
      <c r="E172" s="2"/>
      <c r="F172" s="2"/>
      <c r="G172" s="2"/>
      <c r="H172" s="2"/>
      <c r="I172" s="2"/>
      <c r="J172" s="2"/>
      <c r="K172" s="2"/>
      <c r="L172" s="2"/>
      <c r="M172" s="2"/>
      <c r="N172" s="2"/>
      <c r="O172" s="2"/>
      <c r="P172" s="2"/>
      <c r="Q172" s="2"/>
      <c r="R172" s="9"/>
      <c r="S172" s="9"/>
      <c r="T172" s="9"/>
      <c r="U172" s="9"/>
      <c r="V172" s="9"/>
      <c r="W172" s="9"/>
      <c r="X172" s="9"/>
      <c r="Y172" s="9"/>
      <c r="Z172" s="9"/>
      <c r="AA172" s="9"/>
      <c r="AB172" s="9"/>
      <c r="AC172" s="9"/>
      <c r="AD172" s="9"/>
    </row>
    <row r="173" spans="1:30" ht="13.5" customHeight="1" x14ac:dyDescent="0.25">
      <c r="A173" s="2"/>
      <c r="B173" s="2"/>
      <c r="C173" s="2"/>
      <c r="D173" s="2"/>
      <c r="E173" s="2"/>
      <c r="F173" s="2"/>
      <c r="G173" s="2"/>
      <c r="H173" s="2"/>
      <c r="I173" s="2"/>
      <c r="J173" s="2"/>
      <c r="K173" s="2"/>
      <c r="L173" s="2"/>
      <c r="M173" s="2"/>
      <c r="N173" s="2"/>
      <c r="O173" s="2"/>
      <c r="P173" s="2"/>
      <c r="Q173" s="2"/>
      <c r="R173" s="9"/>
      <c r="S173" s="9"/>
      <c r="T173" s="9"/>
      <c r="U173" s="9"/>
      <c r="V173" s="9"/>
      <c r="W173" s="9"/>
      <c r="X173" s="9"/>
      <c r="Y173" s="9"/>
      <c r="Z173" s="9"/>
      <c r="AA173" s="9"/>
      <c r="AB173" s="9"/>
      <c r="AC173" s="9"/>
      <c r="AD173" s="9"/>
    </row>
    <row r="174" spans="1:30" ht="13.5" customHeight="1" x14ac:dyDescent="0.25">
      <c r="A174" s="2"/>
      <c r="B174" s="2"/>
      <c r="C174" s="2"/>
      <c r="D174" s="2"/>
      <c r="E174" s="2"/>
      <c r="F174" s="2"/>
      <c r="G174" s="2"/>
      <c r="H174" s="2"/>
      <c r="I174" s="2"/>
      <c r="J174" s="2"/>
      <c r="K174" s="2"/>
      <c r="L174" s="2"/>
      <c r="M174" s="2"/>
      <c r="N174" s="2"/>
      <c r="O174" s="2"/>
      <c r="P174" s="2"/>
      <c r="Q174" s="2"/>
      <c r="R174" s="9"/>
      <c r="S174" s="9"/>
      <c r="T174" s="9"/>
      <c r="U174" s="9"/>
      <c r="V174" s="9"/>
      <c r="W174" s="9"/>
      <c r="X174" s="9"/>
      <c r="Y174" s="9"/>
      <c r="Z174" s="9"/>
      <c r="AA174" s="9"/>
      <c r="AB174" s="9"/>
      <c r="AC174" s="9"/>
      <c r="AD174" s="9"/>
    </row>
    <row r="175" spans="1:30" ht="13.5" customHeight="1" x14ac:dyDescent="0.25">
      <c r="A175" s="2"/>
      <c r="B175" s="2"/>
      <c r="C175" s="2"/>
      <c r="D175" s="2"/>
      <c r="E175" s="2"/>
      <c r="F175" s="2"/>
      <c r="G175" s="2"/>
      <c r="H175" s="2"/>
      <c r="I175" s="2"/>
      <c r="J175" s="2"/>
      <c r="K175" s="2"/>
      <c r="L175" s="2"/>
      <c r="M175" s="2"/>
      <c r="N175" s="2"/>
      <c r="O175" s="2"/>
      <c r="P175" s="2"/>
      <c r="Q175" s="2"/>
      <c r="R175" s="9"/>
      <c r="S175" s="9"/>
      <c r="T175" s="9"/>
      <c r="U175" s="9"/>
      <c r="V175" s="9"/>
      <c r="W175" s="9"/>
      <c r="X175" s="9"/>
      <c r="Y175" s="9"/>
      <c r="Z175" s="9"/>
      <c r="AA175" s="9"/>
      <c r="AB175" s="9"/>
      <c r="AC175" s="9"/>
      <c r="AD175" s="9"/>
    </row>
    <row r="176" spans="1:30" ht="13.5" customHeight="1" x14ac:dyDescent="0.25">
      <c r="A176" s="2"/>
      <c r="B176" s="2"/>
      <c r="C176" s="2"/>
      <c r="D176" s="2"/>
      <c r="E176" s="2"/>
      <c r="F176" s="2"/>
      <c r="G176" s="2"/>
      <c r="H176" s="2"/>
      <c r="I176" s="2"/>
      <c r="J176" s="2"/>
      <c r="K176" s="2"/>
      <c r="L176" s="2"/>
      <c r="M176" s="2"/>
      <c r="N176" s="2"/>
      <c r="O176" s="2"/>
      <c r="P176" s="2"/>
      <c r="Q176" s="2"/>
      <c r="R176" s="9"/>
      <c r="S176" s="9"/>
      <c r="T176" s="9"/>
      <c r="U176" s="9"/>
      <c r="V176" s="9"/>
      <c r="W176" s="9"/>
      <c r="X176" s="9"/>
      <c r="Y176" s="9"/>
      <c r="Z176" s="9"/>
      <c r="AA176" s="9"/>
      <c r="AB176" s="9"/>
      <c r="AC176" s="9"/>
      <c r="AD176" s="9"/>
    </row>
    <row r="177" spans="1:30" ht="13.5" customHeight="1" x14ac:dyDescent="0.25">
      <c r="A177" s="2"/>
      <c r="B177" s="2"/>
      <c r="C177" s="2"/>
      <c r="D177" s="2"/>
      <c r="E177" s="2"/>
      <c r="F177" s="2"/>
      <c r="G177" s="2"/>
      <c r="H177" s="2"/>
      <c r="I177" s="2"/>
      <c r="J177" s="2"/>
      <c r="K177" s="2"/>
      <c r="L177" s="2"/>
      <c r="M177" s="2"/>
      <c r="N177" s="2"/>
      <c r="O177" s="2"/>
      <c r="P177" s="2"/>
      <c r="Q177" s="2"/>
      <c r="R177" s="9"/>
      <c r="S177" s="9"/>
      <c r="T177" s="9"/>
      <c r="U177" s="9"/>
      <c r="V177" s="9"/>
      <c r="W177" s="9"/>
      <c r="X177" s="9"/>
      <c r="Y177" s="9"/>
      <c r="Z177" s="9"/>
      <c r="AA177" s="9"/>
      <c r="AB177" s="9"/>
      <c r="AC177" s="9"/>
      <c r="AD177" s="9"/>
    </row>
    <row r="178" spans="1:30" ht="13.5" customHeight="1" x14ac:dyDescent="0.25">
      <c r="A178" s="2"/>
      <c r="B178" s="2"/>
      <c r="C178" s="2"/>
      <c r="D178" s="2"/>
      <c r="E178" s="2"/>
      <c r="F178" s="2"/>
      <c r="G178" s="2"/>
      <c r="H178" s="2"/>
      <c r="I178" s="2"/>
      <c r="J178" s="2"/>
      <c r="K178" s="2"/>
      <c r="L178" s="2"/>
      <c r="M178" s="2"/>
      <c r="N178" s="2"/>
      <c r="O178" s="2"/>
      <c r="P178" s="2"/>
      <c r="Q178" s="2"/>
      <c r="R178" s="9"/>
      <c r="S178" s="9"/>
      <c r="T178" s="9"/>
      <c r="U178" s="9"/>
      <c r="V178" s="9"/>
      <c r="W178" s="9"/>
      <c r="X178" s="9"/>
      <c r="Y178" s="9"/>
      <c r="Z178" s="9"/>
      <c r="AA178" s="9"/>
      <c r="AB178" s="9"/>
      <c r="AC178" s="9"/>
      <c r="AD178" s="9"/>
    </row>
    <row r="179" spans="1:30" ht="13.5" customHeight="1" x14ac:dyDescent="0.25">
      <c r="A179" s="2"/>
      <c r="B179" s="2"/>
      <c r="C179" s="2"/>
      <c r="D179" s="2"/>
      <c r="E179" s="2"/>
      <c r="F179" s="2"/>
      <c r="G179" s="2"/>
      <c r="H179" s="2"/>
      <c r="I179" s="2"/>
      <c r="J179" s="2"/>
      <c r="K179" s="2"/>
      <c r="L179" s="2"/>
      <c r="M179" s="2"/>
      <c r="N179" s="2"/>
      <c r="O179" s="2"/>
      <c r="P179" s="2"/>
      <c r="Q179" s="2"/>
      <c r="R179" s="9"/>
      <c r="S179" s="9"/>
      <c r="T179" s="9"/>
      <c r="U179" s="9"/>
      <c r="V179" s="9"/>
      <c r="W179" s="9"/>
      <c r="X179" s="9"/>
      <c r="Y179" s="9"/>
      <c r="Z179" s="9"/>
      <c r="AA179" s="9"/>
      <c r="AB179" s="9"/>
      <c r="AC179" s="9"/>
      <c r="AD179" s="9"/>
    </row>
    <row r="180" spans="1:30" ht="13.5" customHeight="1" x14ac:dyDescent="0.25">
      <c r="A180" s="2"/>
      <c r="B180" s="2"/>
      <c r="C180" s="2"/>
      <c r="D180" s="2"/>
      <c r="E180" s="2"/>
      <c r="F180" s="2"/>
      <c r="G180" s="2"/>
      <c r="H180" s="2"/>
      <c r="I180" s="2"/>
      <c r="J180" s="2"/>
      <c r="K180" s="2"/>
      <c r="L180" s="2"/>
      <c r="M180" s="2"/>
      <c r="N180" s="2"/>
      <c r="O180" s="2"/>
      <c r="P180" s="2"/>
      <c r="Q180" s="2"/>
      <c r="R180" s="9"/>
      <c r="S180" s="9"/>
      <c r="T180" s="9"/>
      <c r="U180" s="9"/>
      <c r="V180" s="9"/>
      <c r="W180" s="9"/>
      <c r="X180" s="9"/>
      <c r="Y180" s="9"/>
      <c r="Z180" s="9"/>
      <c r="AA180" s="9"/>
      <c r="AB180" s="9"/>
      <c r="AC180" s="9"/>
      <c r="AD180" s="9"/>
    </row>
    <row r="181" spans="1:30" ht="13.5" customHeight="1" x14ac:dyDescent="0.25">
      <c r="A181" s="2"/>
      <c r="B181" s="2"/>
      <c r="C181" s="2"/>
      <c r="D181" s="2"/>
      <c r="E181" s="2"/>
      <c r="F181" s="2"/>
      <c r="G181" s="2"/>
      <c r="H181" s="2"/>
      <c r="I181" s="2"/>
      <c r="J181" s="2"/>
      <c r="K181" s="2"/>
      <c r="L181" s="2"/>
      <c r="M181" s="2"/>
      <c r="N181" s="2"/>
      <c r="O181" s="2"/>
      <c r="P181" s="2"/>
      <c r="Q181" s="2"/>
      <c r="R181" s="9"/>
      <c r="S181" s="9"/>
      <c r="T181" s="9"/>
      <c r="U181" s="9"/>
      <c r="V181" s="9"/>
      <c r="W181" s="9"/>
      <c r="X181" s="9"/>
      <c r="Y181" s="9"/>
      <c r="Z181" s="9"/>
      <c r="AA181" s="9"/>
      <c r="AB181" s="9"/>
      <c r="AC181" s="9"/>
      <c r="AD181" s="9"/>
    </row>
    <row r="182" spans="1:30" ht="13.5" customHeight="1" x14ac:dyDescent="0.25">
      <c r="A182" s="2"/>
      <c r="B182" s="2"/>
      <c r="C182" s="2"/>
      <c r="D182" s="2"/>
      <c r="E182" s="2"/>
      <c r="F182" s="2"/>
      <c r="G182" s="2"/>
      <c r="H182" s="2"/>
      <c r="I182" s="2"/>
      <c r="J182" s="2"/>
      <c r="K182" s="2"/>
      <c r="L182" s="2"/>
      <c r="M182" s="2"/>
      <c r="N182" s="2"/>
      <c r="O182" s="2"/>
      <c r="P182" s="2"/>
      <c r="Q182" s="2"/>
      <c r="R182" s="9"/>
      <c r="S182" s="9"/>
      <c r="T182" s="9"/>
      <c r="U182" s="9"/>
      <c r="V182" s="9"/>
      <c r="W182" s="9"/>
      <c r="X182" s="9"/>
      <c r="Y182" s="9"/>
      <c r="Z182" s="9"/>
      <c r="AA182" s="9"/>
      <c r="AB182" s="9"/>
      <c r="AC182" s="9"/>
      <c r="AD182" s="9"/>
    </row>
    <row r="183" spans="1:30" ht="13.5" customHeight="1" x14ac:dyDescent="0.25">
      <c r="A183" s="2"/>
      <c r="B183" s="2"/>
      <c r="C183" s="2"/>
      <c r="D183" s="2"/>
      <c r="E183" s="2"/>
      <c r="F183" s="2"/>
      <c r="G183" s="2"/>
      <c r="H183" s="2"/>
      <c r="I183" s="2"/>
      <c r="J183" s="2"/>
      <c r="K183" s="2"/>
      <c r="L183" s="2"/>
      <c r="M183" s="2"/>
      <c r="N183" s="2"/>
      <c r="O183" s="2"/>
      <c r="P183" s="2"/>
      <c r="Q183" s="2"/>
      <c r="R183" s="9"/>
      <c r="S183" s="9"/>
      <c r="T183" s="9"/>
      <c r="U183" s="9"/>
      <c r="V183" s="9"/>
      <c r="W183" s="9"/>
      <c r="X183" s="9"/>
      <c r="Y183" s="9"/>
      <c r="Z183" s="9"/>
      <c r="AA183" s="9"/>
      <c r="AB183" s="9"/>
      <c r="AC183" s="9"/>
      <c r="AD183" s="9"/>
    </row>
    <row r="184" spans="1:30" ht="13.5" customHeight="1" x14ac:dyDescent="0.25">
      <c r="A184" s="2"/>
      <c r="B184" s="2"/>
      <c r="C184" s="2"/>
      <c r="D184" s="2"/>
      <c r="E184" s="2"/>
      <c r="F184" s="2"/>
      <c r="G184" s="2"/>
      <c r="H184" s="2"/>
      <c r="I184" s="2"/>
      <c r="J184" s="2"/>
      <c r="K184" s="2"/>
      <c r="L184" s="2"/>
      <c r="M184" s="2"/>
      <c r="N184" s="2"/>
      <c r="O184" s="2"/>
      <c r="P184" s="2"/>
      <c r="Q184" s="2"/>
      <c r="R184" s="9"/>
      <c r="S184" s="9"/>
      <c r="T184" s="9"/>
      <c r="U184" s="9"/>
      <c r="V184" s="9"/>
      <c r="W184" s="9"/>
      <c r="X184" s="9"/>
      <c r="Y184" s="9"/>
      <c r="Z184" s="9"/>
      <c r="AA184" s="9"/>
      <c r="AB184" s="9"/>
      <c r="AC184" s="9"/>
      <c r="AD184" s="9"/>
    </row>
    <row r="185" spans="1:30" ht="13.5" customHeight="1" x14ac:dyDescent="0.25">
      <c r="A185" s="2"/>
      <c r="B185" s="2"/>
      <c r="C185" s="2"/>
      <c r="D185" s="2"/>
      <c r="E185" s="2"/>
      <c r="F185" s="2"/>
      <c r="G185" s="2"/>
      <c r="H185" s="2"/>
      <c r="I185" s="2"/>
      <c r="J185" s="2"/>
      <c r="K185" s="2"/>
      <c r="L185" s="2"/>
      <c r="M185" s="2"/>
      <c r="N185" s="2"/>
      <c r="O185" s="2"/>
      <c r="P185" s="2"/>
      <c r="Q185" s="2"/>
      <c r="R185" s="9"/>
      <c r="S185" s="9"/>
      <c r="T185" s="9"/>
      <c r="U185" s="9"/>
      <c r="V185" s="9"/>
      <c r="W185" s="9"/>
      <c r="X185" s="9"/>
      <c r="Y185" s="9"/>
      <c r="Z185" s="9"/>
      <c r="AA185" s="9"/>
      <c r="AB185" s="9"/>
      <c r="AC185" s="9"/>
      <c r="AD185" s="9"/>
    </row>
    <row r="186" spans="1:30" ht="13.5" customHeight="1" x14ac:dyDescent="0.25">
      <c r="A186" s="2"/>
      <c r="B186" s="2"/>
      <c r="C186" s="2"/>
      <c r="D186" s="2"/>
      <c r="E186" s="2"/>
      <c r="F186" s="2"/>
      <c r="G186" s="2"/>
      <c r="H186" s="2"/>
      <c r="I186" s="2"/>
      <c r="J186" s="2"/>
      <c r="K186" s="2"/>
      <c r="L186" s="2"/>
      <c r="M186" s="2"/>
      <c r="N186" s="2"/>
      <c r="O186" s="2"/>
      <c r="P186" s="2"/>
      <c r="Q186" s="2"/>
      <c r="R186" s="9"/>
      <c r="S186" s="9"/>
      <c r="T186" s="9"/>
      <c r="U186" s="9"/>
      <c r="V186" s="9"/>
      <c r="W186" s="9"/>
      <c r="X186" s="9"/>
      <c r="Y186" s="9"/>
      <c r="Z186" s="9"/>
      <c r="AA186" s="9"/>
      <c r="AB186" s="9"/>
      <c r="AC186" s="9"/>
      <c r="AD186" s="9"/>
    </row>
    <row r="187" spans="1:30" ht="13.5" customHeight="1" x14ac:dyDescent="0.25">
      <c r="A187" s="2"/>
      <c r="B187" s="2"/>
      <c r="C187" s="2"/>
      <c r="D187" s="2"/>
      <c r="E187" s="2"/>
      <c r="F187" s="2"/>
      <c r="G187" s="2"/>
      <c r="H187" s="2"/>
      <c r="I187" s="2"/>
      <c r="J187" s="2"/>
      <c r="K187" s="2"/>
      <c r="L187" s="2"/>
      <c r="M187" s="2"/>
      <c r="N187" s="2"/>
      <c r="O187" s="2"/>
      <c r="P187" s="2"/>
      <c r="Q187" s="2"/>
      <c r="R187" s="9"/>
      <c r="S187" s="9"/>
      <c r="T187" s="9"/>
      <c r="U187" s="9"/>
      <c r="V187" s="9"/>
      <c r="W187" s="9"/>
      <c r="X187" s="9"/>
      <c r="Y187" s="9"/>
      <c r="Z187" s="9"/>
      <c r="AA187" s="9"/>
      <c r="AB187" s="9"/>
      <c r="AC187" s="9"/>
      <c r="AD187" s="9"/>
    </row>
    <row r="188" spans="1:30" ht="13.5" customHeight="1" x14ac:dyDescent="0.25">
      <c r="A188" s="2"/>
      <c r="B188" s="2"/>
      <c r="C188" s="2"/>
      <c r="D188" s="2"/>
      <c r="E188" s="2"/>
      <c r="F188" s="2"/>
      <c r="G188" s="2"/>
      <c r="H188" s="2"/>
      <c r="I188" s="2"/>
      <c r="J188" s="2"/>
      <c r="K188" s="2"/>
      <c r="L188" s="2"/>
      <c r="M188" s="2"/>
      <c r="N188" s="2"/>
      <c r="O188" s="2"/>
      <c r="P188" s="2"/>
      <c r="Q188" s="2"/>
      <c r="R188" s="9"/>
      <c r="S188" s="9"/>
      <c r="T188" s="9"/>
      <c r="U188" s="9"/>
      <c r="V188" s="9"/>
      <c r="W188" s="9"/>
      <c r="X188" s="9"/>
      <c r="Y188" s="9"/>
      <c r="Z188" s="9"/>
      <c r="AA188" s="9"/>
      <c r="AB188" s="9"/>
      <c r="AC188" s="9"/>
      <c r="AD188" s="9"/>
    </row>
    <row r="189" spans="1:30" ht="13.5" customHeight="1" x14ac:dyDescent="0.25">
      <c r="A189" s="2"/>
      <c r="B189" s="2"/>
      <c r="C189" s="2"/>
      <c r="D189" s="2"/>
      <c r="E189" s="2"/>
      <c r="F189" s="2"/>
      <c r="G189" s="2"/>
      <c r="H189" s="2"/>
      <c r="I189" s="2"/>
      <c r="J189" s="2"/>
      <c r="K189" s="2"/>
      <c r="L189" s="2"/>
      <c r="M189" s="2"/>
      <c r="N189" s="2"/>
      <c r="O189" s="2"/>
      <c r="P189" s="2"/>
      <c r="Q189" s="2"/>
      <c r="R189" s="9"/>
      <c r="S189" s="9"/>
      <c r="T189" s="9"/>
      <c r="U189" s="9"/>
      <c r="V189" s="9"/>
      <c r="W189" s="9"/>
      <c r="X189" s="9"/>
      <c r="Y189" s="9"/>
      <c r="Z189" s="9"/>
      <c r="AA189" s="9"/>
      <c r="AB189" s="9"/>
      <c r="AC189" s="9"/>
      <c r="AD189" s="9"/>
    </row>
    <row r="190" spans="1:30" ht="13.5" customHeight="1" x14ac:dyDescent="0.25">
      <c r="A190" s="2"/>
      <c r="B190" s="2"/>
      <c r="C190" s="2"/>
      <c r="D190" s="2"/>
      <c r="E190" s="2"/>
      <c r="F190" s="2"/>
      <c r="G190" s="2"/>
      <c r="H190" s="2"/>
      <c r="I190" s="2"/>
      <c r="J190" s="2"/>
      <c r="K190" s="2"/>
      <c r="L190" s="2"/>
      <c r="M190" s="2"/>
      <c r="N190" s="2"/>
      <c r="O190" s="2"/>
      <c r="P190" s="2"/>
      <c r="Q190" s="2"/>
      <c r="R190" s="9"/>
      <c r="S190" s="9"/>
      <c r="T190" s="9"/>
      <c r="U190" s="9"/>
      <c r="V190" s="9"/>
      <c r="W190" s="9"/>
      <c r="X190" s="9"/>
      <c r="Y190" s="9"/>
      <c r="Z190" s="9"/>
      <c r="AA190" s="9"/>
      <c r="AB190" s="9"/>
      <c r="AC190" s="9"/>
      <c r="AD190" s="9"/>
    </row>
    <row r="191" spans="1:30" ht="13.5" customHeight="1" x14ac:dyDescent="0.25">
      <c r="A191" s="2"/>
      <c r="B191" s="2"/>
      <c r="C191" s="2"/>
      <c r="D191" s="2"/>
      <c r="E191" s="2"/>
      <c r="F191" s="2"/>
      <c r="G191" s="2"/>
      <c r="H191" s="2"/>
      <c r="I191" s="2"/>
      <c r="J191" s="2"/>
      <c r="K191" s="2"/>
      <c r="L191" s="2"/>
      <c r="M191" s="2"/>
      <c r="N191" s="2"/>
      <c r="O191" s="2"/>
      <c r="P191" s="2"/>
      <c r="Q191" s="2"/>
      <c r="R191" s="9"/>
      <c r="S191" s="9"/>
      <c r="T191" s="9"/>
      <c r="U191" s="9"/>
      <c r="V191" s="9"/>
      <c r="W191" s="9"/>
      <c r="X191" s="9"/>
      <c r="Y191" s="9"/>
      <c r="Z191" s="9"/>
      <c r="AA191" s="9"/>
      <c r="AB191" s="9"/>
      <c r="AC191" s="9"/>
      <c r="AD191" s="9"/>
    </row>
    <row r="192" spans="1:30" ht="13.5" customHeight="1" x14ac:dyDescent="0.25">
      <c r="A192" s="2"/>
      <c r="B192" s="2"/>
      <c r="C192" s="2"/>
      <c r="D192" s="2"/>
      <c r="E192" s="2"/>
      <c r="F192" s="2"/>
      <c r="G192" s="2"/>
      <c r="H192" s="2"/>
      <c r="I192" s="2"/>
      <c r="J192" s="2"/>
      <c r="K192" s="2"/>
      <c r="L192" s="2"/>
      <c r="M192" s="2"/>
      <c r="N192" s="2"/>
      <c r="O192" s="2"/>
      <c r="P192" s="2"/>
      <c r="Q192" s="2"/>
      <c r="R192" s="9"/>
      <c r="S192" s="9"/>
      <c r="T192" s="9"/>
      <c r="U192" s="9"/>
      <c r="V192" s="9"/>
      <c r="W192" s="9"/>
      <c r="X192" s="9"/>
      <c r="Y192" s="9"/>
      <c r="Z192" s="9"/>
      <c r="AA192" s="9"/>
      <c r="AB192" s="9"/>
      <c r="AC192" s="9"/>
      <c r="AD192" s="9"/>
    </row>
    <row r="193" spans="1:30" ht="13.5" customHeight="1" x14ac:dyDescent="0.25">
      <c r="A193" s="2"/>
      <c r="B193" s="2"/>
      <c r="C193" s="2"/>
      <c r="D193" s="2"/>
      <c r="E193" s="2"/>
      <c r="F193" s="2"/>
      <c r="G193" s="2"/>
      <c r="H193" s="2"/>
      <c r="I193" s="2"/>
      <c r="J193" s="2"/>
      <c r="K193" s="2"/>
      <c r="L193" s="2"/>
      <c r="M193" s="2"/>
      <c r="N193" s="2"/>
      <c r="O193" s="2"/>
      <c r="P193" s="2"/>
      <c r="Q193" s="2"/>
      <c r="R193" s="9"/>
      <c r="S193" s="9"/>
      <c r="T193" s="9"/>
      <c r="U193" s="9"/>
      <c r="V193" s="9"/>
      <c r="W193" s="9"/>
      <c r="X193" s="9"/>
      <c r="Y193" s="9"/>
      <c r="Z193" s="9"/>
      <c r="AA193" s="9"/>
      <c r="AB193" s="9"/>
      <c r="AC193" s="9"/>
      <c r="AD193" s="9"/>
    </row>
    <row r="194" spans="1:30" ht="13.5" customHeight="1" x14ac:dyDescent="0.25">
      <c r="A194" s="2"/>
      <c r="B194" s="2"/>
      <c r="C194" s="2"/>
      <c r="D194" s="2"/>
      <c r="E194" s="2"/>
      <c r="F194" s="2"/>
      <c r="G194" s="2"/>
      <c r="H194" s="2"/>
      <c r="I194" s="2"/>
      <c r="J194" s="2"/>
      <c r="K194" s="2"/>
      <c r="L194" s="2"/>
      <c r="M194" s="2"/>
      <c r="N194" s="2"/>
      <c r="O194" s="2"/>
      <c r="P194" s="2"/>
      <c r="Q194" s="2"/>
      <c r="R194" s="9"/>
      <c r="S194" s="9"/>
      <c r="T194" s="9"/>
      <c r="U194" s="9"/>
      <c r="V194" s="9"/>
      <c r="W194" s="9"/>
      <c r="X194" s="9"/>
      <c r="Y194" s="9"/>
      <c r="Z194" s="9"/>
      <c r="AA194" s="9"/>
      <c r="AB194" s="9"/>
      <c r="AC194" s="9"/>
      <c r="AD194" s="9"/>
    </row>
    <row r="195" spans="1:30" ht="13.5" customHeight="1" x14ac:dyDescent="0.25">
      <c r="A195" s="2"/>
      <c r="B195" s="2"/>
      <c r="C195" s="2"/>
      <c r="D195" s="2"/>
      <c r="E195" s="2"/>
      <c r="F195" s="2"/>
      <c r="G195" s="2"/>
      <c r="H195" s="2"/>
      <c r="I195" s="2"/>
      <c r="J195" s="2"/>
      <c r="K195" s="2"/>
      <c r="L195" s="2"/>
      <c r="M195" s="2"/>
      <c r="N195" s="2"/>
      <c r="O195" s="2"/>
      <c r="P195" s="2"/>
      <c r="Q195" s="2"/>
      <c r="R195" s="9"/>
      <c r="S195" s="9"/>
      <c r="T195" s="9"/>
      <c r="U195" s="9"/>
      <c r="V195" s="9"/>
      <c r="W195" s="9"/>
      <c r="X195" s="9"/>
      <c r="Y195" s="9"/>
      <c r="Z195" s="9"/>
      <c r="AA195" s="9"/>
      <c r="AB195" s="9"/>
      <c r="AC195" s="9"/>
      <c r="AD195" s="9"/>
    </row>
    <row r="196" spans="1:30" ht="13.5" customHeight="1" x14ac:dyDescent="0.25">
      <c r="A196" s="2"/>
      <c r="B196" s="2"/>
      <c r="C196" s="2"/>
      <c r="D196" s="2"/>
      <c r="E196" s="2"/>
      <c r="F196" s="2"/>
      <c r="G196" s="2"/>
      <c r="H196" s="2"/>
      <c r="I196" s="2"/>
      <c r="J196" s="2"/>
      <c r="K196" s="2"/>
      <c r="L196" s="2"/>
      <c r="M196" s="2"/>
      <c r="N196" s="2"/>
      <c r="O196" s="2"/>
      <c r="P196" s="2"/>
      <c r="Q196" s="2"/>
      <c r="R196" s="9"/>
      <c r="S196" s="9"/>
      <c r="T196" s="9"/>
      <c r="U196" s="9"/>
      <c r="V196" s="9"/>
      <c r="W196" s="9"/>
      <c r="X196" s="9"/>
      <c r="Y196" s="9"/>
      <c r="Z196" s="9"/>
      <c r="AA196" s="9"/>
      <c r="AB196" s="9"/>
      <c r="AC196" s="9"/>
      <c r="AD196" s="9"/>
    </row>
    <row r="197" spans="1:30" ht="13.5" customHeight="1" x14ac:dyDescent="0.25">
      <c r="A197" s="2"/>
      <c r="B197" s="2"/>
      <c r="C197" s="2"/>
      <c r="D197" s="2"/>
      <c r="E197" s="2"/>
      <c r="F197" s="2"/>
      <c r="G197" s="2"/>
      <c r="H197" s="2"/>
      <c r="I197" s="2"/>
      <c r="J197" s="2"/>
      <c r="K197" s="2"/>
      <c r="L197" s="2"/>
      <c r="M197" s="2"/>
      <c r="N197" s="2"/>
      <c r="O197" s="2"/>
      <c r="P197" s="2"/>
      <c r="Q197" s="2"/>
      <c r="R197" s="9"/>
      <c r="S197" s="9"/>
      <c r="T197" s="9"/>
      <c r="U197" s="9"/>
      <c r="V197" s="9"/>
      <c r="W197" s="9"/>
      <c r="X197" s="9"/>
      <c r="Y197" s="9"/>
      <c r="Z197" s="9"/>
      <c r="AA197" s="9"/>
      <c r="AB197" s="9"/>
      <c r="AC197" s="9"/>
      <c r="AD197" s="9"/>
    </row>
    <row r="198" spans="1:30" ht="13.5" customHeight="1" x14ac:dyDescent="0.25">
      <c r="A198" s="2"/>
      <c r="B198" s="2"/>
      <c r="C198" s="2"/>
      <c r="D198" s="2"/>
      <c r="E198" s="2"/>
      <c r="F198" s="2"/>
      <c r="G198" s="2"/>
      <c r="H198" s="2"/>
      <c r="I198" s="2"/>
      <c r="J198" s="2"/>
      <c r="K198" s="2"/>
      <c r="L198" s="2"/>
      <c r="M198" s="2"/>
      <c r="N198" s="2"/>
      <c r="O198" s="2"/>
      <c r="P198" s="2"/>
      <c r="Q198" s="2"/>
      <c r="R198" s="9"/>
      <c r="S198" s="9"/>
      <c r="T198" s="9"/>
      <c r="U198" s="9"/>
      <c r="V198" s="9"/>
      <c r="W198" s="9"/>
      <c r="X198" s="9"/>
      <c r="Y198" s="9"/>
      <c r="Z198" s="9"/>
      <c r="AA198" s="9"/>
      <c r="AB198" s="9"/>
      <c r="AC198" s="9"/>
      <c r="AD198" s="9"/>
    </row>
    <row r="199" spans="1:30" ht="13.5" customHeight="1" x14ac:dyDescent="0.25">
      <c r="A199" s="2"/>
      <c r="B199" s="2"/>
      <c r="C199" s="2"/>
      <c r="D199" s="2"/>
      <c r="E199" s="2"/>
      <c r="F199" s="2"/>
      <c r="G199" s="2"/>
      <c r="H199" s="2"/>
      <c r="I199" s="2"/>
      <c r="J199" s="2"/>
      <c r="K199" s="2"/>
      <c r="L199" s="2"/>
      <c r="M199" s="2"/>
      <c r="N199" s="2"/>
      <c r="O199" s="2"/>
      <c r="P199" s="2"/>
      <c r="Q199" s="2"/>
      <c r="R199" s="9"/>
      <c r="S199" s="9"/>
      <c r="T199" s="9"/>
      <c r="U199" s="9"/>
      <c r="V199" s="9"/>
      <c r="W199" s="9"/>
      <c r="X199" s="9"/>
      <c r="Y199" s="9"/>
      <c r="Z199" s="9"/>
      <c r="AA199" s="9"/>
      <c r="AB199" s="9"/>
      <c r="AC199" s="9"/>
      <c r="AD199" s="9"/>
    </row>
    <row r="200" spans="1:30" ht="13.5" customHeight="1" x14ac:dyDescent="0.25">
      <c r="A200" s="2"/>
      <c r="B200" s="2"/>
      <c r="C200" s="2"/>
      <c r="D200" s="2"/>
      <c r="E200" s="2"/>
      <c r="F200" s="2"/>
      <c r="G200" s="2"/>
      <c r="H200" s="2"/>
      <c r="I200" s="2"/>
      <c r="J200" s="2"/>
      <c r="K200" s="2"/>
      <c r="L200" s="2"/>
      <c r="M200" s="2"/>
      <c r="N200" s="2"/>
      <c r="O200" s="2"/>
      <c r="P200" s="2"/>
      <c r="Q200" s="2"/>
      <c r="R200" s="9"/>
      <c r="S200" s="9"/>
      <c r="T200" s="9"/>
      <c r="U200" s="9"/>
      <c r="V200" s="9"/>
      <c r="W200" s="9"/>
      <c r="X200" s="9"/>
      <c r="Y200" s="9"/>
      <c r="Z200" s="9"/>
      <c r="AA200" s="9"/>
      <c r="AB200" s="9"/>
      <c r="AC200" s="9"/>
      <c r="AD200" s="9"/>
    </row>
    <row r="201" spans="1:30" ht="13.5" customHeight="1" x14ac:dyDescent="0.25">
      <c r="A201" s="2"/>
      <c r="B201" s="2"/>
      <c r="C201" s="2"/>
      <c r="D201" s="2"/>
      <c r="E201" s="2"/>
      <c r="F201" s="2"/>
      <c r="G201" s="2"/>
      <c r="H201" s="2"/>
      <c r="I201" s="2"/>
      <c r="J201" s="2"/>
      <c r="K201" s="2"/>
      <c r="L201" s="2"/>
      <c r="M201" s="2"/>
      <c r="N201" s="2"/>
      <c r="O201" s="2"/>
      <c r="P201" s="2"/>
      <c r="Q201" s="2"/>
      <c r="R201" s="9"/>
      <c r="S201" s="9"/>
      <c r="T201" s="9"/>
      <c r="U201" s="9"/>
      <c r="V201" s="9"/>
      <c r="W201" s="9"/>
      <c r="X201" s="9"/>
      <c r="Y201" s="9"/>
      <c r="Z201" s="9"/>
      <c r="AA201" s="9"/>
      <c r="AB201" s="9"/>
      <c r="AC201" s="9"/>
      <c r="AD201" s="9"/>
    </row>
    <row r="202" spans="1:30" ht="13.5" customHeight="1" x14ac:dyDescent="0.25">
      <c r="A202" s="2"/>
      <c r="B202" s="2"/>
      <c r="C202" s="2"/>
      <c r="D202" s="2"/>
      <c r="E202" s="2"/>
      <c r="F202" s="2"/>
      <c r="G202" s="2"/>
      <c r="H202" s="2"/>
      <c r="I202" s="2"/>
      <c r="J202" s="2"/>
      <c r="K202" s="2"/>
      <c r="L202" s="2"/>
      <c r="M202" s="2"/>
      <c r="N202" s="2"/>
      <c r="O202" s="2"/>
      <c r="P202" s="2"/>
      <c r="Q202" s="2"/>
      <c r="R202" s="9"/>
      <c r="S202" s="9"/>
      <c r="T202" s="9"/>
      <c r="U202" s="9"/>
      <c r="V202" s="9"/>
      <c r="W202" s="9"/>
      <c r="X202" s="9"/>
      <c r="Y202" s="9"/>
      <c r="Z202" s="9"/>
      <c r="AA202" s="9"/>
      <c r="AB202" s="9"/>
      <c r="AC202" s="9"/>
      <c r="AD202" s="9"/>
    </row>
    <row r="203" spans="1:30" ht="13.5" customHeight="1" x14ac:dyDescent="0.25">
      <c r="A203" s="2"/>
      <c r="B203" s="2"/>
      <c r="C203" s="2"/>
      <c r="D203" s="2"/>
      <c r="E203" s="2"/>
      <c r="F203" s="2"/>
      <c r="G203" s="2"/>
      <c r="H203" s="2"/>
      <c r="I203" s="2"/>
      <c r="J203" s="2"/>
      <c r="K203" s="2"/>
      <c r="L203" s="2"/>
      <c r="M203" s="2"/>
      <c r="N203" s="2"/>
      <c r="O203" s="2"/>
      <c r="P203" s="2"/>
      <c r="Q203" s="2"/>
      <c r="R203" s="9"/>
      <c r="S203" s="9"/>
      <c r="T203" s="9"/>
      <c r="U203" s="9"/>
      <c r="V203" s="9"/>
      <c r="W203" s="9"/>
      <c r="X203" s="9"/>
      <c r="Y203" s="9"/>
      <c r="Z203" s="9"/>
      <c r="AA203" s="9"/>
      <c r="AB203" s="9"/>
      <c r="AC203" s="9"/>
      <c r="AD203" s="9"/>
    </row>
    <row r="204" spans="1:30" ht="13.5" customHeight="1" x14ac:dyDescent="0.25">
      <c r="A204" s="2"/>
      <c r="B204" s="2"/>
      <c r="C204" s="2"/>
      <c r="D204" s="2"/>
      <c r="E204" s="2"/>
      <c r="F204" s="2"/>
      <c r="G204" s="2"/>
      <c r="H204" s="2"/>
      <c r="I204" s="2"/>
      <c r="J204" s="2"/>
      <c r="K204" s="2"/>
      <c r="L204" s="2"/>
      <c r="M204" s="2"/>
      <c r="N204" s="2"/>
      <c r="O204" s="2"/>
      <c r="P204" s="2"/>
      <c r="Q204" s="2"/>
      <c r="R204" s="9"/>
      <c r="S204" s="9"/>
      <c r="T204" s="9"/>
      <c r="U204" s="9"/>
      <c r="V204" s="9"/>
      <c r="W204" s="9"/>
      <c r="X204" s="9"/>
      <c r="Y204" s="9"/>
      <c r="Z204" s="9"/>
      <c r="AA204" s="9"/>
      <c r="AB204" s="9"/>
      <c r="AC204" s="9"/>
      <c r="AD204" s="9"/>
    </row>
    <row r="205" spans="1:30" ht="13.5" customHeight="1" x14ac:dyDescent="0.25">
      <c r="A205" s="2"/>
      <c r="B205" s="2"/>
      <c r="C205" s="2"/>
      <c r="D205" s="2"/>
      <c r="E205" s="2"/>
      <c r="F205" s="2"/>
      <c r="G205" s="2"/>
      <c r="H205" s="2"/>
      <c r="I205" s="2"/>
      <c r="J205" s="2"/>
      <c r="K205" s="2"/>
      <c r="L205" s="2"/>
      <c r="M205" s="2"/>
      <c r="N205" s="2"/>
      <c r="O205" s="2"/>
      <c r="P205" s="2"/>
      <c r="Q205" s="2"/>
      <c r="R205" s="9"/>
      <c r="S205" s="9"/>
      <c r="T205" s="9"/>
      <c r="U205" s="9"/>
      <c r="V205" s="9"/>
      <c r="W205" s="9"/>
      <c r="X205" s="9"/>
      <c r="Y205" s="9"/>
      <c r="Z205" s="9"/>
      <c r="AA205" s="9"/>
      <c r="AB205" s="9"/>
      <c r="AC205" s="9"/>
      <c r="AD205" s="9"/>
    </row>
    <row r="206" spans="1:30" ht="13.5" customHeight="1" x14ac:dyDescent="0.25">
      <c r="A206" s="2"/>
      <c r="B206" s="2"/>
      <c r="C206" s="2"/>
      <c r="D206" s="2"/>
      <c r="E206" s="2"/>
      <c r="F206" s="2"/>
      <c r="G206" s="2"/>
      <c r="H206" s="2"/>
      <c r="I206" s="2"/>
      <c r="J206" s="2"/>
      <c r="K206" s="2"/>
      <c r="L206" s="2"/>
      <c r="M206" s="2"/>
      <c r="N206" s="2"/>
      <c r="O206" s="2"/>
      <c r="P206" s="2"/>
      <c r="Q206" s="2"/>
      <c r="R206" s="9"/>
      <c r="S206" s="9"/>
      <c r="T206" s="9"/>
      <c r="U206" s="9"/>
      <c r="V206" s="9"/>
      <c r="W206" s="9"/>
      <c r="X206" s="9"/>
      <c r="Y206" s="9"/>
      <c r="Z206" s="9"/>
      <c r="AA206" s="9"/>
      <c r="AB206" s="9"/>
      <c r="AC206" s="9"/>
      <c r="AD206" s="9"/>
    </row>
    <row r="207" spans="1:30" ht="13.5" customHeight="1" x14ac:dyDescent="0.25">
      <c r="A207" s="2"/>
      <c r="B207" s="2"/>
      <c r="C207" s="2"/>
      <c r="D207" s="2"/>
      <c r="E207" s="2"/>
      <c r="F207" s="2"/>
      <c r="G207" s="2"/>
      <c r="H207" s="2"/>
      <c r="I207" s="2"/>
      <c r="J207" s="2"/>
      <c r="K207" s="2"/>
      <c r="L207" s="2"/>
      <c r="M207" s="2"/>
      <c r="N207" s="2"/>
      <c r="O207" s="2"/>
      <c r="P207" s="2"/>
      <c r="Q207" s="2"/>
      <c r="R207" s="9"/>
      <c r="S207" s="9"/>
      <c r="T207" s="9"/>
      <c r="U207" s="9"/>
      <c r="V207" s="9"/>
      <c r="W207" s="9"/>
      <c r="X207" s="9"/>
      <c r="Y207" s="9"/>
      <c r="Z207" s="9"/>
      <c r="AA207" s="9"/>
      <c r="AB207" s="9"/>
      <c r="AC207" s="9"/>
      <c r="AD207" s="9"/>
    </row>
    <row r="208" spans="1:30" ht="13.5" customHeight="1" x14ac:dyDescent="0.25">
      <c r="A208" s="2"/>
      <c r="B208" s="2"/>
      <c r="C208" s="2"/>
      <c r="D208" s="2"/>
      <c r="E208" s="2"/>
      <c r="F208" s="2"/>
      <c r="G208" s="2"/>
      <c r="H208" s="2"/>
      <c r="I208" s="2"/>
      <c r="J208" s="2"/>
      <c r="K208" s="2"/>
      <c r="L208" s="2"/>
      <c r="M208" s="2"/>
      <c r="N208" s="2"/>
      <c r="O208" s="2"/>
      <c r="P208" s="2"/>
      <c r="Q208" s="2"/>
      <c r="R208" s="9"/>
      <c r="S208" s="9"/>
      <c r="T208" s="9"/>
      <c r="U208" s="9"/>
      <c r="V208" s="9"/>
      <c r="W208" s="9"/>
      <c r="X208" s="9"/>
      <c r="Y208" s="9"/>
      <c r="Z208" s="9"/>
      <c r="AA208" s="9"/>
      <c r="AB208" s="9"/>
      <c r="AC208" s="9"/>
      <c r="AD208" s="9"/>
    </row>
    <row r="209" spans="1:30" ht="13.5" customHeight="1" x14ac:dyDescent="0.25">
      <c r="A209" s="2"/>
      <c r="B209" s="2"/>
      <c r="C209" s="2"/>
      <c r="D209" s="2"/>
      <c r="E209" s="2"/>
      <c r="F209" s="2"/>
      <c r="G209" s="2"/>
      <c r="H209" s="2"/>
      <c r="I209" s="2"/>
      <c r="J209" s="2"/>
      <c r="K209" s="2"/>
      <c r="L209" s="2"/>
      <c r="M209" s="2"/>
      <c r="N209" s="2"/>
      <c r="O209" s="2"/>
      <c r="P209" s="2"/>
      <c r="Q209" s="2"/>
      <c r="R209" s="9"/>
      <c r="S209" s="9"/>
      <c r="T209" s="9"/>
      <c r="U209" s="9"/>
      <c r="V209" s="9"/>
      <c r="W209" s="9"/>
      <c r="X209" s="9"/>
      <c r="Y209" s="9"/>
      <c r="Z209" s="9"/>
      <c r="AA209" s="9"/>
      <c r="AB209" s="9"/>
      <c r="AC209" s="9"/>
      <c r="AD209" s="9"/>
    </row>
    <row r="210" spans="1:30" ht="13.5" customHeight="1" x14ac:dyDescent="0.25">
      <c r="A210" s="2"/>
      <c r="B210" s="2"/>
      <c r="C210" s="2"/>
      <c r="D210" s="2"/>
      <c r="E210" s="2"/>
      <c r="F210" s="2"/>
      <c r="G210" s="2"/>
      <c r="H210" s="2"/>
      <c r="I210" s="2"/>
      <c r="J210" s="2"/>
      <c r="K210" s="2"/>
      <c r="L210" s="2"/>
      <c r="M210" s="2"/>
      <c r="N210" s="2"/>
      <c r="O210" s="2"/>
      <c r="P210" s="2"/>
      <c r="Q210" s="2"/>
      <c r="R210" s="9"/>
      <c r="S210" s="9"/>
      <c r="T210" s="9"/>
      <c r="U210" s="9"/>
      <c r="V210" s="9"/>
      <c r="W210" s="9"/>
      <c r="X210" s="9"/>
      <c r="Y210" s="9"/>
      <c r="Z210" s="9"/>
      <c r="AA210" s="9"/>
      <c r="AB210" s="9"/>
      <c r="AC210" s="9"/>
      <c r="AD210" s="9"/>
    </row>
    <row r="211" spans="1:30" ht="13.5" customHeight="1" x14ac:dyDescent="0.25">
      <c r="A211" s="2"/>
      <c r="B211" s="2"/>
      <c r="C211" s="2"/>
      <c r="D211" s="2"/>
      <c r="E211" s="2"/>
      <c r="F211" s="2"/>
      <c r="G211" s="2"/>
      <c r="H211" s="2"/>
      <c r="I211" s="2"/>
      <c r="J211" s="2"/>
      <c r="K211" s="2"/>
      <c r="L211" s="2"/>
      <c r="M211" s="2"/>
      <c r="N211" s="2"/>
      <c r="O211" s="2"/>
      <c r="P211" s="2"/>
      <c r="Q211" s="2"/>
      <c r="R211" s="9"/>
      <c r="S211" s="9"/>
      <c r="T211" s="9"/>
      <c r="U211" s="9"/>
      <c r="V211" s="9"/>
      <c r="W211" s="9"/>
      <c r="X211" s="9"/>
      <c r="Y211" s="9"/>
      <c r="Z211" s="9"/>
      <c r="AA211" s="9"/>
      <c r="AB211" s="9"/>
      <c r="AC211" s="9"/>
      <c r="AD211" s="9"/>
    </row>
    <row r="212" spans="1:30" ht="13.5" customHeight="1" x14ac:dyDescent="0.25">
      <c r="A212" s="2"/>
      <c r="B212" s="2"/>
      <c r="C212" s="2"/>
      <c r="D212" s="2"/>
      <c r="E212" s="2"/>
      <c r="F212" s="2"/>
      <c r="G212" s="2"/>
      <c r="H212" s="2"/>
      <c r="I212" s="2"/>
      <c r="J212" s="2"/>
      <c r="K212" s="2"/>
      <c r="L212" s="2"/>
      <c r="M212" s="2"/>
      <c r="N212" s="2"/>
      <c r="O212" s="2"/>
      <c r="P212" s="2"/>
      <c r="Q212" s="2"/>
      <c r="R212" s="9"/>
      <c r="S212" s="9"/>
      <c r="T212" s="9"/>
      <c r="U212" s="9"/>
      <c r="V212" s="9"/>
      <c r="W212" s="9"/>
      <c r="X212" s="9"/>
      <c r="Y212" s="9"/>
      <c r="Z212" s="9"/>
      <c r="AA212" s="9"/>
      <c r="AB212" s="9"/>
      <c r="AC212" s="9"/>
      <c r="AD212" s="9"/>
    </row>
    <row r="213" spans="1:30" ht="13.5" customHeight="1" x14ac:dyDescent="0.25">
      <c r="A213" s="2"/>
      <c r="B213" s="2"/>
      <c r="C213" s="2"/>
      <c r="D213" s="2"/>
      <c r="E213" s="2"/>
      <c r="F213" s="2"/>
      <c r="G213" s="2"/>
      <c r="H213" s="2"/>
      <c r="I213" s="2"/>
      <c r="J213" s="2"/>
      <c r="K213" s="2"/>
      <c r="L213" s="2"/>
      <c r="M213" s="2"/>
      <c r="N213" s="2"/>
      <c r="O213" s="2"/>
      <c r="P213" s="2"/>
      <c r="Q213" s="2"/>
      <c r="R213" s="9"/>
      <c r="S213" s="9"/>
      <c r="T213" s="9"/>
      <c r="U213" s="9"/>
      <c r="V213" s="9"/>
      <c r="W213" s="9"/>
      <c r="X213" s="9"/>
      <c r="Y213" s="9"/>
      <c r="Z213" s="9"/>
      <c r="AA213" s="9"/>
      <c r="AB213" s="9"/>
      <c r="AC213" s="9"/>
      <c r="AD213" s="9"/>
    </row>
    <row r="214" spans="1:30" ht="13.5" customHeight="1" x14ac:dyDescent="0.25">
      <c r="A214" s="2"/>
      <c r="B214" s="2"/>
      <c r="C214" s="2"/>
      <c r="D214" s="2"/>
      <c r="E214" s="2"/>
      <c r="F214" s="2"/>
      <c r="G214" s="2"/>
      <c r="H214" s="2"/>
      <c r="I214" s="2"/>
      <c r="J214" s="2"/>
      <c r="K214" s="2"/>
      <c r="L214" s="2"/>
      <c r="M214" s="2"/>
      <c r="N214" s="2"/>
      <c r="O214" s="2"/>
      <c r="P214" s="2"/>
      <c r="Q214" s="2"/>
      <c r="R214" s="9"/>
      <c r="S214" s="9"/>
      <c r="T214" s="9"/>
      <c r="U214" s="9"/>
      <c r="V214" s="9"/>
      <c r="W214" s="9"/>
      <c r="X214" s="9"/>
      <c r="Y214" s="9"/>
      <c r="Z214" s="9"/>
      <c r="AA214" s="9"/>
      <c r="AB214" s="9"/>
      <c r="AC214" s="9"/>
      <c r="AD214" s="9"/>
    </row>
    <row r="215" spans="1:30" ht="13.5" customHeight="1" x14ac:dyDescent="0.25">
      <c r="A215" s="2"/>
      <c r="B215" s="2"/>
      <c r="C215" s="2"/>
      <c r="D215" s="2"/>
      <c r="E215" s="2"/>
      <c r="F215" s="2"/>
      <c r="G215" s="2"/>
      <c r="H215" s="2"/>
      <c r="I215" s="2"/>
      <c r="J215" s="2"/>
      <c r="K215" s="2"/>
      <c r="L215" s="2"/>
      <c r="M215" s="2"/>
      <c r="N215" s="2"/>
      <c r="O215" s="2"/>
      <c r="P215" s="2"/>
      <c r="Q215" s="2"/>
      <c r="R215" s="9"/>
      <c r="S215" s="9"/>
      <c r="T215" s="9"/>
      <c r="U215" s="9"/>
      <c r="V215" s="9"/>
      <c r="W215" s="9"/>
      <c r="X215" s="9"/>
      <c r="Y215" s="9"/>
      <c r="Z215" s="9"/>
      <c r="AA215" s="9"/>
      <c r="AB215" s="9"/>
      <c r="AC215" s="9"/>
      <c r="AD215" s="9"/>
    </row>
    <row r="216" spans="1:30" ht="13.5" customHeight="1" x14ac:dyDescent="0.25">
      <c r="A216" s="2"/>
      <c r="B216" s="2"/>
      <c r="C216" s="2"/>
      <c r="D216" s="2"/>
      <c r="E216" s="2"/>
      <c r="F216" s="2"/>
      <c r="G216" s="2"/>
      <c r="H216" s="2"/>
      <c r="I216" s="2"/>
      <c r="J216" s="2"/>
      <c r="K216" s="2"/>
      <c r="L216" s="2"/>
      <c r="M216" s="2"/>
      <c r="N216" s="2"/>
      <c r="O216" s="2"/>
      <c r="P216" s="2"/>
      <c r="Q216" s="2"/>
      <c r="R216" s="9"/>
      <c r="S216" s="9"/>
      <c r="T216" s="9"/>
      <c r="U216" s="9"/>
      <c r="V216" s="9"/>
      <c r="W216" s="9"/>
      <c r="X216" s="9"/>
      <c r="Y216" s="9"/>
      <c r="Z216" s="9"/>
      <c r="AA216" s="9"/>
      <c r="AB216" s="9"/>
      <c r="AC216" s="9"/>
      <c r="AD216" s="9"/>
    </row>
    <row r="217" spans="1:30" ht="13.5" customHeight="1" x14ac:dyDescent="0.25">
      <c r="A217" s="2"/>
      <c r="B217" s="2"/>
      <c r="C217" s="2"/>
      <c r="D217" s="2"/>
      <c r="E217" s="2"/>
      <c r="F217" s="2"/>
      <c r="G217" s="2"/>
      <c r="H217" s="2"/>
      <c r="I217" s="2"/>
      <c r="J217" s="2"/>
      <c r="K217" s="2"/>
      <c r="L217" s="2"/>
      <c r="M217" s="2"/>
      <c r="N217" s="2"/>
      <c r="O217" s="2"/>
      <c r="P217" s="2"/>
      <c r="Q217" s="2"/>
      <c r="R217" s="9"/>
      <c r="S217" s="9"/>
      <c r="T217" s="9"/>
      <c r="U217" s="9"/>
      <c r="V217" s="9"/>
      <c r="W217" s="9"/>
      <c r="X217" s="9"/>
      <c r="Y217" s="9"/>
      <c r="Z217" s="9"/>
      <c r="AA217" s="9"/>
      <c r="AB217" s="9"/>
      <c r="AC217" s="9"/>
      <c r="AD217" s="9"/>
    </row>
    <row r="218" spans="1:30" ht="13.5" customHeight="1" x14ac:dyDescent="0.25">
      <c r="A218" s="2"/>
      <c r="B218" s="2"/>
      <c r="C218" s="2"/>
      <c r="D218" s="2"/>
      <c r="E218" s="2"/>
      <c r="F218" s="2"/>
      <c r="G218" s="2"/>
      <c r="H218" s="2"/>
      <c r="I218" s="2"/>
      <c r="J218" s="2"/>
      <c r="K218" s="2"/>
      <c r="L218" s="2"/>
      <c r="M218" s="2"/>
      <c r="N218" s="2"/>
      <c r="O218" s="2"/>
      <c r="P218" s="2"/>
      <c r="Q218" s="2"/>
      <c r="R218" s="9"/>
      <c r="S218" s="9"/>
      <c r="T218" s="9"/>
      <c r="U218" s="9"/>
      <c r="V218" s="9"/>
      <c r="W218" s="9"/>
      <c r="X218" s="9"/>
      <c r="Y218" s="9"/>
      <c r="Z218" s="9"/>
      <c r="AA218" s="9"/>
      <c r="AB218" s="9"/>
      <c r="AC218" s="9"/>
      <c r="AD218" s="9"/>
    </row>
    <row r="219" spans="1:30" ht="13.5" customHeight="1" x14ac:dyDescent="0.25">
      <c r="A219" s="2"/>
      <c r="B219" s="2"/>
      <c r="C219" s="2"/>
      <c r="D219" s="2"/>
      <c r="E219" s="2"/>
      <c r="F219" s="2"/>
      <c r="G219" s="2"/>
      <c r="H219" s="2"/>
      <c r="I219" s="2"/>
      <c r="J219" s="2"/>
      <c r="K219" s="2"/>
      <c r="L219" s="2"/>
      <c r="M219" s="2"/>
      <c r="N219" s="2"/>
      <c r="O219" s="2"/>
      <c r="P219" s="2"/>
      <c r="Q219" s="2"/>
      <c r="R219" s="9"/>
      <c r="S219" s="9"/>
      <c r="T219" s="9"/>
      <c r="U219" s="9"/>
      <c r="V219" s="9"/>
      <c r="W219" s="9"/>
      <c r="X219" s="9"/>
      <c r="Y219" s="9"/>
      <c r="Z219" s="9"/>
      <c r="AA219" s="9"/>
      <c r="AB219" s="9"/>
      <c r="AC219" s="9"/>
      <c r="AD219" s="9"/>
    </row>
    <row r="220" spans="1:30" ht="13.5" customHeight="1" x14ac:dyDescent="0.25">
      <c r="A220" s="2"/>
      <c r="B220" s="2"/>
      <c r="C220" s="2"/>
      <c r="D220" s="2"/>
      <c r="E220" s="2"/>
      <c r="F220" s="2"/>
      <c r="G220" s="2"/>
      <c r="H220" s="2"/>
      <c r="I220" s="2"/>
      <c r="J220" s="2"/>
      <c r="K220" s="2"/>
      <c r="L220" s="2"/>
      <c r="M220" s="2"/>
      <c r="N220" s="2"/>
      <c r="O220" s="2"/>
      <c r="P220" s="2"/>
      <c r="Q220" s="2"/>
      <c r="R220" s="9"/>
      <c r="S220" s="9"/>
      <c r="T220" s="9"/>
      <c r="U220" s="9"/>
      <c r="V220" s="9"/>
      <c r="W220" s="9"/>
      <c r="X220" s="9"/>
      <c r="Y220" s="9"/>
      <c r="Z220" s="9"/>
      <c r="AA220" s="9"/>
      <c r="AB220" s="9"/>
      <c r="AC220" s="9"/>
      <c r="AD220" s="9"/>
    </row>
    <row r="221" spans="1:30" ht="13.5" customHeight="1" x14ac:dyDescent="0.25">
      <c r="A221" s="2"/>
      <c r="B221" s="2"/>
      <c r="C221" s="2"/>
      <c r="D221" s="2"/>
      <c r="E221" s="2"/>
      <c r="F221" s="2"/>
      <c r="G221" s="2"/>
      <c r="H221" s="2"/>
      <c r="I221" s="2"/>
      <c r="J221" s="2"/>
      <c r="K221" s="2"/>
      <c r="L221" s="2"/>
      <c r="M221" s="2"/>
      <c r="N221" s="2"/>
      <c r="O221" s="2"/>
      <c r="P221" s="2"/>
      <c r="Q221" s="2"/>
      <c r="R221" s="9"/>
      <c r="S221" s="9"/>
      <c r="T221" s="9"/>
      <c r="U221" s="9"/>
      <c r="V221" s="9"/>
      <c r="W221" s="9"/>
      <c r="X221" s="9"/>
      <c r="Y221" s="9"/>
      <c r="Z221" s="9"/>
      <c r="AA221" s="9"/>
      <c r="AB221" s="9"/>
      <c r="AC221" s="9"/>
      <c r="AD221" s="9"/>
    </row>
    <row r="222" spans="1:30" ht="13.5" customHeight="1" x14ac:dyDescent="0.25">
      <c r="A222" s="2"/>
      <c r="B222" s="2"/>
      <c r="C222" s="2"/>
      <c r="D222" s="2"/>
      <c r="E222" s="2"/>
      <c r="F222" s="2"/>
      <c r="G222" s="2"/>
      <c r="H222" s="2"/>
      <c r="I222" s="2"/>
      <c r="J222" s="2"/>
      <c r="K222" s="2"/>
      <c r="L222" s="2"/>
      <c r="M222" s="2"/>
      <c r="N222" s="2"/>
      <c r="O222" s="2"/>
      <c r="P222" s="2"/>
      <c r="Q222" s="2"/>
      <c r="R222" s="9"/>
      <c r="S222" s="9"/>
      <c r="T222" s="9"/>
      <c r="U222" s="9"/>
      <c r="V222" s="9"/>
      <c r="W222" s="9"/>
      <c r="X222" s="9"/>
      <c r="Y222" s="9"/>
      <c r="Z222" s="9"/>
      <c r="AA222" s="9"/>
      <c r="AB222" s="9"/>
      <c r="AC222" s="9"/>
      <c r="AD222" s="9"/>
    </row>
    <row r="223" spans="1:30" ht="13.5" customHeight="1" x14ac:dyDescent="0.25">
      <c r="A223" s="2"/>
      <c r="B223" s="2"/>
      <c r="C223" s="2"/>
      <c r="D223" s="2"/>
      <c r="E223" s="2"/>
      <c r="F223" s="2"/>
      <c r="G223" s="2"/>
      <c r="H223" s="2"/>
      <c r="I223" s="2"/>
      <c r="J223" s="2"/>
      <c r="K223" s="2"/>
      <c r="L223" s="2"/>
      <c r="M223" s="2"/>
      <c r="N223" s="2"/>
      <c r="O223" s="2"/>
      <c r="P223" s="2"/>
      <c r="Q223" s="2"/>
      <c r="R223" s="9"/>
      <c r="S223" s="9"/>
      <c r="T223" s="9"/>
      <c r="U223" s="9"/>
      <c r="V223" s="9"/>
      <c r="W223" s="9"/>
      <c r="X223" s="9"/>
      <c r="Y223" s="9"/>
      <c r="Z223" s="9"/>
      <c r="AA223" s="9"/>
      <c r="AB223" s="9"/>
      <c r="AC223" s="9"/>
      <c r="AD223" s="9"/>
    </row>
    <row r="224" spans="1:30" ht="13.5" customHeight="1" x14ac:dyDescent="0.25">
      <c r="A224" s="2"/>
      <c r="B224" s="2"/>
      <c r="C224" s="2"/>
      <c r="D224" s="2"/>
      <c r="E224" s="2"/>
      <c r="F224" s="2"/>
      <c r="G224" s="2"/>
      <c r="H224" s="2"/>
      <c r="I224" s="2"/>
      <c r="J224" s="2"/>
      <c r="K224" s="2"/>
      <c r="L224" s="2"/>
      <c r="M224" s="2"/>
      <c r="N224" s="2"/>
      <c r="O224" s="2"/>
      <c r="P224" s="2"/>
      <c r="Q224" s="2"/>
      <c r="R224" s="9"/>
      <c r="S224" s="9"/>
      <c r="T224" s="9"/>
      <c r="U224" s="9"/>
      <c r="V224" s="9"/>
      <c r="W224" s="9"/>
      <c r="X224" s="9"/>
      <c r="Y224" s="9"/>
      <c r="Z224" s="9"/>
      <c r="AA224" s="9"/>
      <c r="AB224" s="9"/>
      <c r="AC224" s="9"/>
      <c r="AD224" s="9"/>
    </row>
    <row r="225" spans="1:30" ht="13.5" customHeight="1" x14ac:dyDescent="0.25">
      <c r="A225" s="2"/>
      <c r="B225" s="2"/>
      <c r="C225" s="2"/>
      <c r="D225" s="2"/>
      <c r="E225" s="2"/>
      <c r="F225" s="2"/>
      <c r="G225" s="2"/>
      <c r="H225" s="2"/>
      <c r="I225" s="2"/>
      <c r="J225" s="2"/>
      <c r="K225" s="2"/>
      <c r="L225" s="2"/>
      <c r="M225" s="2"/>
      <c r="N225" s="2"/>
      <c r="O225" s="2"/>
      <c r="P225" s="2"/>
      <c r="Q225" s="2"/>
      <c r="R225" s="9"/>
      <c r="S225" s="9"/>
      <c r="T225" s="9"/>
      <c r="U225" s="9"/>
      <c r="V225" s="9"/>
      <c r="W225" s="9"/>
      <c r="X225" s="9"/>
      <c r="Y225" s="9"/>
      <c r="Z225" s="9"/>
      <c r="AA225" s="9"/>
      <c r="AB225" s="9"/>
      <c r="AC225" s="9"/>
      <c r="AD225" s="9"/>
    </row>
    <row r="226" spans="1:30" ht="13.5" customHeight="1" x14ac:dyDescent="0.25">
      <c r="A226" s="2"/>
      <c r="B226" s="2"/>
      <c r="C226" s="2"/>
      <c r="D226" s="2"/>
      <c r="E226" s="2"/>
      <c r="F226" s="2"/>
      <c r="G226" s="2"/>
      <c r="H226" s="2"/>
      <c r="I226" s="2"/>
      <c r="J226" s="2"/>
      <c r="K226" s="2"/>
      <c r="L226" s="2"/>
      <c r="M226" s="2"/>
      <c r="N226" s="2"/>
      <c r="O226" s="2"/>
      <c r="P226" s="2"/>
      <c r="Q226" s="2"/>
      <c r="R226" s="9"/>
      <c r="S226" s="9"/>
      <c r="T226" s="9"/>
      <c r="U226" s="9"/>
      <c r="V226" s="9"/>
      <c r="W226" s="9"/>
      <c r="X226" s="9"/>
      <c r="Y226" s="9"/>
      <c r="Z226" s="9"/>
      <c r="AA226" s="9"/>
      <c r="AB226" s="9"/>
      <c r="AC226" s="9"/>
      <c r="AD226" s="9"/>
    </row>
    <row r="227" spans="1:30" ht="13.5" customHeight="1" x14ac:dyDescent="0.25">
      <c r="A227" s="2"/>
      <c r="B227" s="2"/>
      <c r="C227" s="2"/>
      <c r="D227" s="2"/>
      <c r="E227" s="2"/>
      <c r="F227" s="2"/>
      <c r="G227" s="2"/>
      <c r="H227" s="2"/>
      <c r="I227" s="2"/>
      <c r="J227" s="2"/>
      <c r="K227" s="2"/>
      <c r="L227" s="2"/>
      <c r="M227" s="2"/>
      <c r="N227" s="2"/>
      <c r="O227" s="2"/>
      <c r="P227" s="2"/>
      <c r="Q227" s="2"/>
      <c r="R227" s="9"/>
      <c r="S227" s="9"/>
      <c r="T227" s="9"/>
      <c r="U227" s="9"/>
      <c r="V227" s="9"/>
      <c r="W227" s="9"/>
      <c r="X227" s="9"/>
      <c r="Y227" s="9"/>
      <c r="Z227" s="9"/>
      <c r="AA227" s="9"/>
      <c r="AB227" s="9"/>
      <c r="AC227" s="9"/>
      <c r="AD227" s="9"/>
    </row>
    <row r="228" spans="1:30" ht="13.5" customHeight="1" x14ac:dyDescent="0.25">
      <c r="A228" s="2"/>
      <c r="B228" s="2"/>
      <c r="C228" s="2"/>
      <c r="D228" s="2"/>
      <c r="E228" s="2"/>
      <c r="F228" s="2"/>
      <c r="G228" s="2"/>
      <c r="H228" s="2"/>
      <c r="I228" s="2"/>
      <c r="J228" s="2"/>
      <c r="K228" s="2"/>
      <c r="L228" s="2"/>
      <c r="M228" s="2"/>
      <c r="N228" s="2"/>
      <c r="O228" s="2"/>
      <c r="P228" s="2"/>
      <c r="Q228" s="2"/>
      <c r="R228" s="9"/>
      <c r="S228" s="9"/>
      <c r="T228" s="9"/>
      <c r="U228" s="9"/>
      <c r="V228" s="9"/>
      <c r="W228" s="9"/>
      <c r="X228" s="9"/>
      <c r="Y228" s="9"/>
      <c r="Z228" s="9"/>
      <c r="AA228" s="9"/>
      <c r="AB228" s="9"/>
      <c r="AC228" s="9"/>
      <c r="AD228" s="9"/>
    </row>
    <row r="229" spans="1:30" ht="13.5" customHeight="1" x14ac:dyDescent="0.25">
      <c r="A229" s="2"/>
      <c r="B229" s="2"/>
      <c r="C229" s="2"/>
      <c r="D229" s="2"/>
      <c r="E229" s="2"/>
      <c r="F229" s="2"/>
      <c r="G229" s="2"/>
      <c r="H229" s="2"/>
      <c r="I229" s="2"/>
      <c r="J229" s="2"/>
      <c r="K229" s="2"/>
      <c r="L229" s="2"/>
      <c r="M229" s="2"/>
      <c r="N229" s="2"/>
      <c r="O229" s="2"/>
      <c r="P229" s="2"/>
      <c r="Q229" s="2"/>
      <c r="R229" s="9"/>
      <c r="S229" s="9"/>
      <c r="T229" s="9"/>
      <c r="U229" s="9"/>
      <c r="V229" s="9"/>
      <c r="W229" s="9"/>
      <c r="X229" s="9"/>
      <c r="Y229" s="9"/>
      <c r="Z229" s="9"/>
      <c r="AA229" s="9"/>
      <c r="AB229" s="9"/>
      <c r="AC229" s="9"/>
      <c r="AD229" s="9"/>
    </row>
    <row r="230" spans="1:30" ht="13.5" customHeight="1" x14ac:dyDescent="0.25">
      <c r="A230" s="2"/>
      <c r="B230" s="2"/>
      <c r="C230" s="2"/>
      <c r="D230" s="2"/>
      <c r="E230" s="2"/>
      <c r="F230" s="2"/>
      <c r="G230" s="2"/>
      <c r="H230" s="2"/>
      <c r="I230" s="2"/>
      <c r="J230" s="2"/>
      <c r="K230" s="2"/>
      <c r="L230" s="2"/>
      <c r="M230" s="2"/>
      <c r="N230" s="2"/>
      <c r="O230" s="2"/>
      <c r="P230" s="2"/>
      <c r="Q230" s="2"/>
      <c r="R230" s="9"/>
      <c r="S230" s="9"/>
      <c r="T230" s="9"/>
      <c r="U230" s="9"/>
      <c r="V230" s="9"/>
      <c r="W230" s="9"/>
      <c r="X230" s="9"/>
      <c r="Y230" s="9"/>
      <c r="Z230" s="9"/>
      <c r="AA230" s="9"/>
      <c r="AB230" s="9"/>
      <c r="AC230" s="9"/>
      <c r="AD230" s="9"/>
    </row>
    <row r="231" spans="1:30" ht="13.5" customHeight="1" x14ac:dyDescent="0.25">
      <c r="A231" s="2"/>
      <c r="B231" s="2"/>
      <c r="C231" s="2"/>
      <c r="D231" s="2"/>
      <c r="E231" s="2"/>
      <c r="F231" s="2"/>
      <c r="G231" s="2"/>
      <c r="H231" s="2"/>
      <c r="I231" s="2"/>
      <c r="J231" s="2"/>
      <c r="K231" s="2"/>
      <c r="L231" s="2"/>
      <c r="M231" s="2"/>
      <c r="N231" s="2"/>
      <c r="O231" s="2"/>
      <c r="P231" s="2"/>
      <c r="Q231" s="2"/>
      <c r="R231" s="9"/>
      <c r="S231" s="9"/>
      <c r="T231" s="9"/>
      <c r="U231" s="9"/>
      <c r="V231" s="9"/>
      <c r="W231" s="9"/>
      <c r="X231" s="9"/>
      <c r="Y231" s="9"/>
      <c r="Z231" s="9"/>
      <c r="AA231" s="9"/>
      <c r="AB231" s="9"/>
      <c r="AC231" s="9"/>
      <c r="AD231" s="9"/>
    </row>
    <row r="232" spans="1:30" ht="13.5" customHeight="1" x14ac:dyDescent="0.25">
      <c r="A232" s="2"/>
      <c r="B232" s="2"/>
      <c r="C232" s="2"/>
      <c r="D232" s="2"/>
      <c r="E232" s="2"/>
      <c r="F232" s="2"/>
      <c r="G232" s="2"/>
      <c r="H232" s="2"/>
      <c r="I232" s="2"/>
      <c r="J232" s="2"/>
      <c r="K232" s="2"/>
      <c r="L232" s="2"/>
      <c r="M232" s="2"/>
      <c r="N232" s="2"/>
      <c r="O232" s="2"/>
      <c r="P232" s="2"/>
      <c r="Q232" s="2"/>
      <c r="R232" s="9"/>
      <c r="S232" s="9"/>
      <c r="T232" s="9"/>
      <c r="U232" s="9"/>
      <c r="V232" s="9"/>
      <c r="W232" s="9"/>
      <c r="X232" s="9"/>
      <c r="Y232" s="9"/>
      <c r="Z232" s="9"/>
      <c r="AA232" s="9"/>
      <c r="AB232" s="9"/>
      <c r="AC232" s="9"/>
      <c r="AD232" s="9"/>
    </row>
    <row r="233" spans="1:30" ht="13.5" customHeight="1" x14ac:dyDescent="0.25">
      <c r="A233" s="2"/>
      <c r="B233" s="2"/>
      <c r="C233" s="2"/>
      <c r="D233" s="2"/>
      <c r="E233" s="2"/>
      <c r="F233" s="2"/>
      <c r="G233" s="2"/>
      <c r="H233" s="2"/>
      <c r="I233" s="2"/>
      <c r="J233" s="2"/>
      <c r="K233" s="2"/>
      <c r="L233" s="2"/>
      <c r="M233" s="2"/>
      <c r="N233" s="2"/>
      <c r="O233" s="2"/>
      <c r="P233" s="2"/>
      <c r="Q233" s="2"/>
      <c r="R233" s="9"/>
      <c r="S233" s="9"/>
      <c r="T233" s="9"/>
      <c r="U233" s="9"/>
      <c r="V233" s="9"/>
      <c r="W233" s="9"/>
      <c r="X233" s="9"/>
      <c r="Y233" s="9"/>
      <c r="Z233" s="9"/>
      <c r="AA233" s="9"/>
      <c r="AB233" s="9"/>
      <c r="AC233" s="9"/>
      <c r="AD233" s="9"/>
    </row>
    <row r="234" spans="1:30" ht="13.5" customHeight="1" x14ac:dyDescent="0.25">
      <c r="A234" s="2"/>
      <c r="B234" s="2"/>
      <c r="C234" s="2"/>
      <c r="D234" s="2"/>
      <c r="E234" s="2"/>
      <c r="F234" s="2"/>
      <c r="G234" s="2"/>
      <c r="H234" s="2"/>
      <c r="I234" s="2"/>
      <c r="J234" s="2"/>
      <c r="K234" s="2"/>
      <c r="L234" s="2"/>
      <c r="M234" s="2"/>
      <c r="N234" s="2"/>
      <c r="O234" s="2"/>
      <c r="P234" s="2"/>
      <c r="Q234" s="2"/>
      <c r="R234" s="9"/>
      <c r="S234" s="9"/>
      <c r="T234" s="9"/>
      <c r="U234" s="9"/>
      <c r="V234" s="9"/>
      <c r="W234" s="9"/>
      <c r="X234" s="9"/>
      <c r="Y234" s="9"/>
      <c r="Z234" s="9"/>
      <c r="AA234" s="9"/>
      <c r="AB234" s="9"/>
      <c r="AC234" s="9"/>
      <c r="AD234" s="9"/>
    </row>
    <row r="235" spans="1:30" ht="13.5" customHeight="1" x14ac:dyDescent="0.25">
      <c r="A235" s="2"/>
      <c r="B235" s="2"/>
      <c r="C235" s="2"/>
      <c r="D235" s="2"/>
      <c r="E235" s="2"/>
      <c r="F235" s="2"/>
      <c r="G235" s="2"/>
      <c r="H235" s="2"/>
      <c r="I235" s="2"/>
      <c r="J235" s="2"/>
      <c r="K235" s="2"/>
      <c r="L235" s="2"/>
      <c r="M235" s="2"/>
      <c r="N235" s="2"/>
      <c r="O235" s="2"/>
      <c r="P235" s="2"/>
      <c r="Q235" s="2"/>
      <c r="R235" s="9"/>
      <c r="S235" s="9"/>
      <c r="T235" s="9"/>
      <c r="U235" s="9"/>
      <c r="V235" s="9"/>
      <c r="W235" s="9"/>
      <c r="X235" s="9"/>
      <c r="Y235" s="9"/>
      <c r="Z235" s="9"/>
      <c r="AA235" s="9"/>
      <c r="AB235" s="9"/>
      <c r="AC235" s="9"/>
      <c r="AD235" s="9"/>
    </row>
    <row r="236" spans="1:30" ht="13.5" customHeight="1" x14ac:dyDescent="0.25">
      <c r="A236" s="2"/>
      <c r="B236" s="2"/>
      <c r="C236" s="2"/>
      <c r="D236" s="2"/>
      <c r="E236" s="2"/>
      <c r="F236" s="2"/>
      <c r="G236" s="2"/>
      <c r="H236" s="2"/>
      <c r="I236" s="2"/>
      <c r="J236" s="2"/>
      <c r="K236" s="2"/>
      <c r="L236" s="2"/>
      <c r="M236" s="2"/>
      <c r="N236" s="2"/>
      <c r="O236" s="2"/>
      <c r="P236" s="2"/>
      <c r="Q236" s="2"/>
      <c r="R236" s="9"/>
      <c r="S236" s="9"/>
      <c r="T236" s="9"/>
      <c r="U236" s="9"/>
      <c r="V236" s="9"/>
      <c r="W236" s="9"/>
      <c r="X236" s="9"/>
      <c r="Y236" s="9"/>
      <c r="Z236" s="9"/>
      <c r="AA236" s="9"/>
      <c r="AB236" s="9"/>
      <c r="AC236" s="9"/>
      <c r="AD236" s="9"/>
    </row>
    <row r="237" spans="1:30" ht="13.5" customHeight="1" x14ac:dyDescent="0.25">
      <c r="A237" s="2"/>
      <c r="B237" s="2"/>
      <c r="C237" s="2"/>
      <c r="D237" s="2"/>
      <c r="E237" s="2"/>
      <c r="F237" s="2"/>
      <c r="G237" s="2"/>
      <c r="H237" s="2"/>
      <c r="I237" s="2"/>
      <c r="J237" s="2"/>
      <c r="K237" s="2"/>
      <c r="L237" s="2"/>
      <c r="M237" s="2"/>
      <c r="N237" s="2"/>
      <c r="O237" s="2"/>
      <c r="P237" s="2"/>
      <c r="Q237" s="2"/>
      <c r="R237" s="9"/>
      <c r="S237" s="9"/>
      <c r="T237" s="9"/>
      <c r="U237" s="9"/>
      <c r="V237" s="9"/>
      <c r="W237" s="9"/>
      <c r="X237" s="9"/>
      <c r="Y237" s="9"/>
      <c r="Z237" s="9"/>
      <c r="AA237" s="9"/>
      <c r="AB237" s="9"/>
      <c r="AC237" s="9"/>
      <c r="AD237" s="9"/>
    </row>
    <row r="238" spans="1:30" ht="13.5" customHeight="1" x14ac:dyDescent="0.25">
      <c r="A238" s="2"/>
      <c r="B238" s="2"/>
      <c r="C238" s="2"/>
      <c r="D238" s="2"/>
      <c r="E238" s="2"/>
      <c r="F238" s="2"/>
      <c r="G238" s="2"/>
      <c r="H238" s="2"/>
      <c r="I238" s="2"/>
      <c r="J238" s="2"/>
      <c r="K238" s="2"/>
      <c r="L238" s="2"/>
      <c r="M238" s="2"/>
      <c r="N238" s="2"/>
      <c r="O238" s="2"/>
      <c r="P238" s="2"/>
      <c r="Q238" s="2"/>
      <c r="R238" s="9"/>
      <c r="S238" s="9"/>
      <c r="T238" s="9"/>
      <c r="U238" s="9"/>
      <c r="V238" s="9"/>
      <c r="W238" s="9"/>
      <c r="X238" s="9"/>
      <c r="Y238" s="9"/>
      <c r="Z238" s="9"/>
      <c r="AA238" s="9"/>
      <c r="AB238" s="9"/>
      <c r="AC238" s="9"/>
      <c r="AD238" s="9"/>
    </row>
    <row r="239" spans="1:30" ht="13.5" customHeight="1" x14ac:dyDescent="0.25">
      <c r="A239" s="2"/>
      <c r="B239" s="2"/>
      <c r="C239" s="2"/>
      <c r="D239" s="2"/>
      <c r="E239" s="2"/>
      <c r="F239" s="2"/>
      <c r="G239" s="2"/>
      <c r="H239" s="2"/>
      <c r="I239" s="2"/>
      <c r="J239" s="2"/>
      <c r="K239" s="2"/>
      <c r="L239" s="2"/>
      <c r="M239" s="2"/>
      <c r="N239" s="2"/>
      <c r="O239" s="2"/>
      <c r="P239" s="2"/>
      <c r="Q239" s="2"/>
      <c r="R239" s="9"/>
      <c r="S239" s="9"/>
      <c r="T239" s="9"/>
      <c r="U239" s="9"/>
      <c r="V239" s="9"/>
      <c r="W239" s="9"/>
      <c r="X239" s="9"/>
      <c r="Y239" s="9"/>
      <c r="Z239" s="9"/>
      <c r="AA239" s="9"/>
      <c r="AB239" s="9"/>
      <c r="AC239" s="9"/>
      <c r="AD239" s="9"/>
    </row>
    <row r="240" spans="1:30" ht="13.5" customHeight="1" x14ac:dyDescent="0.25">
      <c r="A240" s="2"/>
      <c r="B240" s="2"/>
      <c r="C240" s="2"/>
      <c r="D240" s="2"/>
      <c r="E240" s="2"/>
      <c r="F240" s="2"/>
      <c r="G240" s="2"/>
      <c r="H240" s="2"/>
      <c r="I240" s="2"/>
      <c r="J240" s="2"/>
      <c r="K240" s="2"/>
      <c r="L240" s="2"/>
      <c r="M240" s="2"/>
      <c r="N240" s="2"/>
      <c r="O240" s="2"/>
      <c r="P240" s="2"/>
      <c r="Q240" s="2"/>
      <c r="R240" s="9"/>
      <c r="S240" s="9"/>
      <c r="T240" s="9"/>
      <c r="U240" s="9"/>
      <c r="V240" s="9"/>
      <c r="W240" s="9"/>
      <c r="X240" s="9"/>
      <c r="Y240" s="9"/>
      <c r="Z240" s="9"/>
      <c r="AA240" s="9"/>
      <c r="AB240" s="9"/>
      <c r="AC240" s="9"/>
      <c r="AD240" s="9"/>
    </row>
    <row r="241" spans="1:30" ht="13.5" customHeight="1" x14ac:dyDescent="0.25">
      <c r="A241" s="2"/>
      <c r="B241" s="2"/>
      <c r="C241" s="2"/>
      <c r="D241" s="2"/>
      <c r="E241" s="2"/>
      <c r="F241" s="2"/>
      <c r="G241" s="2"/>
      <c r="H241" s="2"/>
      <c r="I241" s="2"/>
      <c r="J241" s="2"/>
      <c r="K241" s="2"/>
      <c r="L241" s="2"/>
      <c r="M241" s="2"/>
      <c r="N241" s="2"/>
      <c r="O241" s="2"/>
      <c r="P241" s="2"/>
      <c r="Q241" s="2"/>
      <c r="R241" s="9"/>
      <c r="S241" s="9"/>
      <c r="T241" s="9"/>
      <c r="U241" s="9"/>
      <c r="V241" s="9"/>
      <c r="W241" s="9"/>
      <c r="X241" s="9"/>
      <c r="Y241" s="9"/>
      <c r="Z241" s="9"/>
      <c r="AA241" s="9"/>
      <c r="AB241" s="9"/>
      <c r="AC241" s="9"/>
      <c r="AD241" s="9"/>
    </row>
    <row r="242" spans="1:30" ht="13.5" customHeight="1" x14ac:dyDescent="0.25">
      <c r="A242" s="2"/>
      <c r="B242" s="2"/>
      <c r="C242" s="2"/>
      <c r="D242" s="2"/>
      <c r="E242" s="2"/>
      <c r="F242" s="2"/>
      <c r="G242" s="2"/>
      <c r="H242" s="2"/>
      <c r="I242" s="2"/>
      <c r="J242" s="2"/>
      <c r="K242" s="2"/>
      <c r="L242" s="2"/>
      <c r="M242" s="2"/>
      <c r="N242" s="2"/>
      <c r="O242" s="2"/>
      <c r="P242" s="2"/>
      <c r="Q242" s="2"/>
      <c r="R242" s="9"/>
      <c r="S242" s="9"/>
      <c r="T242" s="9"/>
      <c r="U242" s="9"/>
      <c r="V242" s="9"/>
      <c r="W242" s="9"/>
      <c r="X242" s="9"/>
      <c r="Y242" s="9"/>
      <c r="Z242" s="9"/>
      <c r="AA242" s="9"/>
      <c r="AB242" s="9"/>
      <c r="AC242" s="9"/>
      <c r="AD242" s="9"/>
    </row>
    <row r="243" spans="1:30" ht="13.5" customHeight="1" x14ac:dyDescent="0.25">
      <c r="A243" s="2"/>
      <c r="B243" s="2"/>
      <c r="C243" s="2"/>
      <c r="D243" s="2"/>
      <c r="E243" s="2"/>
      <c r="F243" s="2"/>
      <c r="G243" s="2"/>
      <c r="H243" s="2"/>
      <c r="I243" s="2"/>
      <c r="J243" s="2"/>
      <c r="K243" s="2"/>
      <c r="L243" s="2"/>
      <c r="M243" s="2"/>
      <c r="N243" s="2"/>
      <c r="O243" s="2"/>
      <c r="P243" s="2"/>
      <c r="Q243" s="2"/>
      <c r="R243" s="9"/>
      <c r="S243" s="9"/>
      <c r="T243" s="9"/>
      <c r="U243" s="9"/>
      <c r="V243" s="9"/>
      <c r="W243" s="9"/>
      <c r="X243" s="9"/>
      <c r="Y243" s="9"/>
      <c r="Z243" s="9"/>
      <c r="AA243" s="9"/>
      <c r="AB243" s="9"/>
      <c r="AC243" s="9"/>
      <c r="AD243" s="9"/>
    </row>
    <row r="244" spans="1:30" ht="13.5" customHeight="1" x14ac:dyDescent="0.25">
      <c r="A244" s="2"/>
      <c r="B244" s="2"/>
      <c r="C244" s="2"/>
      <c r="D244" s="2"/>
      <c r="E244" s="2"/>
      <c r="F244" s="2"/>
      <c r="G244" s="2"/>
      <c r="H244" s="2"/>
      <c r="I244" s="2"/>
      <c r="J244" s="2"/>
      <c r="K244" s="2"/>
      <c r="L244" s="2"/>
      <c r="M244" s="2"/>
      <c r="N244" s="2"/>
      <c r="O244" s="2"/>
      <c r="P244" s="2"/>
      <c r="Q244" s="2"/>
      <c r="R244" s="9"/>
      <c r="S244" s="9"/>
      <c r="T244" s="9"/>
      <c r="U244" s="9"/>
      <c r="V244" s="9"/>
      <c r="W244" s="9"/>
      <c r="X244" s="9"/>
      <c r="Y244" s="9"/>
      <c r="Z244" s="9"/>
      <c r="AA244" s="9"/>
      <c r="AB244" s="9"/>
      <c r="AC244" s="9"/>
      <c r="AD244" s="9"/>
    </row>
    <row r="245" spans="1:30" ht="13.5" customHeight="1" x14ac:dyDescent="0.25">
      <c r="A245" s="2"/>
      <c r="B245" s="2"/>
      <c r="C245" s="2"/>
      <c r="D245" s="2"/>
      <c r="E245" s="2"/>
      <c r="F245" s="2"/>
      <c r="G245" s="2"/>
      <c r="H245" s="2"/>
      <c r="I245" s="2"/>
      <c r="J245" s="2"/>
      <c r="K245" s="2"/>
      <c r="L245" s="2"/>
      <c r="M245" s="2"/>
      <c r="N245" s="2"/>
      <c r="O245" s="2"/>
      <c r="P245" s="2"/>
      <c r="Q245" s="2"/>
      <c r="R245" s="9"/>
      <c r="S245" s="9"/>
      <c r="T245" s="9"/>
      <c r="U245" s="9"/>
      <c r="V245" s="9"/>
      <c r="W245" s="9"/>
      <c r="X245" s="9"/>
      <c r="Y245" s="9"/>
      <c r="Z245" s="9"/>
      <c r="AA245" s="9"/>
      <c r="AB245" s="9"/>
      <c r="AC245" s="9"/>
      <c r="AD245" s="9"/>
    </row>
    <row r="246" spans="1:30" ht="13.5" customHeight="1" x14ac:dyDescent="0.25">
      <c r="A246" s="2"/>
      <c r="B246" s="2"/>
      <c r="C246" s="2"/>
      <c r="D246" s="2"/>
      <c r="E246" s="2"/>
      <c r="F246" s="2"/>
      <c r="G246" s="2"/>
      <c r="H246" s="2"/>
      <c r="I246" s="2"/>
      <c r="J246" s="2"/>
      <c r="K246" s="2"/>
      <c r="L246" s="2"/>
      <c r="M246" s="2"/>
      <c r="N246" s="2"/>
      <c r="O246" s="2"/>
      <c r="P246" s="2"/>
      <c r="Q246" s="2"/>
      <c r="R246" s="9"/>
      <c r="S246" s="9"/>
      <c r="T246" s="9"/>
      <c r="U246" s="9"/>
      <c r="V246" s="9"/>
      <c r="W246" s="9"/>
      <c r="X246" s="9"/>
      <c r="Y246" s="9"/>
      <c r="Z246" s="9"/>
      <c r="AA246" s="9"/>
      <c r="AB246" s="9"/>
      <c r="AC246" s="9"/>
      <c r="AD246" s="9"/>
    </row>
    <row r="247" spans="1:30" ht="13.5" customHeight="1" x14ac:dyDescent="0.25">
      <c r="A247" s="2"/>
      <c r="B247" s="2"/>
      <c r="C247" s="2"/>
      <c r="D247" s="2"/>
      <c r="E247" s="2"/>
      <c r="F247" s="2"/>
      <c r="G247" s="2"/>
      <c r="H247" s="2"/>
      <c r="I247" s="2"/>
      <c r="J247" s="2"/>
      <c r="K247" s="2"/>
      <c r="L247" s="2"/>
      <c r="M247" s="2"/>
      <c r="N247" s="2"/>
      <c r="O247" s="2"/>
      <c r="P247" s="2"/>
      <c r="Q247" s="2"/>
      <c r="R247" s="9"/>
      <c r="S247" s="9"/>
      <c r="T247" s="9"/>
      <c r="U247" s="9"/>
      <c r="V247" s="9"/>
      <c r="W247" s="9"/>
      <c r="X247" s="9"/>
      <c r="Y247" s="9"/>
      <c r="Z247" s="9"/>
      <c r="AA247" s="9"/>
      <c r="AB247" s="9"/>
      <c r="AC247" s="9"/>
      <c r="AD247" s="9"/>
    </row>
    <row r="248" spans="1:30" ht="13.5" customHeight="1" x14ac:dyDescent="0.25">
      <c r="A248" s="2"/>
      <c r="B248" s="2"/>
      <c r="C248" s="2"/>
      <c r="D248" s="2"/>
      <c r="E248" s="2"/>
      <c r="F248" s="2"/>
      <c r="G248" s="2"/>
      <c r="H248" s="2"/>
      <c r="I248" s="2"/>
      <c r="J248" s="2"/>
      <c r="K248" s="2"/>
      <c r="L248" s="2"/>
      <c r="M248" s="2"/>
      <c r="N248" s="2"/>
      <c r="O248" s="2"/>
      <c r="P248" s="2"/>
      <c r="Q248" s="2"/>
      <c r="R248" s="9"/>
      <c r="S248" s="9"/>
      <c r="T248" s="9"/>
      <c r="U248" s="9"/>
      <c r="V248" s="9"/>
      <c r="W248" s="9"/>
      <c r="X248" s="9"/>
      <c r="Y248" s="9"/>
      <c r="Z248" s="9"/>
      <c r="AA248" s="9"/>
      <c r="AB248" s="9"/>
      <c r="AC248" s="9"/>
      <c r="AD248" s="9"/>
    </row>
    <row r="249" spans="1:30" ht="13.5" customHeight="1" x14ac:dyDescent="0.25">
      <c r="A249" s="2"/>
      <c r="B249" s="2"/>
      <c r="C249" s="2"/>
      <c r="D249" s="2"/>
      <c r="E249" s="2"/>
      <c r="F249" s="2"/>
      <c r="G249" s="2"/>
      <c r="H249" s="2"/>
      <c r="I249" s="2"/>
      <c r="J249" s="2"/>
      <c r="K249" s="2"/>
      <c r="L249" s="2"/>
      <c r="M249" s="2"/>
      <c r="N249" s="2"/>
      <c r="O249" s="2"/>
      <c r="P249" s="2"/>
      <c r="Q249" s="2"/>
      <c r="R249" s="9"/>
      <c r="S249" s="9"/>
      <c r="T249" s="9"/>
      <c r="U249" s="9"/>
      <c r="V249" s="9"/>
      <c r="W249" s="9"/>
      <c r="X249" s="9"/>
      <c r="Y249" s="9"/>
      <c r="Z249" s="9"/>
      <c r="AA249" s="9"/>
      <c r="AB249" s="9"/>
      <c r="AC249" s="9"/>
      <c r="AD249" s="9"/>
    </row>
    <row r="250" spans="1:30" ht="13.5" customHeight="1" x14ac:dyDescent="0.25">
      <c r="A250" s="2"/>
      <c r="B250" s="2"/>
      <c r="C250" s="2"/>
      <c r="D250" s="2"/>
      <c r="E250" s="2"/>
      <c r="F250" s="2"/>
      <c r="G250" s="2"/>
      <c r="H250" s="2"/>
      <c r="I250" s="2"/>
      <c r="J250" s="2"/>
      <c r="K250" s="2"/>
      <c r="L250" s="2"/>
      <c r="M250" s="2"/>
      <c r="N250" s="2"/>
      <c r="O250" s="2"/>
      <c r="P250" s="2"/>
      <c r="Q250" s="2"/>
      <c r="R250" s="9"/>
      <c r="S250" s="9"/>
      <c r="T250" s="9"/>
      <c r="U250" s="9"/>
      <c r="V250" s="9"/>
      <c r="W250" s="9"/>
      <c r="X250" s="9"/>
      <c r="Y250" s="9"/>
      <c r="Z250" s="9"/>
      <c r="AA250" s="9"/>
      <c r="AB250" s="9"/>
      <c r="AC250" s="9"/>
      <c r="AD250" s="9"/>
    </row>
    <row r="251" spans="1:30" ht="13.5" customHeight="1" x14ac:dyDescent="0.25">
      <c r="A251" s="2"/>
      <c r="B251" s="2"/>
      <c r="C251" s="2"/>
      <c r="D251" s="2"/>
      <c r="E251" s="2"/>
      <c r="F251" s="2"/>
      <c r="G251" s="2"/>
      <c r="H251" s="2"/>
      <c r="I251" s="2"/>
      <c r="J251" s="2"/>
      <c r="K251" s="2"/>
      <c r="L251" s="2"/>
      <c r="M251" s="2"/>
      <c r="N251" s="2"/>
      <c r="O251" s="2"/>
      <c r="P251" s="2"/>
      <c r="Q251" s="2"/>
      <c r="R251" s="9"/>
      <c r="S251" s="9"/>
      <c r="T251" s="9"/>
      <c r="U251" s="9"/>
      <c r="V251" s="9"/>
      <c r="W251" s="9"/>
      <c r="X251" s="9"/>
      <c r="Y251" s="9"/>
      <c r="Z251" s="9"/>
      <c r="AA251" s="9"/>
      <c r="AB251" s="9"/>
      <c r="AC251" s="9"/>
      <c r="AD251" s="9"/>
    </row>
    <row r="252" spans="1:30" ht="13.5" customHeight="1" x14ac:dyDescent="0.25">
      <c r="A252" s="2"/>
      <c r="B252" s="2"/>
      <c r="C252" s="2"/>
      <c r="D252" s="2"/>
      <c r="E252" s="2"/>
      <c r="F252" s="2"/>
      <c r="G252" s="2"/>
      <c r="H252" s="2"/>
      <c r="I252" s="2"/>
      <c r="J252" s="2"/>
      <c r="K252" s="2"/>
      <c r="L252" s="2"/>
      <c r="M252" s="2"/>
      <c r="N252" s="2"/>
      <c r="O252" s="2"/>
      <c r="P252" s="2"/>
      <c r="Q252" s="2"/>
      <c r="R252" s="9"/>
      <c r="S252" s="9"/>
      <c r="T252" s="9"/>
      <c r="U252" s="9"/>
      <c r="V252" s="9"/>
      <c r="W252" s="9"/>
      <c r="X252" s="9"/>
      <c r="Y252" s="9"/>
      <c r="Z252" s="9"/>
      <c r="AA252" s="9"/>
      <c r="AB252" s="9"/>
      <c r="AC252" s="9"/>
      <c r="AD252" s="9"/>
    </row>
    <row r="253" spans="1:30" ht="13.5" customHeight="1" x14ac:dyDescent="0.25">
      <c r="A253" s="2"/>
      <c r="B253" s="2"/>
      <c r="C253" s="2"/>
      <c r="D253" s="2"/>
      <c r="E253" s="2"/>
      <c r="F253" s="2"/>
      <c r="G253" s="2"/>
      <c r="H253" s="2"/>
      <c r="I253" s="2"/>
      <c r="J253" s="2"/>
      <c r="K253" s="2"/>
      <c r="L253" s="2"/>
      <c r="M253" s="2"/>
      <c r="N253" s="2"/>
      <c r="O253" s="2"/>
      <c r="P253" s="2"/>
      <c r="Q253" s="2"/>
      <c r="R253" s="9"/>
      <c r="S253" s="9"/>
      <c r="T253" s="9"/>
      <c r="U253" s="9"/>
      <c r="V253" s="9"/>
      <c r="W253" s="9"/>
      <c r="X253" s="9"/>
      <c r="Y253" s="9"/>
      <c r="Z253" s="9"/>
      <c r="AA253" s="9"/>
      <c r="AB253" s="9"/>
      <c r="AC253" s="9"/>
      <c r="AD253" s="9"/>
    </row>
    <row r="254" spans="1:30" ht="13.5" customHeight="1" x14ac:dyDescent="0.25">
      <c r="A254" s="2"/>
      <c r="B254" s="2"/>
      <c r="C254" s="2"/>
      <c r="D254" s="2"/>
      <c r="E254" s="2"/>
      <c r="F254" s="2"/>
      <c r="G254" s="2"/>
      <c r="H254" s="2"/>
      <c r="I254" s="2"/>
      <c r="J254" s="2"/>
      <c r="K254" s="2"/>
      <c r="L254" s="2"/>
      <c r="M254" s="2"/>
      <c r="N254" s="2"/>
      <c r="O254" s="2"/>
      <c r="P254" s="2"/>
      <c r="Q254" s="2"/>
      <c r="R254" s="9"/>
      <c r="S254" s="9"/>
      <c r="T254" s="9"/>
      <c r="U254" s="9"/>
      <c r="V254" s="9"/>
      <c r="W254" s="9"/>
      <c r="X254" s="9"/>
      <c r="Y254" s="9"/>
      <c r="Z254" s="9"/>
      <c r="AA254" s="9"/>
      <c r="AB254" s="9"/>
      <c r="AC254" s="9"/>
      <c r="AD254" s="9"/>
    </row>
    <row r="255" spans="1:30" ht="13.5" customHeight="1" x14ac:dyDescent="0.25">
      <c r="A255" s="2"/>
      <c r="B255" s="2"/>
      <c r="C255" s="2"/>
      <c r="D255" s="2"/>
      <c r="E255" s="2"/>
      <c r="F255" s="2"/>
      <c r="G255" s="2"/>
      <c r="H255" s="2"/>
      <c r="I255" s="2"/>
      <c r="J255" s="2"/>
      <c r="K255" s="2"/>
      <c r="L255" s="2"/>
      <c r="M255" s="2"/>
      <c r="N255" s="2"/>
      <c r="O255" s="2"/>
      <c r="P255" s="2"/>
      <c r="Q255" s="2"/>
      <c r="R255" s="9"/>
      <c r="S255" s="9"/>
      <c r="T255" s="9"/>
      <c r="U255" s="9"/>
      <c r="V255" s="9"/>
      <c r="W255" s="9"/>
      <c r="X255" s="9"/>
      <c r="Y255" s="9"/>
      <c r="Z255" s="9"/>
      <c r="AA255" s="9"/>
      <c r="AB255" s="9"/>
      <c r="AC255" s="9"/>
      <c r="AD255" s="9"/>
    </row>
    <row r="256" spans="1:30" ht="13.5" customHeight="1" x14ac:dyDescent="0.25">
      <c r="A256" s="2"/>
      <c r="B256" s="2"/>
      <c r="C256" s="2"/>
      <c r="D256" s="2"/>
      <c r="E256" s="2"/>
      <c r="F256" s="2"/>
      <c r="G256" s="2"/>
      <c r="H256" s="2"/>
      <c r="I256" s="2"/>
      <c r="J256" s="2"/>
      <c r="K256" s="2"/>
      <c r="L256" s="2"/>
      <c r="M256" s="2"/>
      <c r="N256" s="2"/>
      <c r="O256" s="2"/>
      <c r="P256" s="2"/>
      <c r="Q256" s="2"/>
      <c r="R256" s="9"/>
      <c r="S256" s="9"/>
      <c r="T256" s="9"/>
      <c r="U256" s="9"/>
      <c r="V256" s="9"/>
      <c r="W256" s="9"/>
      <c r="X256" s="9"/>
      <c r="Y256" s="9"/>
      <c r="Z256" s="9"/>
      <c r="AA256" s="9"/>
      <c r="AB256" s="9"/>
      <c r="AC256" s="9"/>
      <c r="AD256" s="9"/>
    </row>
    <row r="257" spans="1:30" ht="13.5" customHeight="1" x14ac:dyDescent="0.25">
      <c r="A257" s="2"/>
      <c r="B257" s="2"/>
      <c r="C257" s="2"/>
      <c r="D257" s="2"/>
      <c r="E257" s="2"/>
      <c r="F257" s="2"/>
      <c r="G257" s="2"/>
      <c r="H257" s="2"/>
      <c r="I257" s="2"/>
      <c r="J257" s="2"/>
      <c r="K257" s="2"/>
      <c r="L257" s="2"/>
      <c r="M257" s="2"/>
      <c r="N257" s="2"/>
      <c r="O257" s="2"/>
      <c r="P257" s="2"/>
      <c r="Q257" s="2"/>
      <c r="R257" s="9"/>
      <c r="S257" s="9"/>
      <c r="T257" s="9"/>
      <c r="U257" s="9"/>
      <c r="V257" s="9"/>
      <c r="W257" s="9"/>
      <c r="X257" s="9"/>
      <c r="Y257" s="9"/>
      <c r="Z257" s="9"/>
      <c r="AA257" s="9"/>
      <c r="AB257" s="9"/>
      <c r="AC257" s="9"/>
      <c r="AD257" s="9"/>
    </row>
    <row r="258" spans="1:30" ht="13.5" customHeight="1" x14ac:dyDescent="0.25">
      <c r="A258" s="2"/>
      <c r="B258" s="2"/>
      <c r="C258" s="2"/>
      <c r="D258" s="2"/>
      <c r="E258" s="2"/>
      <c r="F258" s="2"/>
      <c r="G258" s="2"/>
      <c r="H258" s="2"/>
      <c r="I258" s="2"/>
      <c r="J258" s="2"/>
      <c r="K258" s="2"/>
      <c r="L258" s="2"/>
      <c r="M258" s="2"/>
      <c r="N258" s="2"/>
      <c r="O258" s="2"/>
      <c r="P258" s="2"/>
      <c r="Q258" s="2"/>
      <c r="R258" s="9"/>
      <c r="S258" s="9"/>
      <c r="T258" s="9"/>
      <c r="U258" s="9"/>
      <c r="V258" s="9"/>
      <c r="W258" s="9"/>
      <c r="X258" s="9"/>
      <c r="Y258" s="9"/>
      <c r="Z258" s="9"/>
      <c r="AA258" s="9"/>
      <c r="AB258" s="9"/>
      <c r="AC258" s="9"/>
      <c r="AD258" s="9"/>
    </row>
    <row r="259" spans="1:30" ht="13.5" customHeight="1" x14ac:dyDescent="0.25">
      <c r="A259" s="2"/>
      <c r="B259" s="2"/>
      <c r="C259" s="2"/>
      <c r="D259" s="2"/>
      <c r="E259" s="2"/>
      <c r="F259" s="2"/>
      <c r="G259" s="2"/>
      <c r="H259" s="2"/>
      <c r="I259" s="2"/>
      <c r="J259" s="2"/>
      <c r="K259" s="2"/>
      <c r="L259" s="2"/>
      <c r="M259" s="2"/>
      <c r="N259" s="2"/>
      <c r="O259" s="2"/>
      <c r="P259" s="2"/>
      <c r="Q259" s="2"/>
      <c r="R259" s="9"/>
      <c r="S259" s="9"/>
      <c r="T259" s="9"/>
      <c r="U259" s="9"/>
      <c r="V259" s="9"/>
      <c r="W259" s="9"/>
      <c r="X259" s="9"/>
      <c r="Y259" s="9"/>
      <c r="Z259" s="9"/>
      <c r="AA259" s="9"/>
      <c r="AB259" s="9"/>
      <c r="AC259" s="9"/>
      <c r="AD259" s="9"/>
    </row>
    <row r="260" spans="1:30" ht="13.5" customHeight="1" x14ac:dyDescent="0.25">
      <c r="A260" s="2"/>
      <c r="B260" s="2"/>
      <c r="C260" s="2"/>
      <c r="D260" s="2"/>
      <c r="E260" s="2"/>
      <c r="F260" s="2"/>
      <c r="G260" s="2"/>
      <c r="H260" s="2"/>
      <c r="I260" s="2"/>
      <c r="J260" s="2"/>
      <c r="K260" s="2"/>
      <c r="L260" s="2"/>
      <c r="M260" s="2"/>
      <c r="N260" s="2"/>
      <c r="O260" s="2"/>
      <c r="P260" s="2"/>
      <c r="Q260" s="2"/>
      <c r="R260" s="9"/>
      <c r="S260" s="9"/>
      <c r="T260" s="9"/>
      <c r="U260" s="9"/>
      <c r="V260" s="9"/>
      <c r="W260" s="9"/>
      <c r="X260" s="9"/>
      <c r="Y260" s="9"/>
      <c r="Z260" s="9"/>
      <c r="AA260" s="9"/>
      <c r="AB260" s="9"/>
      <c r="AC260" s="9"/>
      <c r="AD260" s="9"/>
    </row>
    <row r="261" spans="1:30" ht="13.5" customHeight="1" x14ac:dyDescent="0.25">
      <c r="A261" s="2"/>
      <c r="B261" s="2"/>
      <c r="C261" s="2"/>
      <c r="D261" s="2"/>
      <c r="E261" s="2"/>
      <c r="F261" s="2"/>
      <c r="G261" s="2"/>
      <c r="H261" s="2"/>
      <c r="I261" s="2"/>
      <c r="J261" s="2"/>
      <c r="K261" s="2"/>
      <c r="L261" s="2"/>
      <c r="M261" s="2"/>
      <c r="N261" s="2"/>
      <c r="O261" s="2"/>
      <c r="P261" s="2"/>
      <c r="Q261" s="2"/>
      <c r="R261" s="9"/>
      <c r="S261" s="9"/>
      <c r="T261" s="9"/>
      <c r="U261" s="9"/>
      <c r="V261" s="9"/>
      <c r="W261" s="9"/>
      <c r="X261" s="9"/>
      <c r="Y261" s="9"/>
      <c r="Z261" s="9"/>
      <c r="AA261" s="9"/>
      <c r="AB261" s="9"/>
      <c r="AC261" s="9"/>
      <c r="AD261" s="9"/>
    </row>
    <row r="262" spans="1:30" ht="13.5" customHeight="1" x14ac:dyDescent="0.25">
      <c r="A262" s="2"/>
      <c r="B262" s="2"/>
      <c r="C262" s="2"/>
      <c r="D262" s="2"/>
      <c r="E262" s="2"/>
      <c r="F262" s="2"/>
      <c r="G262" s="2"/>
      <c r="H262" s="2"/>
      <c r="I262" s="2"/>
      <c r="J262" s="2"/>
      <c r="K262" s="2"/>
      <c r="L262" s="2"/>
      <c r="M262" s="2"/>
      <c r="N262" s="2"/>
      <c r="O262" s="2"/>
      <c r="P262" s="2"/>
      <c r="Q262" s="2"/>
      <c r="R262" s="9"/>
      <c r="S262" s="9"/>
      <c r="T262" s="9"/>
      <c r="U262" s="9"/>
      <c r="V262" s="9"/>
      <c r="W262" s="9"/>
      <c r="X262" s="9"/>
      <c r="Y262" s="9"/>
      <c r="Z262" s="9"/>
      <c r="AA262" s="9"/>
      <c r="AB262" s="9"/>
      <c r="AC262" s="9"/>
      <c r="AD262" s="9"/>
    </row>
    <row r="263" spans="1:30" ht="13.5" customHeight="1" x14ac:dyDescent="0.25">
      <c r="A263" s="2"/>
      <c r="B263" s="2"/>
      <c r="C263" s="2"/>
      <c r="D263" s="2"/>
      <c r="E263" s="2"/>
      <c r="F263" s="2"/>
      <c r="G263" s="2"/>
      <c r="H263" s="2"/>
      <c r="I263" s="2"/>
      <c r="J263" s="2"/>
      <c r="K263" s="2"/>
      <c r="L263" s="2"/>
      <c r="M263" s="2"/>
      <c r="N263" s="2"/>
      <c r="O263" s="2"/>
      <c r="P263" s="2"/>
      <c r="Q263" s="2"/>
      <c r="R263" s="9"/>
      <c r="S263" s="9"/>
      <c r="T263" s="9"/>
      <c r="U263" s="9"/>
      <c r="V263" s="9"/>
      <c r="W263" s="9"/>
      <c r="X263" s="9"/>
      <c r="Y263" s="9"/>
      <c r="Z263" s="9"/>
      <c r="AA263" s="9"/>
      <c r="AB263" s="9"/>
      <c r="AC263" s="9"/>
      <c r="AD263" s="9"/>
    </row>
    <row r="264" spans="1:30" ht="13.5" customHeight="1" x14ac:dyDescent="0.25">
      <c r="A264" s="2"/>
      <c r="B264" s="2"/>
      <c r="C264" s="2"/>
      <c r="D264" s="2"/>
      <c r="E264" s="2"/>
      <c r="F264" s="2"/>
      <c r="G264" s="2"/>
      <c r="H264" s="2"/>
      <c r="I264" s="2"/>
      <c r="J264" s="2"/>
      <c r="K264" s="2"/>
      <c r="L264" s="2"/>
      <c r="M264" s="2"/>
      <c r="N264" s="2"/>
      <c r="O264" s="2"/>
      <c r="P264" s="2"/>
      <c r="Q264" s="2"/>
      <c r="R264" s="9"/>
      <c r="S264" s="9"/>
      <c r="T264" s="9"/>
      <c r="U264" s="9"/>
      <c r="V264" s="9"/>
      <c r="W264" s="9"/>
      <c r="X264" s="9"/>
      <c r="Y264" s="9"/>
      <c r="Z264" s="9"/>
      <c r="AA264" s="9"/>
      <c r="AB264" s="9"/>
      <c r="AC264" s="9"/>
      <c r="AD264" s="9"/>
    </row>
    <row r="265" spans="1:30" ht="13.5" customHeight="1" x14ac:dyDescent="0.25">
      <c r="A265" s="2"/>
      <c r="B265" s="2"/>
      <c r="C265" s="2"/>
      <c r="D265" s="2"/>
      <c r="E265" s="2"/>
      <c r="F265" s="2"/>
      <c r="G265" s="2"/>
      <c r="H265" s="2"/>
      <c r="I265" s="2"/>
      <c r="J265" s="2"/>
      <c r="K265" s="2"/>
      <c r="L265" s="2"/>
      <c r="M265" s="2"/>
      <c r="N265" s="2"/>
      <c r="O265" s="2"/>
      <c r="P265" s="2"/>
      <c r="Q265" s="2"/>
      <c r="R265" s="9"/>
      <c r="S265" s="9"/>
      <c r="T265" s="9"/>
      <c r="U265" s="9"/>
      <c r="V265" s="9"/>
      <c r="W265" s="9"/>
      <c r="X265" s="9"/>
      <c r="Y265" s="9"/>
      <c r="Z265" s="9"/>
      <c r="AA265" s="9"/>
      <c r="AB265" s="9"/>
      <c r="AC265" s="9"/>
      <c r="AD265" s="9"/>
    </row>
    <row r="266" spans="1:30" ht="13.5" customHeight="1" x14ac:dyDescent="0.25">
      <c r="A266" s="2"/>
      <c r="B266" s="2"/>
      <c r="C266" s="2"/>
      <c r="D266" s="2"/>
      <c r="E266" s="2"/>
      <c r="F266" s="2"/>
      <c r="G266" s="2"/>
      <c r="H266" s="2"/>
      <c r="I266" s="2"/>
      <c r="J266" s="2"/>
      <c r="K266" s="2"/>
      <c r="L266" s="2"/>
      <c r="M266" s="2"/>
      <c r="N266" s="2"/>
      <c r="O266" s="2"/>
      <c r="P266" s="2"/>
      <c r="Q266" s="2"/>
      <c r="R266" s="9"/>
      <c r="S266" s="9"/>
      <c r="T266" s="9"/>
      <c r="U266" s="9"/>
      <c r="V266" s="9"/>
      <c r="W266" s="9"/>
      <c r="X266" s="9"/>
      <c r="Y266" s="9"/>
      <c r="Z266" s="9"/>
      <c r="AA266" s="9"/>
      <c r="AB266" s="9"/>
      <c r="AC266" s="9"/>
      <c r="AD266" s="9"/>
    </row>
    <row r="267" spans="1:30" ht="13.5" customHeight="1" x14ac:dyDescent="0.25">
      <c r="A267" s="2"/>
      <c r="B267" s="2"/>
      <c r="C267" s="2"/>
      <c r="D267" s="2"/>
      <c r="E267" s="2"/>
      <c r="F267" s="2"/>
      <c r="G267" s="2"/>
      <c r="H267" s="2"/>
      <c r="I267" s="2"/>
      <c r="J267" s="2"/>
      <c r="K267" s="2"/>
      <c r="L267" s="2"/>
      <c r="M267" s="2"/>
      <c r="N267" s="2"/>
      <c r="O267" s="2"/>
      <c r="P267" s="2"/>
      <c r="Q267" s="2"/>
      <c r="R267" s="9"/>
      <c r="S267" s="9"/>
      <c r="T267" s="9"/>
      <c r="U267" s="9"/>
      <c r="V267" s="9"/>
      <c r="W267" s="9"/>
      <c r="X267" s="9"/>
      <c r="Y267" s="9"/>
      <c r="Z267" s="9"/>
      <c r="AA267" s="9"/>
      <c r="AB267" s="9"/>
      <c r="AC267" s="9"/>
      <c r="AD267" s="9"/>
    </row>
    <row r="268" spans="1:30" ht="13.5" customHeight="1" x14ac:dyDescent="0.25">
      <c r="A268" s="2"/>
      <c r="B268" s="2"/>
      <c r="C268" s="2"/>
      <c r="D268" s="2"/>
      <c r="E268" s="2"/>
      <c r="F268" s="2"/>
      <c r="G268" s="2"/>
      <c r="H268" s="2"/>
      <c r="I268" s="2"/>
      <c r="J268" s="2"/>
      <c r="K268" s="2"/>
      <c r="L268" s="2"/>
      <c r="M268" s="2"/>
      <c r="N268" s="2"/>
      <c r="O268" s="2"/>
      <c r="P268" s="2"/>
      <c r="Q268" s="2"/>
      <c r="R268" s="9"/>
      <c r="S268" s="9"/>
      <c r="T268" s="9"/>
      <c r="U268" s="9"/>
      <c r="V268" s="9"/>
      <c r="W268" s="9"/>
      <c r="X268" s="9"/>
      <c r="Y268" s="9"/>
      <c r="Z268" s="9"/>
      <c r="AA268" s="9"/>
      <c r="AB268" s="9"/>
      <c r="AC268" s="9"/>
      <c r="AD268" s="9"/>
    </row>
    <row r="269" spans="1:30" ht="13.5" customHeight="1" x14ac:dyDescent="0.25">
      <c r="A269" s="2"/>
      <c r="B269" s="2"/>
      <c r="C269" s="2"/>
      <c r="D269" s="2"/>
      <c r="E269" s="2"/>
      <c r="F269" s="2"/>
      <c r="G269" s="2"/>
      <c r="H269" s="2"/>
      <c r="I269" s="2"/>
      <c r="J269" s="2"/>
      <c r="K269" s="2"/>
      <c r="L269" s="2"/>
      <c r="M269" s="2"/>
      <c r="N269" s="2"/>
      <c r="O269" s="2"/>
      <c r="P269" s="2"/>
      <c r="Q269" s="2"/>
      <c r="R269" s="9"/>
      <c r="S269" s="9"/>
      <c r="T269" s="9"/>
      <c r="U269" s="9"/>
      <c r="V269" s="9"/>
      <c r="W269" s="9"/>
      <c r="X269" s="9"/>
      <c r="Y269" s="9"/>
      <c r="Z269" s="9"/>
      <c r="AA269" s="9"/>
      <c r="AB269" s="9"/>
      <c r="AC269" s="9"/>
      <c r="AD269" s="9"/>
    </row>
    <row r="270" spans="1:30" ht="13.5" customHeight="1" x14ac:dyDescent="0.25">
      <c r="A270" s="2"/>
      <c r="B270" s="2"/>
      <c r="C270" s="2"/>
      <c r="D270" s="2"/>
      <c r="E270" s="2"/>
      <c r="F270" s="2"/>
      <c r="G270" s="2"/>
      <c r="H270" s="2"/>
      <c r="I270" s="2"/>
      <c r="J270" s="2"/>
      <c r="K270" s="2"/>
      <c r="L270" s="2"/>
      <c r="M270" s="2"/>
      <c r="N270" s="2"/>
      <c r="O270" s="2"/>
      <c r="P270" s="2"/>
      <c r="Q270" s="2"/>
      <c r="R270" s="9"/>
      <c r="S270" s="9"/>
      <c r="T270" s="9"/>
      <c r="U270" s="9"/>
      <c r="V270" s="9"/>
      <c r="W270" s="9"/>
      <c r="X270" s="9"/>
      <c r="Y270" s="9"/>
      <c r="Z270" s="9"/>
      <c r="AA270" s="9"/>
      <c r="AB270" s="9"/>
      <c r="AC270" s="9"/>
      <c r="AD270" s="9"/>
    </row>
    <row r="271" spans="1:30" ht="13.5" customHeight="1" x14ac:dyDescent="0.25">
      <c r="A271" s="2"/>
      <c r="B271" s="2"/>
      <c r="C271" s="2"/>
      <c r="D271" s="2"/>
      <c r="E271" s="2"/>
      <c r="F271" s="2"/>
      <c r="G271" s="2"/>
      <c r="H271" s="2"/>
      <c r="I271" s="2"/>
      <c r="J271" s="2"/>
      <c r="K271" s="2"/>
      <c r="L271" s="2"/>
      <c r="M271" s="2"/>
      <c r="N271" s="2"/>
      <c r="O271" s="2"/>
      <c r="P271" s="2"/>
      <c r="Q271" s="2"/>
      <c r="R271" s="9"/>
      <c r="S271" s="9"/>
      <c r="T271" s="9"/>
      <c r="U271" s="9"/>
      <c r="V271" s="9"/>
      <c r="W271" s="9"/>
      <c r="X271" s="9"/>
      <c r="Y271" s="9"/>
      <c r="Z271" s="9"/>
      <c r="AA271" s="9"/>
      <c r="AB271" s="9"/>
      <c r="AC271" s="9"/>
      <c r="AD271" s="9"/>
    </row>
    <row r="272" spans="1:30" ht="13.5" customHeight="1" x14ac:dyDescent="0.25">
      <c r="A272" s="2"/>
      <c r="B272" s="2"/>
      <c r="C272" s="2"/>
      <c r="D272" s="2"/>
      <c r="E272" s="2"/>
      <c r="F272" s="2"/>
      <c r="G272" s="2"/>
      <c r="H272" s="2"/>
      <c r="I272" s="2"/>
      <c r="J272" s="2"/>
      <c r="K272" s="2"/>
      <c r="L272" s="2"/>
      <c r="M272" s="2"/>
      <c r="N272" s="2"/>
      <c r="O272" s="2"/>
      <c r="P272" s="2"/>
      <c r="Q272" s="2"/>
      <c r="R272" s="9"/>
      <c r="S272" s="9"/>
      <c r="T272" s="9"/>
      <c r="U272" s="9"/>
      <c r="V272" s="9"/>
      <c r="W272" s="9"/>
      <c r="X272" s="9"/>
      <c r="Y272" s="9"/>
      <c r="Z272" s="9"/>
      <c r="AA272" s="9"/>
      <c r="AB272" s="9"/>
      <c r="AC272" s="9"/>
      <c r="AD272" s="9"/>
    </row>
    <row r="273" spans="1:30" ht="13.5" customHeight="1" x14ac:dyDescent="0.25">
      <c r="A273" s="2"/>
      <c r="B273" s="2"/>
      <c r="C273" s="2"/>
      <c r="D273" s="2"/>
      <c r="E273" s="2"/>
      <c r="F273" s="2"/>
      <c r="G273" s="2"/>
      <c r="H273" s="2"/>
      <c r="I273" s="2"/>
      <c r="J273" s="2"/>
      <c r="K273" s="2"/>
      <c r="L273" s="2"/>
      <c r="M273" s="2"/>
      <c r="N273" s="2"/>
      <c r="O273" s="2"/>
      <c r="P273" s="2"/>
      <c r="Q273" s="2"/>
      <c r="R273" s="9"/>
      <c r="S273" s="9"/>
      <c r="T273" s="9"/>
      <c r="U273" s="9"/>
      <c r="V273" s="9"/>
      <c r="W273" s="9"/>
      <c r="X273" s="9"/>
      <c r="Y273" s="9"/>
      <c r="Z273" s="9"/>
      <c r="AA273" s="9"/>
      <c r="AB273" s="9"/>
      <c r="AC273" s="9"/>
      <c r="AD273" s="9"/>
    </row>
    <row r="274" spans="1:30" ht="13.5" customHeight="1" x14ac:dyDescent="0.25">
      <c r="A274" s="2"/>
      <c r="B274" s="2"/>
      <c r="C274" s="2"/>
      <c r="D274" s="2"/>
      <c r="E274" s="2"/>
      <c r="F274" s="2"/>
      <c r="G274" s="2"/>
      <c r="H274" s="2"/>
      <c r="I274" s="2"/>
      <c r="J274" s="2"/>
      <c r="K274" s="2"/>
      <c r="L274" s="2"/>
      <c r="M274" s="2"/>
      <c r="N274" s="2"/>
      <c r="O274" s="2"/>
      <c r="P274" s="2"/>
      <c r="Q274" s="2"/>
      <c r="R274" s="9"/>
      <c r="S274" s="9"/>
      <c r="T274" s="9"/>
      <c r="U274" s="9"/>
      <c r="V274" s="9"/>
      <c r="W274" s="9"/>
      <c r="X274" s="9"/>
      <c r="Y274" s="9"/>
      <c r="Z274" s="9"/>
      <c r="AA274" s="9"/>
      <c r="AB274" s="9"/>
      <c r="AC274" s="9"/>
      <c r="AD274" s="9"/>
    </row>
    <row r="275" spans="1:30" ht="13.5" customHeight="1" x14ac:dyDescent="0.25">
      <c r="A275" s="2"/>
      <c r="B275" s="2"/>
      <c r="C275" s="2"/>
      <c r="D275" s="2"/>
      <c r="E275" s="2"/>
      <c r="F275" s="2"/>
      <c r="G275" s="2"/>
      <c r="H275" s="2"/>
      <c r="I275" s="2"/>
      <c r="J275" s="2"/>
      <c r="K275" s="2"/>
      <c r="L275" s="2"/>
      <c r="M275" s="2"/>
      <c r="N275" s="2"/>
      <c r="O275" s="2"/>
      <c r="P275" s="2"/>
      <c r="Q275" s="2"/>
      <c r="R275" s="9"/>
      <c r="S275" s="9"/>
      <c r="T275" s="9"/>
      <c r="U275" s="9"/>
      <c r="V275" s="9"/>
      <c r="W275" s="9"/>
      <c r="X275" s="9"/>
      <c r="Y275" s="9"/>
      <c r="Z275" s="9"/>
      <c r="AA275" s="9"/>
      <c r="AB275" s="9"/>
      <c r="AC275" s="9"/>
      <c r="AD275" s="9"/>
    </row>
    <row r="276" spans="1:30" ht="13.5" customHeight="1" x14ac:dyDescent="0.25">
      <c r="A276" s="2"/>
      <c r="B276" s="2"/>
      <c r="C276" s="2"/>
      <c r="D276" s="2"/>
      <c r="E276" s="2"/>
      <c r="F276" s="2"/>
      <c r="G276" s="2"/>
      <c r="H276" s="2"/>
      <c r="I276" s="2"/>
      <c r="J276" s="2"/>
      <c r="K276" s="2"/>
      <c r="L276" s="2"/>
      <c r="M276" s="2"/>
      <c r="N276" s="2"/>
      <c r="O276" s="2"/>
      <c r="P276" s="2"/>
      <c r="Q276" s="2"/>
      <c r="R276" s="9"/>
      <c r="S276" s="9"/>
      <c r="T276" s="9"/>
      <c r="U276" s="9"/>
      <c r="V276" s="9"/>
      <c r="W276" s="9"/>
      <c r="X276" s="9"/>
      <c r="Y276" s="9"/>
      <c r="Z276" s="9"/>
      <c r="AA276" s="9"/>
      <c r="AB276" s="9"/>
      <c r="AC276" s="9"/>
      <c r="AD276" s="9"/>
    </row>
    <row r="277" spans="1:30" ht="13.5" customHeight="1" x14ac:dyDescent="0.25">
      <c r="A277" s="2"/>
      <c r="B277" s="2"/>
      <c r="C277" s="2"/>
      <c r="D277" s="2"/>
      <c r="E277" s="2"/>
      <c r="F277" s="2"/>
      <c r="G277" s="2"/>
      <c r="H277" s="2"/>
      <c r="I277" s="2"/>
      <c r="J277" s="2"/>
      <c r="K277" s="2"/>
      <c r="L277" s="2"/>
      <c r="M277" s="2"/>
      <c r="N277" s="2"/>
      <c r="O277" s="2"/>
      <c r="P277" s="2"/>
      <c r="Q277" s="2"/>
      <c r="R277" s="9"/>
      <c r="S277" s="9"/>
      <c r="T277" s="9"/>
      <c r="U277" s="9"/>
      <c r="V277" s="9"/>
      <c r="W277" s="9"/>
      <c r="X277" s="9"/>
      <c r="Y277" s="9"/>
      <c r="Z277" s="9"/>
      <c r="AA277" s="9"/>
      <c r="AB277" s="9"/>
      <c r="AC277" s="9"/>
      <c r="AD277" s="9"/>
    </row>
    <row r="278" spans="1:30" ht="13.5" customHeight="1" x14ac:dyDescent="0.25">
      <c r="A278" s="2"/>
      <c r="B278" s="2"/>
      <c r="C278" s="2"/>
      <c r="D278" s="2"/>
      <c r="E278" s="2"/>
      <c r="F278" s="2"/>
      <c r="G278" s="2"/>
      <c r="H278" s="2"/>
      <c r="I278" s="2"/>
      <c r="J278" s="2"/>
      <c r="K278" s="2"/>
      <c r="L278" s="2"/>
      <c r="M278" s="2"/>
      <c r="N278" s="2"/>
      <c r="O278" s="2"/>
      <c r="P278" s="2"/>
      <c r="Q278" s="2"/>
      <c r="R278" s="9"/>
      <c r="S278" s="9"/>
      <c r="T278" s="9"/>
      <c r="U278" s="9"/>
      <c r="V278" s="9"/>
      <c r="W278" s="9"/>
      <c r="X278" s="9"/>
      <c r="Y278" s="9"/>
      <c r="Z278" s="9"/>
      <c r="AA278" s="9"/>
      <c r="AB278" s="9"/>
      <c r="AC278" s="9"/>
      <c r="AD278" s="9"/>
    </row>
    <row r="279" spans="1:30" ht="13.5" customHeight="1" x14ac:dyDescent="0.25">
      <c r="A279" s="2"/>
      <c r="B279" s="2"/>
      <c r="C279" s="2"/>
      <c r="D279" s="2"/>
      <c r="E279" s="2"/>
      <c r="F279" s="2"/>
      <c r="G279" s="2"/>
      <c r="H279" s="2"/>
      <c r="I279" s="2"/>
      <c r="J279" s="2"/>
      <c r="K279" s="2"/>
      <c r="L279" s="2"/>
      <c r="M279" s="2"/>
      <c r="N279" s="2"/>
      <c r="O279" s="2"/>
      <c r="P279" s="2"/>
      <c r="Q279" s="2"/>
      <c r="R279" s="9"/>
      <c r="S279" s="9"/>
      <c r="T279" s="9"/>
      <c r="U279" s="9"/>
      <c r="V279" s="9"/>
      <c r="W279" s="9"/>
      <c r="X279" s="9"/>
      <c r="Y279" s="9"/>
      <c r="Z279" s="9"/>
      <c r="AA279" s="9"/>
      <c r="AB279" s="9"/>
      <c r="AC279" s="9"/>
      <c r="AD279" s="9"/>
    </row>
    <row r="280" spans="1:30" ht="13.5" customHeight="1" x14ac:dyDescent="0.25">
      <c r="A280" s="2"/>
      <c r="B280" s="2"/>
      <c r="C280" s="2"/>
      <c r="D280" s="2"/>
      <c r="E280" s="2"/>
      <c r="F280" s="2"/>
      <c r="G280" s="2"/>
      <c r="H280" s="2"/>
      <c r="I280" s="2"/>
      <c r="J280" s="2"/>
      <c r="K280" s="2"/>
      <c r="L280" s="2"/>
      <c r="M280" s="2"/>
      <c r="N280" s="2"/>
      <c r="O280" s="2"/>
      <c r="P280" s="2"/>
      <c r="Q280" s="2"/>
      <c r="R280" s="9"/>
      <c r="S280" s="9"/>
      <c r="T280" s="9"/>
      <c r="U280" s="9"/>
      <c r="V280" s="9"/>
      <c r="W280" s="9"/>
      <c r="X280" s="9"/>
      <c r="Y280" s="9"/>
      <c r="Z280" s="9"/>
      <c r="AA280" s="9"/>
      <c r="AB280" s="9"/>
      <c r="AC280" s="9"/>
      <c r="AD280" s="9"/>
    </row>
    <row r="281" spans="1:30" ht="13.5" customHeight="1" x14ac:dyDescent="0.25">
      <c r="A281" s="2"/>
      <c r="B281" s="2"/>
      <c r="C281" s="2"/>
      <c r="D281" s="2"/>
      <c r="E281" s="2"/>
      <c r="F281" s="2"/>
      <c r="G281" s="2"/>
      <c r="H281" s="2"/>
      <c r="I281" s="2"/>
      <c r="J281" s="2"/>
      <c r="K281" s="2"/>
      <c r="L281" s="2"/>
      <c r="M281" s="2"/>
      <c r="N281" s="2"/>
      <c r="O281" s="2"/>
      <c r="P281" s="2"/>
      <c r="Q281" s="2"/>
      <c r="R281" s="9"/>
      <c r="S281" s="9"/>
      <c r="T281" s="9"/>
      <c r="U281" s="9"/>
      <c r="V281" s="9"/>
      <c r="W281" s="9"/>
      <c r="X281" s="9"/>
      <c r="Y281" s="9"/>
      <c r="Z281" s="9"/>
      <c r="AA281" s="9"/>
      <c r="AB281" s="9"/>
      <c r="AC281" s="9"/>
      <c r="AD281" s="9"/>
    </row>
    <row r="282" spans="1:30" ht="13.5" customHeight="1" x14ac:dyDescent="0.25">
      <c r="A282" s="2"/>
      <c r="B282" s="2"/>
      <c r="C282" s="2"/>
      <c r="D282" s="2"/>
      <c r="E282" s="2"/>
      <c r="F282" s="2"/>
      <c r="G282" s="2"/>
      <c r="H282" s="2"/>
      <c r="I282" s="2"/>
      <c r="J282" s="2"/>
      <c r="K282" s="2"/>
      <c r="L282" s="2"/>
      <c r="M282" s="2"/>
      <c r="N282" s="2"/>
      <c r="O282" s="2"/>
      <c r="P282" s="2"/>
      <c r="Q282" s="2"/>
      <c r="R282" s="9"/>
      <c r="S282" s="9"/>
      <c r="T282" s="9"/>
      <c r="U282" s="9"/>
      <c r="V282" s="9"/>
      <c r="W282" s="9"/>
      <c r="X282" s="9"/>
      <c r="Y282" s="9"/>
      <c r="Z282" s="9"/>
      <c r="AA282" s="9"/>
      <c r="AB282" s="9"/>
      <c r="AC282" s="9"/>
      <c r="AD282" s="9"/>
    </row>
    <row r="283" spans="1:30" ht="13.5" customHeight="1" x14ac:dyDescent="0.25">
      <c r="A283" s="2"/>
      <c r="B283" s="2"/>
      <c r="C283" s="2"/>
      <c r="D283" s="2"/>
      <c r="E283" s="2"/>
      <c r="F283" s="2"/>
      <c r="G283" s="2"/>
      <c r="H283" s="2"/>
      <c r="I283" s="2"/>
      <c r="J283" s="2"/>
      <c r="K283" s="2"/>
      <c r="L283" s="2"/>
      <c r="M283" s="2"/>
      <c r="N283" s="2"/>
      <c r="O283" s="2"/>
      <c r="P283" s="2"/>
      <c r="Q283" s="2"/>
      <c r="R283" s="9"/>
      <c r="S283" s="9"/>
      <c r="T283" s="9"/>
      <c r="U283" s="9"/>
      <c r="V283" s="9"/>
      <c r="W283" s="9"/>
      <c r="X283" s="9"/>
      <c r="Y283" s="9"/>
      <c r="Z283" s="9"/>
      <c r="AA283" s="9"/>
      <c r="AB283" s="9"/>
      <c r="AC283" s="9"/>
      <c r="AD283" s="9"/>
    </row>
    <row r="284" spans="1:30" ht="13.5" customHeight="1" x14ac:dyDescent="0.25">
      <c r="A284" s="2"/>
      <c r="B284" s="2"/>
      <c r="C284" s="2"/>
      <c r="D284" s="2"/>
      <c r="E284" s="2"/>
      <c r="F284" s="2"/>
      <c r="G284" s="2"/>
      <c r="H284" s="2"/>
      <c r="I284" s="2"/>
      <c r="J284" s="2"/>
      <c r="K284" s="2"/>
      <c r="L284" s="2"/>
      <c r="M284" s="2"/>
      <c r="N284" s="2"/>
      <c r="O284" s="2"/>
      <c r="P284" s="2"/>
      <c r="Q284" s="2"/>
      <c r="R284" s="9"/>
      <c r="S284" s="9"/>
      <c r="T284" s="9"/>
      <c r="U284" s="9"/>
      <c r="V284" s="9"/>
      <c r="W284" s="9"/>
      <c r="X284" s="9"/>
      <c r="Y284" s="9"/>
      <c r="Z284" s="9"/>
      <c r="AA284" s="9"/>
      <c r="AB284" s="9"/>
      <c r="AC284" s="9"/>
      <c r="AD284" s="9"/>
    </row>
    <row r="285" spans="1:30" ht="13.5" customHeight="1" x14ac:dyDescent="0.25">
      <c r="A285" s="2"/>
      <c r="B285" s="2"/>
      <c r="C285" s="2"/>
      <c r="D285" s="2"/>
      <c r="E285" s="2"/>
      <c r="F285" s="2"/>
      <c r="G285" s="2"/>
      <c r="H285" s="2"/>
      <c r="I285" s="2"/>
      <c r="J285" s="2"/>
      <c r="K285" s="2"/>
      <c r="L285" s="2"/>
      <c r="M285" s="2"/>
      <c r="N285" s="2"/>
      <c r="O285" s="2"/>
      <c r="P285" s="2"/>
      <c r="Q285" s="2"/>
      <c r="R285" s="9"/>
      <c r="S285" s="9"/>
      <c r="T285" s="9"/>
      <c r="U285" s="9"/>
      <c r="V285" s="9"/>
      <c r="W285" s="9"/>
      <c r="X285" s="9"/>
      <c r="Y285" s="9"/>
      <c r="Z285" s="9"/>
      <c r="AA285" s="9"/>
      <c r="AB285" s="9"/>
      <c r="AC285" s="9"/>
      <c r="AD285" s="9"/>
    </row>
    <row r="286" spans="1:30" ht="13.5" customHeight="1" x14ac:dyDescent="0.25">
      <c r="A286" s="2"/>
      <c r="B286" s="2"/>
      <c r="C286" s="2"/>
      <c r="D286" s="2"/>
      <c r="E286" s="2"/>
      <c r="F286" s="2"/>
      <c r="G286" s="2"/>
      <c r="H286" s="2"/>
      <c r="I286" s="2"/>
      <c r="J286" s="2"/>
      <c r="K286" s="2"/>
      <c r="L286" s="2"/>
      <c r="M286" s="2"/>
      <c r="N286" s="2"/>
      <c r="O286" s="2"/>
      <c r="P286" s="2"/>
      <c r="Q286" s="2"/>
      <c r="R286" s="9"/>
      <c r="S286" s="9"/>
      <c r="T286" s="9"/>
      <c r="U286" s="9"/>
      <c r="V286" s="9"/>
      <c r="W286" s="9"/>
      <c r="X286" s="9"/>
      <c r="Y286" s="9"/>
      <c r="Z286" s="9"/>
      <c r="AA286" s="9"/>
      <c r="AB286" s="9"/>
      <c r="AC286" s="9"/>
      <c r="AD286" s="9"/>
    </row>
    <row r="287" spans="1:30" ht="13.5" customHeight="1" x14ac:dyDescent="0.25">
      <c r="A287" s="2"/>
      <c r="B287" s="2"/>
      <c r="C287" s="2"/>
      <c r="D287" s="2"/>
      <c r="E287" s="2"/>
      <c r="F287" s="2"/>
      <c r="G287" s="2"/>
      <c r="H287" s="2"/>
      <c r="I287" s="2"/>
      <c r="J287" s="2"/>
      <c r="K287" s="2"/>
      <c r="L287" s="2"/>
      <c r="M287" s="2"/>
      <c r="N287" s="2"/>
      <c r="O287" s="2"/>
      <c r="P287" s="2"/>
      <c r="Q287" s="2"/>
      <c r="R287" s="9"/>
      <c r="S287" s="9"/>
      <c r="T287" s="9"/>
      <c r="U287" s="9"/>
      <c r="V287" s="9"/>
      <c r="W287" s="9"/>
      <c r="X287" s="9"/>
      <c r="Y287" s="9"/>
      <c r="Z287" s="9"/>
      <c r="AA287" s="9"/>
      <c r="AB287" s="9"/>
      <c r="AC287" s="9"/>
      <c r="AD287" s="9"/>
    </row>
    <row r="288" spans="1:30" ht="13.5" customHeight="1" x14ac:dyDescent="0.25">
      <c r="A288" s="2"/>
      <c r="B288" s="2"/>
      <c r="C288" s="2"/>
      <c r="D288" s="2"/>
      <c r="E288" s="2"/>
      <c r="F288" s="2"/>
      <c r="G288" s="2"/>
      <c r="H288" s="2"/>
      <c r="I288" s="2"/>
      <c r="J288" s="2"/>
      <c r="K288" s="2"/>
      <c r="L288" s="2"/>
      <c r="M288" s="2"/>
      <c r="N288" s="2"/>
      <c r="O288" s="2"/>
      <c r="P288" s="2"/>
      <c r="Q288" s="2"/>
      <c r="R288" s="9"/>
      <c r="S288" s="9"/>
      <c r="T288" s="9"/>
      <c r="U288" s="9"/>
      <c r="V288" s="9"/>
      <c r="W288" s="9"/>
      <c r="X288" s="9"/>
      <c r="Y288" s="9"/>
      <c r="Z288" s="9"/>
      <c r="AA288" s="9"/>
      <c r="AB288" s="9"/>
      <c r="AC288" s="9"/>
      <c r="AD288" s="9"/>
    </row>
    <row r="289" spans="1:30" ht="13.5" customHeight="1" x14ac:dyDescent="0.25">
      <c r="A289" s="2"/>
      <c r="B289" s="2"/>
      <c r="C289" s="2"/>
      <c r="D289" s="2"/>
      <c r="E289" s="2"/>
      <c r="F289" s="2"/>
      <c r="G289" s="2"/>
      <c r="H289" s="2"/>
      <c r="I289" s="2"/>
      <c r="J289" s="2"/>
      <c r="K289" s="2"/>
      <c r="L289" s="2"/>
      <c r="M289" s="2"/>
      <c r="N289" s="2"/>
      <c r="O289" s="2"/>
      <c r="P289" s="2"/>
      <c r="Q289" s="2"/>
      <c r="R289" s="9"/>
      <c r="S289" s="9"/>
      <c r="T289" s="9"/>
      <c r="U289" s="9"/>
      <c r="V289" s="9"/>
      <c r="W289" s="9"/>
      <c r="X289" s="9"/>
      <c r="Y289" s="9"/>
      <c r="Z289" s="9"/>
      <c r="AA289" s="9"/>
      <c r="AB289" s="9"/>
      <c r="AC289" s="9"/>
      <c r="AD289" s="9"/>
    </row>
    <row r="290" spans="1:30" ht="13.5" customHeight="1" x14ac:dyDescent="0.25">
      <c r="A290" s="2"/>
      <c r="B290" s="2"/>
      <c r="C290" s="2"/>
      <c r="D290" s="2"/>
      <c r="E290" s="2"/>
      <c r="F290" s="2"/>
      <c r="G290" s="2"/>
      <c r="H290" s="2"/>
      <c r="I290" s="2"/>
      <c r="J290" s="2"/>
      <c r="K290" s="2"/>
      <c r="L290" s="2"/>
      <c r="M290" s="2"/>
      <c r="N290" s="2"/>
      <c r="O290" s="2"/>
      <c r="P290" s="2"/>
      <c r="Q290" s="2"/>
      <c r="R290" s="9"/>
      <c r="S290" s="9"/>
      <c r="T290" s="9"/>
      <c r="U290" s="9"/>
      <c r="V290" s="9"/>
      <c r="W290" s="9"/>
      <c r="X290" s="9"/>
      <c r="Y290" s="9"/>
      <c r="Z290" s="9"/>
      <c r="AA290" s="9"/>
      <c r="AB290" s="9"/>
      <c r="AC290" s="9"/>
      <c r="AD290" s="9"/>
    </row>
    <row r="291" spans="1:30" ht="13.5" customHeight="1" x14ac:dyDescent="0.25">
      <c r="A291" s="2"/>
      <c r="B291" s="2"/>
      <c r="C291" s="2"/>
      <c r="D291" s="2"/>
      <c r="E291" s="2"/>
      <c r="F291" s="2"/>
      <c r="G291" s="2"/>
      <c r="H291" s="2"/>
      <c r="I291" s="2"/>
      <c r="J291" s="2"/>
      <c r="K291" s="2"/>
      <c r="L291" s="2"/>
      <c r="M291" s="2"/>
      <c r="N291" s="2"/>
      <c r="O291" s="2"/>
      <c r="P291" s="2"/>
      <c r="Q291" s="2"/>
      <c r="R291" s="9"/>
      <c r="S291" s="9"/>
      <c r="T291" s="9"/>
      <c r="U291" s="9"/>
      <c r="V291" s="9"/>
      <c r="W291" s="9"/>
      <c r="X291" s="9"/>
      <c r="Y291" s="9"/>
      <c r="Z291" s="9"/>
      <c r="AA291" s="9"/>
      <c r="AB291" s="9"/>
      <c r="AC291" s="9"/>
      <c r="AD291" s="9"/>
    </row>
    <row r="292" spans="1:30" ht="13.5" customHeight="1" x14ac:dyDescent="0.25">
      <c r="A292" s="2"/>
      <c r="B292" s="2"/>
      <c r="C292" s="2"/>
      <c r="D292" s="2"/>
      <c r="E292" s="2"/>
      <c r="F292" s="2"/>
      <c r="G292" s="2"/>
      <c r="H292" s="2"/>
      <c r="I292" s="2"/>
      <c r="J292" s="2"/>
      <c r="K292" s="2"/>
      <c r="L292" s="2"/>
      <c r="M292" s="2"/>
      <c r="N292" s="2"/>
      <c r="O292" s="2"/>
      <c r="P292" s="2"/>
      <c r="Q292" s="2"/>
      <c r="R292" s="9"/>
      <c r="S292" s="9"/>
      <c r="T292" s="9"/>
      <c r="U292" s="9"/>
      <c r="V292" s="9"/>
      <c r="W292" s="9"/>
      <c r="X292" s="9"/>
      <c r="Y292" s="9"/>
      <c r="Z292" s="9"/>
      <c r="AA292" s="9"/>
      <c r="AB292" s="9"/>
      <c r="AC292" s="9"/>
      <c r="AD292" s="9"/>
    </row>
    <row r="293" spans="1:30" ht="13.5" customHeight="1" x14ac:dyDescent="0.25">
      <c r="A293" s="2"/>
      <c r="B293" s="2"/>
      <c r="C293" s="2"/>
      <c r="D293" s="2"/>
      <c r="E293" s="2"/>
      <c r="F293" s="2"/>
      <c r="G293" s="2"/>
      <c r="H293" s="2"/>
      <c r="I293" s="2"/>
      <c r="J293" s="2"/>
      <c r="K293" s="2"/>
      <c r="L293" s="2"/>
      <c r="M293" s="2"/>
      <c r="N293" s="2"/>
      <c r="O293" s="2"/>
      <c r="P293" s="2"/>
      <c r="Q293" s="2"/>
      <c r="R293" s="9"/>
      <c r="S293" s="9"/>
      <c r="T293" s="9"/>
      <c r="U293" s="9"/>
      <c r="V293" s="9"/>
      <c r="W293" s="9"/>
      <c r="X293" s="9"/>
      <c r="Y293" s="9"/>
      <c r="Z293" s="9"/>
      <c r="AA293" s="9"/>
      <c r="AB293" s="9"/>
      <c r="AC293" s="9"/>
      <c r="AD293" s="9"/>
    </row>
    <row r="294" spans="1:30" ht="13.5" customHeight="1" x14ac:dyDescent="0.25">
      <c r="A294" s="2"/>
      <c r="B294" s="2"/>
      <c r="C294" s="2"/>
      <c r="D294" s="2"/>
      <c r="E294" s="2"/>
      <c r="F294" s="2"/>
      <c r="G294" s="2"/>
      <c r="H294" s="2"/>
      <c r="I294" s="2"/>
      <c r="J294" s="2"/>
      <c r="K294" s="2"/>
      <c r="L294" s="2"/>
      <c r="M294" s="2"/>
      <c r="N294" s="2"/>
      <c r="O294" s="2"/>
      <c r="P294" s="2"/>
      <c r="Q294" s="2"/>
      <c r="R294" s="9"/>
      <c r="S294" s="9"/>
      <c r="T294" s="9"/>
      <c r="U294" s="9"/>
      <c r="V294" s="9"/>
      <c r="W294" s="9"/>
      <c r="X294" s="9"/>
      <c r="Y294" s="9"/>
      <c r="Z294" s="9"/>
      <c r="AA294" s="9"/>
      <c r="AB294" s="9"/>
      <c r="AC294" s="9"/>
      <c r="AD294" s="9"/>
    </row>
    <row r="295" spans="1:30" ht="13.5" customHeight="1" x14ac:dyDescent="0.25">
      <c r="A295" s="2"/>
      <c r="B295" s="2"/>
      <c r="C295" s="2"/>
      <c r="D295" s="2"/>
      <c r="E295" s="2"/>
      <c r="F295" s="2"/>
      <c r="G295" s="2"/>
      <c r="H295" s="2"/>
      <c r="I295" s="2"/>
      <c r="J295" s="2"/>
      <c r="K295" s="2"/>
      <c r="L295" s="2"/>
      <c r="M295" s="2"/>
      <c r="N295" s="2"/>
      <c r="O295" s="2"/>
      <c r="P295" s="2"/>
      <c r="Q295" s="2"/>
      <c r="R295" s="9"/>
      <c r="S295" s="9"/>
      <c r="T295" s="9"/>
      <c r="U295" s="9"/>
      <c r="V295" s="9"/>
      <c r="W295" s="9"/>
      <c r="X295" s="9"/>
      <c r="Y295" s="9"/>
      <c r="Z295" s="9"/>
      <c r="AA295" s="9"/>
      <c r="AB295" s="9"/>
      <c r="AC295" s="9"/>
      <c r="AD295" s="9"/>
    </row>
    <row r="296" spans="1:30" ht="13.5" customHeight="1" x14ac:dyDescent="0.25">
      <c r="A296" s="2"/>
      <c r="B296" s="2"/>
      <c r="C296" s="2"/>
      <c r="D296" s="2"/>
      <c r="E296" s="2"/>
      <c r="F296" s="2"/>
      <c r="G296" s="2"/>
      <c r="H296" s="2"/>
      <c r="I296" s="2"/>
      <c r="J296" s="2"/>
      <c r="K296" s="2"/>
      <c r="L296" s="2"/>
      <c r="M296" s="2"/>
      <c r="N296" s="2"/>
      <c r="O296" s="2"/>
      <c r="P296" s="2"/>
      <c r="Q296" s="2"/>
      <c r="R296" s="9"/>
      <c r="S296" s="9"/>
      <c r="T296" s="9"/>
      <c r="U296" s="9"/>
      <c r="V296" s="9"/>
      <c r="W296" s="9"/>
      <c r="X296" s="9"/>
      <c r="Y296" s="9"/>
      <c r="Z296" s="9"/>
      <c r="AA296" s="9"/>
      <c r="AB296" s="9"/>
      <c r="AC296" s="9"/>
      <c r="AD296" s="9"/>
    </row>
    <row r="297" spans="1:30" ht="13.5" customHeight="1" x14ac:dyDescent="0.25">
      <c r="A297" s="2"/>
      <c r="B297" s="2"/>
      <c r="C297" s="2"/>
      <c r="D297" s="2"/>
      <c r="E297" s="2"/>
      <c r="F297" s="2"/>
      <c r="G297" s="2"/>
      <c r="H297" s="2"/>
      <c r="I297" s="2"/>
      <c r="J297" s="2"/>
      <c r="K297" s="2"/>
      <c r="L297" s="2"/>
      <c r="M297" s="2"/>
      <c r="N297" s="2"/>
      <c r="O297" s="2"/>
      <c r="P297" s="2"/>
      <c r="Q297" s="2"/>
      <c r="R297" s="9"/>
      <c r="S297" s="9"/>
      <c r="T297" s="9"/>
      <c r="U297" s="9"/>
      <c r="V297" s="9"/>
      <c r="W297" s="9"/>
      <c r="X297" s="9"/>
      <c r="Y297" s="9"/>
      <c r="Z297" s="9"/>
      <c r="AA297" s="9"/>
      <c r="AB297" s="9"/>
      <c r="AC297" s="9"/>
      <c r="AD297" s="9"/>
    </row>
    <row r="298" spans="1:30" ht="13.5" customHeight="1" x14ac:dyDescent="0.25">
      <c r="A298" s="2"/>
      <c r="B298" s="2"/>
      <c r="C298" s="2"/>
      <c r="D298" s="2"/>
      <c r="E298" s="2"/>
      <c r="F298" s="2"/>
      <c r="G298" s="2"/>
      <c r="H298" s="2"/>
      <c r="I298" s="2"/>
      <c r="J298" s="2"/>
      <c r="K298" s="2"/>
      <c r="L298" s="2"/>
      <c r="M298" s="2"/>
      <c r="N298" s="2"/>
      <c r="O298" s="2"/>
      <c r="P298" s="2"/>
      <c r="Q298" s="2"/>
      <c r="R298" s="9"/>
      <c r="S298" s="9"/>
      <c r="T298" s="9"/>
      <c r="U298" s="9"/>
      <c r="V298" s="9"/>
      <c r="W298" s="9"/>
      <c r="X298" s="9"/>
      <c r="Y298" s="9"/>
      <c r="Z298" s="9"/>
      <c r="AA298" s="9"/>
      <c r="AB298" s="9"/>
      <c r="AC298" s="9"/>
      <c r="AD298" s="9"/>
    </row>
    <row r="299" spans="1:30" ht="13.5" customHeight="1" x14ac:dyDescent="0.25">
      <c r="A299" s="2"/>
      <c r="B299" s="2"/>
      <c r="C299" s="2"/>
      <c r="D299" s="2"/>
      <c r="E299" s="2"/>
      <c r="F299" s="2"/>
      <c r="G299" s="2"/>
      <c r="H299" s="2"/>
      <c r="I299" s="2"/>
      <c r="J299" s="2"/>
      <c r="K299" s="2"/>
      <c r="L299" s="2"/>
      <c r="M299" s="2"/>
      <c r="N299" s="2"/>
      <c r="O299" s="2"/>
      <c r="P299" s="2"/>
      <c r="Q299" s="2"/>
      <c r="R299" s="9"/>
      <c r="S299" s="9"/>
      <c r="T299" s="9"/>
      <c r="U299" s="9"/>
      <c r="V299" s="9"/>
      <c r="W299" s="9"/>
      <c r="X299" s="9"/>
      <c r="Y299" s="9"/>
      <c r="Z299" s="9"/>
      <c r="AA299" s="9"/>
      <c r="AB299" s="9"/>
      <c r="AC299" s="9"/>
      <c r="AD299" s="9"/>
    </row>
    <row r="300" spans="1:30" ht="13.5" customHeight="1" x14ac:dyDescent="0.25">
      <c r="A300" s="2"/>
      <c r="B300" s="2"/>
      <c r="C300" s="2"/>
      <c r="D300" s="2"/>
      <c r="E300" s="2"/>
      <c r="F300" s="2"/>
      <c r="G300" s="2"/>
      <c r="H300" s="2"/>
      <c r="I300" s="2"/>
      <c r="J300" s="2"/>
      <c r="K300" s="2"/>
      <c r="L300" s="2"/>
      <c r="M300" s="2"/>
      <c r="N300" s="2"/>
      <c r="O300" s="2"/>
      <c r="P300" s="2"/>
      <c r="Q300" s="2"/>
      <c r="R300" s="9"/>
      <c r="S300" s="9"/>
      <c r="T300" s="9"/>
      <c r="U300" s="9"/>
      <c r="V300" s="9"/>
      <c r="W300" s="9"/>
      <c r="X300" s="9"/>
      <c r="Y300" s="9"/>
      <c r="Z300" s="9"/>
      <c r="AA300" s="9"/>
      <c r="AB300" s="9"/>
      <c r="AC300" s="9"/>
      <c r="AD300" s="9"/>
    </row>
    <row r="301" spans="1:30" ht="13.5" customHeight="1" x14ac:dyDescent="0.25">
      <c r="A301" s="2"/>
      <c r="B301" s="2"/>
      <c r="C301" s="2"/>
      <c r="D301" s="2"/>
      <c r="E301" s="2"/>
      <c r="F301" s="2"/>
      <c r="G301" s="2"/>
      <c r="H301" s="2"/>
      <c r="I301" s="2"/>
      <c r="J301" s="2"/>
      <c r="K301" s="2"/>
      <c r="L301" s="2"/>
      <c r="M301" s="2"/>
      <c r="N301" s="2"/>
      <c r="O301" s="2"/>
      <c r="P301" s="2"/>
      <c r="Q301" s="2"/>
      <c r="R301" s="9"/>
      <c r="S301" s="9"/>
      <c r="T301" s="9"/>
      <c r="U301" s="9"/>
      <c r="V301" s="9"/>
      <c r="W301" s="9"/>
      <c r="X301" s="9"/>
      <c r="Y301" s="9"/>
      <c r="Z301" s="9"/>
      <c r="AA301" s="9"/>
      <c r="AB301" s="9"/>
      <c r="AC301" s="9"/>
      <c r="AD301" s="9"/>
    </row>
    <row r="302" spans="1:30" ht="13.5" customHeight="1" x14ac:dyDescent="0.25">
      <c r="A302" s="2"/>
      <c r="B302" s="2"/>
      <c r="C302" s="2"/>
      <c r="D302" s="2"/>
      <c r="E302" s="2"/>
      <c r="F302" s="2"/>
      <c r="G302" s="2"/>
      <c r="H302" s="2"/>
      <c r="I302" s="2"/>
      <c r="J302" s="2"/>
      <c r="K302" s="2"/>
      <c r="L302" s="2"/>
      <c r="M302" s="2"/>
      <c r="N302" s="2"/>
      <c r="O302" s="2"/>
      <c r="P302" s="2"/>
      <c r="Q302" s="2"/>
      <c r="R302" s="9"/>
      <c r="S302" s="9"/>
      <c r="T302" s="9"/>
      <c r="U302" s="9"/>
      <c r="V302" s="9"/>
      <c r="W302" s="9"/>
      <c r="X302" s="9"/>
      <c r="Y302" s="9"/>
      <c r="Z302" s="9"/>
      <c r="AA302" s="9"/>
      <c r="AB302" s="9"/>
      <c r="AC302" s="9"/>
      <c r="AD302" s="9"/>
    </row>
    <row r="303" spans="1:30" ht="13.5" customHeight="1" x14ac:dyDescent="0.25">
      <c r="A303" s="2"/>
      <c r="B303" s="2"/>
      <c r="C303" s="2"/>
      <c r="D303" s="2"/>
      <c r="E303" s="2"/>
      <c r="F303" s="2"/>
      <c r="G303" s="2"/>
      <c r="H303" s="2"/>
      <c r="I303" s="2"/>
      <c r="J303" s="2"/>
      <c r="K303" s="2"/>
      <c r="L303" s="2"/>
      <c r="M303" s="2"/>
      <c r="N303" s="2"/>
      <c r="O303" s="2"/>
      <c r="P303" s="2"/>
      <c r="Q303" s="2"/>
      <c r="R303" s="9"/>
      <c r="S303" s="9"/>
      <c r="T303" s="9"/>
      <c r="U303" s="9"/>
      <c r="V303" s="9"/>
      <c r="W303" s="9"/>
      <c r="X303" s="9"/>
      <c r="Y303" s="9"/>
      <c r="Z303" s="9"/>
      <c r="AA303" s="9"/>
      <c r="AB303" s="9"/>
      <c r="AC303" s="9"/>
      <c r="AD303" s="9"/>
    </row>
    <row r="304" spans="1:30" ht="13.5" customHeight="1" x14ac:dyDescent="0.25">
      <c r="A304" s="2"/>
      <c r="B304" s="2"/>
      <c r="C304" s="2"/>
      <c r="D304" s="2"/>
      <c r="E304" s="2"/>
      <c r="F304" s="2"/>
      <c r="G304" s="2"/>
      <c r="H304" s="2"/>
      <c r="I304" s="2"/>
      <c r="J304" s="2"/>
      <c r="K304" s="2"/>
      <c r="L304" s="2"/>
      <c r="M304" s="2"/>
      <c r="N304" s="2"/>
      <c r="O304" s="2"/>
      <c r="P304" s="2"/>
      <c r="Q304" s="2"/>
      <c r="R304" s="9"/>
      <c r="S304" s="9"/>
      <c r="T304" s="9"/>
      <c r="U304" s="9"/>
      <c r="V304" s="9"/>
      <c r="W304" s="9"/>
      <c r="X304" s="9"/>
      <c r="Y304" s="9"/>
      <c r="Z304" s="9"/>
      <c r="AA304" s="9"/>
      <c r="AB304" s="9"/>
      <c r="AC304" s="9"/>
      <c r="AD304" s="9"/>
    </row>
    <row r="305" spans="1:30" ht="13.5" customHeight="1" x14ac:dyDescent="0.25">
      <c r="A305" s="2"/>
      <c r="B305" s="2"/>
      <c r="C305" s="2"/>
      <c r="D305" s="2"/>
      <c r="E305" s="2"/>
      <c r="F305" s="2"/>
      <c r="G305" s="2"/>
      <c r="H305" s="2"/>
      <c r="I305" s="2"/>
      <c r="J305" s="2"/>
      <c r="K305" s="2"/>
      <c r="L305" s="2"/>
      <c r="M305" s="2"/>
      <c r="N305" s="2"/>
      <c r="O305" s="2"/>
      <c r="P305" s="2"/>
      <c r="Q305" s="2"/>
      <c r="R305" s="9"/>
      <c r="S305" s="9"/>
      <c r="T305" s="9"/>
      <c r="U305" s="9"/>
      <c r="V305" s="9"/>
      <c r="W305" s="9"/>
      <c r="X305" s="9"/>
      <c r="Y305" s="9"/>
      <c r="Z305" s="9"/>
      <c r="AA305" s="9"/>
      <c r="AB305" s="9"/>
      <c r="AC305" s="9"/>
      <c r="AD305" s="9"/>
    </row>
    <row r="306" spans="1:30" ht="13.5" customHeight="1" x14ac:dyDescent="0.25">
      <c r="A306" s="2"/>
      <c r="B306" s="2"/>
      <c r="C306" s="2"/>
      <c r="D306" s="2"/>
      <c r="E306" s="2"/>
      <c r="F306" s="2"/>
      <c r="G306" s="2"/>
      <c r="H306" s="2"/>
      <c r="I306" s="2"/>
      <c r="J306" s="2"/>
      <c r="K306" s="2"/>
      <c r="L306" s="2"/>
      <c r="M306" s="2"/>
      <c r="N306" s="2"/>
      <c r="O306" s="2"/>
      <c r="P306" s="2"/>
      <c r="Q306" s="2"/>
      <c r="R306" s="9"/>
      <c r="S306" s="9"/>
      <c r="T306" s="9"/>
      <c r="U306" s="9"/>
      <c r="V306" s="9"/>
      <c r="W306" s="9"/>
      <c r="X306" s="9"/>
      <c r="Y306" s="9"/>
      <c r="Z306" s="9"/>
      <c r="AA306" s="9"/>
      <c r="AB306" s="9"/>
      <c r="AC306" s="9"/>
      <c r="AD306" s="9"/>
    </row>
    <row r="307" spans="1:30" ht="13.5" customHeight="1" x14ac:dyDescent="0.25">
      <c r="A307" s="2"/>
      <c r="B307" s="2"/>
      <c r="C307" s="2"/>
      <c r="D307" s="2"/>
      <c r="E307" s="2"/>
      <c r="F307" s="2"/>
      <c r="G307" s="2"/>
      <c r="H307" s="2"/>
      <c r="I307" s="2"/>
      <c r="J307" s="2"/>
      <c r="K307" s="2"/>
      <c r="L307" s="2"/>
      <c r="M307" s="2"/>
      <c r="N307" s="2"/>
      <c r="O307" s="2"/>
      <c r="P307" s="2"/>
      <c r="Q307" s="2"/>
      <c r="R307" s="9"/>
      <c r="S307" s="9"/>
      <c r="T307" s="9"/>
      <c r="U307" s="9"/>
      <c r="V307" s="9"/>
      <c r="W307" s="9"/>
      <c r="X307" s="9"/>
      <c r="Y307" s="9"/>
      <c r="Z307" s="9"/>
      <c r="AA307" s="9"/>
      <c r="AB307" s="9"/>
      <c r="AC307" s="9"/>
      <c r="AD307" s="9"/>
    </row>
    <row r="308" spans="1:30" ht="13.5" customHeight="1" x14ac:dyDescent="0.25">
      <c r="A308" s="2"/>
      <c r="B308" s="2"/>
      <c r="C308" s="2"/>
      <c r="D308" s="2"/>
      <c r="E308" s="2"/>
      <c r="F308" s="2"/>
      <c r="G308" s="2"/>
      <c r="H308" s="2"/>
      <c r="I308" s="2"/>
      <c r="J308" s="2"/>
      <c r="K308" s="2"/>
      <c r="L308" s="2"/>
      <c r="M308" s="2"/>
      <c r="N308" s="2"/>
      <c r="O308" s="2"/>
      <c r="P308" s="2"/>
      <c r="Q308" s="2"/>
      <c r="R308" s="9"/>
      <c r="S308" s="9"/>
      <c r="T308" s="9"/>
      <c r="U308" s="9"/>
      <c r="V308" s="9"/>
      <c r="W308" s="9"/>
      <c r="X308" s="9"/>
      <c r="Y308" s="9"/>
      <c r="Z308" s="9"/>
      <c r="AA308" s="9"/>
      <c r="AB308" s="9"/>
      <c r="AC308" s="9"/>
      <c r="AD308" s="9"/>
    </row>
    <row r="309" spans="1:30" ht="13.5" customHeight="1" x14ac:dyDescent="0.25">
      <c r="A309" s="2"/>
      <c r="B309" s="2"/>
      <c r="C309" s="2"/>
      <c r="D309" s="2"/>
      <c r="E309" s="2"/>
      <c r="F309" s="2"/>
      <c r="G309" s="2"/>
      <c r="H309" s="2"/>
      <c r="I309" s="2"/>
      <c r="J309" s="2"/>
      <c r="K309" s="2"/>
      <c r="L309" s="2"/>
      <c r="M309" s="2"/>
      <c r="N309" s="2"/>
      <c r="O309" s="2"/>
      <c r="P309" s="2"/>
      <c r="Q309" s="2"/>
      <c r="R309" s="9"/>
      <c r="S309" s="9"/>
      <c r="T309" s="9"/>
      <c r="U309" s="9"/>
      <c r="V309" s="9"/>
      <c r="W309" s="9"/>
      <c r="X309" s="9"/>
      <c r="Y309" s="9"/>
      <c r="Z309" s="9"/>
      <c r="AA309" s="9"/>
      <c r="AB309" s="9"/>
      <c r="AC309" s="9"/>
      <c r="AD309" s="9"/>
    </row>
    <row r="310" spans="1:30" ht="13.5" customHeight="1" x14ac:dyDescent="0.25">
      <c r="A310" s="2"/>
      <c r="B310" s="2"/>
      <c r="C310" s="2"/>
      <c r="D310" s="2"/>
      <c r="E310" s="2"/>
      <c r="F310" s="2"/>
      <c r="G310" s="2"/>
      <c r="H310" s="2"/>
      <c r="I310" s="2"/>
      <c r="J310" s="2"/>
      <c r="K310" s="2"/>
      <c r="L310" s="2"/>
      <c r="M310" s="2"/>
      <c r="N310" s="2"/>
      <c r="O310" s="2"/>
      <c r="P310" s="2"/>
      <c r="Q310" s="2"/>
      <c r="R310" s="9"/>
      <c r="S310" s="9"/>
      <c r="T310" s="9"/>
      <c r="U310" s="9"/>
      <c r="V310" s="9"/>
      <c r="W310" s="9"/>
      <c r="X310" s="9"/>
      <c r="Y310" s="9"/>
      <c r="Z310" s="9"/>
      <c r="AA310" s="9"/>
      <c r="AB310" s="9"/>
      <c r="AC310" s="9"/>
      <c r="AD310" s="9"/>
    </row>
    <row r="311" spans="1:30" ht="13.5" customHeight="1" x14ac:dyDescent="0.25">
      <c r="A311" s="2"/>
      <c r="B311" s="2"/>
      <c r="C311" s="2"/>
      <c r="D311" s="2"/>
      <c r="E311" s="2"/>
      <c r="F311" s="2"/>
      <c r="G311" s="2"/>
      <c r="H311" s="2"/>
      <c r="I311" s="2"/>
      <c r="J311" s="2"/>
      <c r="K311" s="2"/>
      <c r="L311" s="2"/>
      <c r="M311" s="2"/>
      <c r="N311" s="2"/>
      <c r="O311" s="2"/>
      <c r="P311" s="2"/>
      <c r="Q311" s="2"/>
      <c r="R311" s="9"/>
      <c r="S311" s="9"/>
      <c r="T311" s="9"/>
      <c r="U311" s="9"/>
      <c r="V311" s="9"/>
      <c r="W311" s="9"/>
      <c r="X311" s="9"/>
      <c r="Y311" s="9"/>
      <c r="Z311" s="9"/>
      <c r="AA311" s="9"/>
      <c r="AB311" s="9"/>
      <c r="AC311" s="9"/>
      <c r="AD311" s="9"/>
    </row>
    <row r="312" spans="1:30" ht="13.5" customHeight="1" x14ac:dyDescent="0.25">
      <c r="A312" s="2"/>
      <c r="B312" s="2"/>
      <c r="C312" s="2"/>
      <c r="D312" s="2"/>
      <c r="E312" s="2"/>
      <c r="F312" s="2"/>
      <c r="G312" s="2"/>
      <c r="H312" s="2"/>
      <c r="I312" s="2"/>
      <c r="J312" s="2"/>
      <c r="K312" s="2"/>
      <c r="L312" s="2"/>
      <c r="M312" s="2"/>
      <c r="N312" s="2"/>
      <c r="O312" s="2"/>
      <c r="P312" s="2"/>
      <c r="Q312" s="2"/>
      <c r="R312" s="9"/>
      <c r="S312" s="9"/>
      <c r="T312" s="9"/>
      <c r="U312" s="9"/>
      <c r="V312" s="9"/>
      <c r="W312" s="9"/>
      <c r="X312" s="9"/>
      <c r="Y312" s="9"/>
      <c r="Z312" s="9"/>
      <c r="AA312" s="9"/>
      <c r="AB312" s="9"/>
      <c r="AC312" s="9"/>
      <c r="AD312" s="9"/>
    </row>
    <row r="313" spans="1:30" ht="13.5" customHeight="1" x14ac:dyDescent="0.25">
      <c r="A313" s="2"/>
      <c r="B313" s="2"/>
      <c r="C313" s="2"/>
      <c r="D313" s="2"/>
      <c r="E313" s="2"/>
      <c r="F313" s="2"/>
      <c r="G313" s="2"/>
      <c r="H313" s="2"/>
      <c r="I313" s="2"/>
      <c r="J313" s="2"/>
      <c r="K313" s="2"/>
      <c r="L313" s="2"/>
      <c r="M313" s="2"/>
      <c r="N313" s="2"/>
      <c r="O313" s="2"/>
      <c r="P313" s="2"/>
      <c r="Q313" s="2"/>
      <c r="R313" s="9"/>
      <c r="S313" s="9"/>
      <c r="T313" s="9"/>
      <c r="U313" s="9"/>
      <c r="V313" s="9"/>
      <c r="W313" s="9"/>
      <c r="X313" s="9"/>
      <c r="Y313" s="9"/>
      <c r="Z313" s="9"/>
      <c r="AA313" s="9"/>
      <c r="AB313" s="9"/>
      <c r="AC313" s="9"/>
      <c r="AD313" s="9"/>
    </row>
    <row r="314" spans="1:30" ht="13.5" customHeight="1" x14ac:dyDescent="0.25">
      <c r="A314" s="2"/>
      <c r="B314" s="2"/>
      <c r="C314" s="2"/>
      <c r="D314" s="2"/>
      <c r="E314" s="2"/>
      <c r="F314" s="2"/>
      <c r="G314" s="2"/>
      <c r="H314" s="2"/>
      <c r="I314" s="2"/>
      <c r="J314" s="2"/>
      <c r="K314" s="2"/>
      <c r="L314" s="2"/>
      <c r="M314" s="2"/>
      <c r="N314" s="2"/>
      <c r="O314" s="2"/>
      <c r="P314" s="2"/>
      <c r="Q314" s="2"/>
      <c r="R314" s="9"/>
      <c r="S314" s="9"/>
      <c r="T314" s="9"/>
      <c r="U314" s="9"/>
      <c r="V314" s="9"/>
      <c r="W314" s="9"/>
      <c r="X314" s="9"/>
      <c r="Y314" s="9"/>
      <c r="Z314" s="9"/>
      <c r="AA314" s="9"/>
      <c r="AB314" s="9"/>
      <c r="AC314" s="9"/>
      <c r="AD314" s="9"/>
    </row>
    <row r="315" spans="1:30" ht="13.5" customHeight="1" x14ac:dyDescent="0.25">
      <c r="A315" s="2"/>
      <c r="B315" s="2"/>
      <c r="C315" s="2"/>
      <c r="D315" s="2"/>
      <c r="E315" s="2"/>
      <c r="F315" s="2"/>
      <c r="G315" s="2"/>
      <c r="H315" s="2"/>
      <c r="I315" s="2"/>
      <c r="J315" s="2"/>
      <c r="K315" s="2"/>
      <c r="L315" s="2"/>
      <c r="M315" s="2"/>
      <c r="N315" s="2"/>
      <c r="O315" s="2"/>
      <c r="P315" s="2"/>
      <c r="Q315" s="2"/>
      <c r="R315" s="9"/>
      <c r="S315" s="9"/>
      <c r="T315" s="9"/>
      <c r="U315" s="9"/>
      <c r="V315" s="9"/>
      <c r="W315" s="9"/>
      <c r="X315" s="9"/>
      <c r="Y315" s="9"/>
      <c r="Z315" s="9"/>
      <c r="AA315" s="9"/>
      <c r="AB315" s="9"/>
      <c r="AC315" s="9"/>
      <c r="AD315" s="9"/>
    </row>
    <row r="316" spans="1:30" ht="13.5" customHeight="1" x14ac:dyDescent="0.25">
      <c r="A316" s="2"/>
      <c r="B316" s="2"/>
      <c r="C316" s="2"/>
      <c r="D316" s="2"/>
      <c r="E316" s="2"/>
      <c r="F316" s="2"/>
      <c r="G316" s="2"/>
      <c r="H316" s="2"/>
      <c r="I316" s="2"/>
      <c r="J316" s="2"/>
      <c r="K316" s="2"/>
      <c r="L316" s="2"/>
      <c r="M316" s="2"/>
      <c r="N316" s="2"/>
      <c r="O316" s="2"/>
      <c r="P316" s="2"/>
      <c r="Q316" s="2"/>
      <c r="R316" s="9"/>
      <c r="S316" s="9"/>
      <c r="T316" s="9"/>
      <c r="U316" s="9"/>
      <c r="V316" s="9"/>
      <c r="W316" s="9"/>
      <c r="X316" s="9"/>
      <c r="Y316" s="9"/>
      <c r="Z316" s="9"/>
      <c r="AA316" s="9"/>
      <c r="AB316" s="9"/>
      <c r="AC316" s="9"/>
      <c r="AD316" s="9"/>
    </row>
    <row r="317" spans="1:30" ht="13.5" customHeight="1" x14ac:dyDescent="0.25">
      <c r="A317" s="2"/>
      <c r="B317" s="2"/>
      <c r="C317" s="2"/>
      <c r="D317" s="2"/>
      <c r="E317" s="2"/>
      <c r="F317" s="2"/>
      <c r="G317" s="2"/>
      <c r="H317" s="2"/>
      <c r="I317" s="2"/>
      <c r="J317" s="2"/>
      <c r="K317" s="2"/>
      <c r="L317" s="2"/>
      <c r="M317" s="2"/>
      <c r="N317" s="2"/>
      <c r="O317" s="2"/>
      <c r="P317" s="2"/>
      <c r="Q317" s="2"/>
      <c r="R317" s="9"/>
      <c r="S317" s="9"/>
      <c r="T317" s="9"/>
      <c r="U317" s="9"/>
      <c r="V317" s="9"/>
      <c r="W317" s="9"/>
      <c r="X317" s="9"/>
      <c r="Y317" s="9"/>
      <c r="Z317" s="9"/>
      <c r="AA317" s="9"/>
      <c r="AB317" s="9"/>
      <c r="AC317" s="9"/>
      <c r="AD317" s="9"/>
    </row>
    <row r="318" spans="1:30" ht="13.5" customHeight="1" x14ac:dyDescent="0.25">
      <c r="A318" s="2"/>
      <c r="B318" s="2"/>
      <c r="C318" s="2"/>
      <c r="D318" s="2"/>
      <c r="E318" s="2"/>
      <c r="F318" s="2"/>
      <c r="G318" s="2"/>
      <c r="H318" s="2"/>
      <c r="I318" s="2"/>
      <c r="J318" s="2"/>
      <c r="K318" s="2"/>
      <c r="L318" s="2"/>
      <c r="M318" s="2"/>
      <c r="N318" s="2"/>
      <c r="O318" s="2"/>
      <c r="P318" s="2"/>
      <c r="Q318" s="2"/>
      <c r="R318" s="9"/>
      <c r="S318" s="9"/>
      <c r="T318" s="9"/>
      <c r="U318" s="9"/>
      <c r="V318" s="9"/>
      <c r="W318" s="9"/>
      <c r="X318" s="9"/>
      <c r="Y318" s="9"/>
      <c r="Z318" s="9"/>
      <c r="AA318" s="9"/>
      <c r="AB318" s="9"/>
      <c r="AC318" s="9"/>
      <c r="AD318" s="9"/>
    </row>
    <row r="319" spans="1:30" ht="13.5" customHeight="1" x14ac:dyDescent="0.25">
      <c r="A319" s="2"/>
      <c r="B319" s="2"/>
      <c r="C319" s="2"/>
      <c r="D319" s="2"/>
      <c r="E319" s="2"/>
      <c r="F319" s="2"/>
      <c r="G319" s="2"/>
      <c r="H319" s="2"/>
      <c r="I319" s="2"/>
      <c r="J319" s="2"/>
      <c r="K319" s="2"/>
      <c r="L319" s="2"/>
      <c r="M319" s="2"/>
      <c r="N319" s="2"/>
      <c r="O319" s="2"/>
      <c r="P319" s="2"/>
      <c r="Q319" s="2"/>
      <c r="R319" s="9"/>
      <c r="S319" s="9"/>
      <c r="T319" s="9"/>
      <c r="U319" s="9"/>
      <c r="V319" s="9"/>
      <c r="W319" s="9"/>
      <c r="X319" s="9"/>
      <c r="Y319" s="9"/>
      <c r="Z319" s="9"/>
      <c r="AA319" s="9"/>
      <c r="AB319" s="9"/>
      <c r="AC319" s="9"/>
      <c r="AD319" s="9"/>
    </row>
    <row r="320" spans="1:30" ht="13.5" customHeight="1" x14ac:dyDescent="0.25">
      <c r="A320" s="2"/>
      <c r="B320" s="2"/>
      <c r="C320" s="2"/>
      <c r="D320" s="2"/>
      <c r="E320" s="2"/>
      <c r="F320" s="2"/>
      <c r="G320" s="2"/>
      <c r="H320" s="2"/>
      <c r="I320" s="2"/>
      <c r="J320" s="2"/>
      <c r="K320" s="2"/>
      <c r="L320" s="2"/>
      <c r="M320" s="2"/>
      <c r="N320" s="2"/>
      <c r="O320" s="2"/>
      <c r="P320" s="2"/>
      <c r="Q320" s="2"/>
      <c r="R320" s="9"/>
      <c r="S320" s="9"/>
      <c r="T320" s="9"/>
      <c r="U320" s="9"/>
      <c r="V320" s="9"/>
      <c r="W320" s="9"/>
      <c r="X320" s="9"/>
      <c r="Y320" s="9"/>
      <c r="Z320" s="9"/>
      <c r="AA320" s="9"/>
      <c r="AB320" s="9"/>
      <c r="AC320" s="9"/>
      <c r="AD320" s="9"/>
    </row>
    <row r="321" spans="1:30" ht="13.5" customHeight="1" x14ac:dyDescent="0.25">
      <c r="A321" s="2"/>
      <c r="B321" s="2"/>
      <c r="C321" s="2"/>
      <c r="D321" s="2"/>
      <c r="E321" s="2"/>
      <c r="F321" s="2"/>
      <c r="G321" s="2"/>
      <c r="H321" s="2"/>
      <c r="I321" s="2"/>
      <c r="J321" s="2"/>
      <c r="K321" s="2"/>
      <c r="L321" s="2"/>
      <c r="M321" s="2"/>
      <c r="N321" s="2"/>
      <c r="O321" s="2"/>
      <c r="P321" s="2"/>
      <c r="Q321" s="2"/>
      <c r="R321" s="9"/>
      <c r="S321" s="9"/>
      <c r="T321" s="9"/>
      <c r="U321" s="9"/>
      <c r="V321" s="9"/>
      <c r="W321" s="9"/>
      <c r="X321" s="9"/>
      <c r="Y321" s="9"/>
      <c r="Z321" s="9"/>
      <c r="AA321" s="9"/>
      <c r="AB321" s="9"/>
      <c r="AC321" s="9"/>
      <c r="AD321" s="9"/>
    </row>
    <row r="322" spans="1:30" ht="13.5" customHeight="1" x14ac:dyDescent="0.25">
      <c r="A322" s="2"/>
      <c r="B322" s="2"/>
      <c r="C322" s="2"/>
      <c r="D322" s="2"/>
      <c r="E322" s="2"/>
      <c r="F322" s="2"/>
      <c r="G322" s="2"/>
      <c r="H322" s="2"/>
      <c r="I322" s="2"/>
      <c r="J322" s="2"/>
      <c r="K322" s="2"/>
      <c r="L322" s="2"/>
      <c r="M322" s="2"/>
      <c r="N322" s="2"/>
      <c r="O322" s="2"/>
      <c r="P322" s="2"/>
      <c r="Q322" s="2"/>
      <c r="R322" s="9"/>
      <c r="S322" s="9"/>
      <c r="T322" s="9"/>
      <c r="U322" s="9"/>
      <c r="V322" s="9"/>
      <c r="W322" s="9"/>
      <c r="X322" s="9"/>
      <c r="Y322" s="9"/>
      <c r="Z322" s="9"/>
      <c r="AA322" s="9"/>
      <c r="AB322" s="9"/>
      <c r="AC322" s="9"/>
      <c r="AD322" s="9"/>
    </row>
    <row r="323" spans="1:30" ht="13.5" customHeight="1" x14ac:dyDescent="0.25">
      <c r="A323" s="2"/>
      <c r="B323" s="2"/>
      <c r="C323" s="2"/>
      <c r="D323" s="2"/>
      <c r="E323" s="2"/>
      <c r="F323" s="2"/>
      <c r="G323" s="2"/>
      <c r="H323" s="2"/>
      <c r="I323" s="2"/>
      <c r="J323" s="2"/>
      <c r="K323" s="2"/>
      <c r="L323" s="2"/>
      <c r="M323" s="2"/>
      <c r="N323" s="2"/>
      <c r="O323" s="2"/>
      <c r="P323" s="2"/>
      <c r="Q323" s="2"/>
      <c r="R323" s="9"/>
      <c r="S323" s="9"/>
      <c r="T323" s="9"/>
      <c r="U323" s="9"/>
      <c r="V323" s="9"/>
      <c r="W323" s="9"/>
      <c r="X323" s="9"/>
      <c r="Y323" s="9"/>
      <c r="Z323" s="9"/>
      <c r="AA323" s="9"/>
      <c r="AB323" s="9"/>
      <c r="AC323" s="9"/>
      <c r="AD323" s="9"/>
    </row>
    <row r="324" spans="1:30" ht="13.5" customHeight="1" x14ac:dyDescent="0.25">
      <c r="A324" s="2"/>
      <c r="B324" s="2"/>
      <c r="C324" s="2"/>
      <c r="D324" s="2"/>
      <c r="E324" s="2"/>
      <c r="F324" s="2"/>
      <c r="G324" s="2"/>
      <c r="H324" s="2"/>
      <c r="I324" s="2"/>
      <c r="J324" s="2"/>
      <c r="K324" s="2"/>
      <c r="L324" s="2"/>
      <c r="M324" s="2"/>
      <c r="N324" s="2"/>
      <c r="O324" s="2"/>
      <c r="P324" s="2"/>
      <c r="Q324" s="2"/>
      <c r="R324" s="9"/>
      <c r="S324" s="9"/>
      <c r="T324" s="9"/>
      <c r="U324" s="9"/>
      <c r="V324" s="9"/>
      <c r="W324" s="9"/>
      <c r="X324" s="9"/>
      <c r="Y324" s="9"/>
      <c r="Z324" s="9"/>
      <c r="AA324" s="9"/>
      <c r="AB324" s="9"/>
      <c r="AC324" s="9"/>
      <c r="AD324" s="9"/>
    </row>
    <row r="325" spans="1:30" ht="13.5" customHeight="1" x14ac:dyDescent="0.25">
      <c r="A325" s="2"/>
      <c r="B325" s="2"/>
      <c r="C325" s="2"/>
      <c r="D325" s="2"/>
      <c r="E325" s="2"/>
      <c r="F325" s="2"/>
      <c r="G325" s="2"/>
      <c r="H325" s="2"/>
      <c r="I325" s="2"/>
      <c r="J325" s="2"/>
      <c r="K325" s="2"/>
      <c r="L325" s="2"/>
      <c r="M325" s="2"/>
      <c r="N325" s="2"/>
      <c r="O325" s="2"/>
      <c r="P325" s="2"/>
      <c r="Q325" s="2"/>
      <c r="R325" s="9"/>
      <c r="S325" s="9"/>
      <c r="T325" s="9"/>
      <c r="U325" s="9"/>
      <c r="V325" s="9"/>
      <c r="W325" s="9"/>
      <c r="X325" s="9"/>
      <c r="Y325" s="9"/>
      <c r="Z325" s="9"/>
      <c r="AA325" s="9"/>
      <c r="AB325" s="9"/>
      <c r="AC325" s="9"/>
      <c r="AD325" s="9"/>
    </row>
    <row r="326" spans="1:30" ht="13.5" customHeight="1" x14ac:dyDescent="0.25">
      <c r="A326" s="2"/>
      <c r="B326" s="2"/>
      <c r="C326" s="2"/>
      <c r="D326" s="2"/>
      <c r="E326" s="2"/>
      <c r="F326" s="2"/>
      <c r="G326" s="2"/>
      <c r="H326" s="2"/>
      <c r="I326" s="2"/>
      <c r="J326" s="2"/>
      <c r="K326" s="2"/>
      <c r="L326" s="2"/>
      <c r="M326" s="2"/>
      <c r="N326" s="2"/>
      <c r="O326" s="2"/>
      <c r="P326" s="2"/>
      <c r="Q326" s="2"/>
      <c r="R326" s="9"/>
      <c r="S326" s="9"/>
      <c r="T326" s="9"/>
      <c r="U326" s="9"/>
      <c r="V326" s="9"/>
      <c r="W326" s="9"/>
      <c r="X326" s="9"/>
      <c r="Y326" s="9"/>
      <c r="Z326" s="9"/>
      <c r="AA326" s="9"/>
      <c r="AB326" s="9"/>
      <c r="AC326" s="9"/>
      <c r="AD326" s="9"/>
    </row>
    <row r="327" spans="1:30" ht="13.5" customHeight="1" x14ac:dyDescent="0.25">
      <c r="A327" s="2"/>
      <c r="B327" s="2"/>
      <c r="C327" s="2"/>
      <c r="D327" s="2"/>
      <c r="E327" s="2"/>
      <c r="F327" s="2"/>
      <c r="G327" s="2"/>
      <c r="H327" s="2"/>
      <c r="I327" s="2"/>
      <c r="J327" s="2"/>
      <c r="K327" s="2"/>
      <c r="L327" s="2"/>
      <c r="M327" s="2"/>
      <c r="N327" s="2"/>
      <c r="O327" s="2"/>
      <c r="P327" s="2"/>
      <c r="Q327" s="2"/>
      <c r="R327" s="9"/>
      <c r="S327" s="9"/>
      <c r="T327" s="9"/>
      <c r="U327" s="9"/>
      <c r="V327" s="9"/>
      <c r="W327" s="9"/>
      <c r="X327" s="9"/>
      <c r="Y327" s="9"/>
      <c r="Z327" s="9"/>
      <c r="AA327" s="9"/>
      <c r="AB327" s="9"/>
      <c r="AC327" s="9"/>
      <c r="AD327" s="9"/>
    </row>
    <row r="328" spans="1:30" ht="13.5" customHeight="1" x14ac:dyDescent="0.25">
      <c r="A328" s="2"/>
      <c r="B328" s="2"/>
      <c r="C328" s="2"/>
      <c r="D328" s="2"/>
      <c r="E328" s="2"/>
      <c r="F328" s="2"/>
      <c r="G328" s="2"/>
      <c r="H328" s="2"/>
      <c r="I328" s="2"/>
      <c r="J328" s="2"/>
      <c r="K328" s="2"/>
      <c r="L328" s="2"/>
      <c r="M328" s="2"/>
      <c r="N328" s="2"/>
      <c r="O328" s="2"/>
      <c r="P328" s="2"/>
      <c r="Q328" s="2"/>
      <c r="R328" s="9"/>
      <c r="S328" s="9"/>
      <c r="T328" s="9"/>
      <c r="U328" s="9"/>
      <c r="V328" s="9"/>
      <c r="W328" s="9"/>
      <c r="X328" s="9"/>
      <c r="Y328" s="9"/>
      <c r="Z328" s="9"/>
      <c r="AA328" s="9"/>
      <c r="AB328" s="9"/>
      <c r="AC328" s="9"/>
      <c r="AD328" s="9"/>
    </row>
    <row r="329" spans="1:30" ht="13.5" customHeight="1" x14ac:dyDescent="0.25">
      <c r="A329" s="2"/>
      <c r="B329" s="2"/>
      <c r="C329" s="2"/>
      <c r="D329" s="2"/>
      <c r="E329" s="2"/>
      <c r="F329" s="2"/>
      <c r="G329" s="2"/>
      <c r="H329" s="2"/>
      <c r="I329" s="2"/>
      <c r="J329" s="2"/>
      <c r="K329" s="2"/>
      <c r="L329" s="2"/>
      <c r="M329" s="2"/>
      <c r="N329" s="2"/>
      <c r="O329" s="2"/>
      <c r="P329" s="2"/>
      <c r="Q329" s="2"/>
      <c r="R329" s="9"/>
      <c r="S329" s="9"/>
      <c r="T329" s="9"/>
      <c r="U329" s="9"/>
      <c r="V329" s="9"/>
      <c r="W329" s="9"/>
      <c r="X329" s="9"/>
      <c r="Y329" s="9"/>
      <c r="Z329" s="9"/>
      <c r="AA329" s="9"/>
      <c r="AB329" s="9"/>
      <c r="AC329" s="9"/>
      <c r="AD329" s="9"/>
    </row>
    <row r="330" spans="1:30" ht="13.5" customHeight="1" x14ac:dyDescent="0.25">
      <c r="A330" s="2"/>
      <c r="B330" s="2"/>
      <c r="C330" s="2"/>
      <c r="D330" s="2"/>
      <c r="E330" s="2"/>
      <c r="F330" s="2"/>
      <c r="G330" s="2"/>
      <c r="H330" s="2"/>
      <c r="I330" s="2"/>
      <c r="J330" s="2"/>
      <c r="K330" s="2"/>
      <c r="L330" s="2"/>
      <c r="M330" s="2"/>
      <c r="N330" s="2"/>
      <c r="O330" s="2"/>
      <c r="P330" s="2"/>
      <c r="Q330" s="2"/>
      <c r="R330" s="9"/>
      <c r="S330" s="9"/>
      <c r="T330" s="9"/>
      <c r="U330" s="9"/>
      <c r="V330" s="9"/>
      <c r="W330" s="9"/>
      <c r="X330" s="9"/>
      <c r="Y330" s="9"/>
      <c r="Z330" s="9"/>
      <c r="AA330" s="9"/>
      <c r="AB330" s="9"/>
      <c r="AC330" s="9"/>
      <c r="AD330" s="9"/>
    </row>
    <row r="331" spans="1:30" ht="13.5" customHeight="1" x14ac:dyDescent="0.25">
      <c r="A331" s="2"/>
      <c r="B331" s="2"/>
      <c r="C331" s="2"/>
      <c r="D331" s="2"/>
      <c r="E331" s="2"/>
      <c r="F331" s="2"/>
      <c r="G331" s="2"/>
      <c r="H331" s="2"/>
      <c r="I331" s="2"/>
      <c r="J331" s="2"/>
      <c r="K331" s="2"/>
      <c r="L331" s="2"/>
      <c r="M331" s="2"/>
      <c r="N331" s="2"/>
      <c r="O331" s="2"/>
      <c r="P331" s="2"/>
      <c r="Q331" s="2"/>
      <c r="R331" s="9"/>
      <c r="S331" s="9"/>
      <c r="T331" s="9"/>
      <c r="U331" s="9"/>
      <c r="V331" s="9"/>
      <c r="W331" s="9"/>
      <c r="X331" s="9"/>
      <c r="Y331" s="9"/>
      <c r="Z331" s="9"/>
      <c r="AA331" s="9"/>
      <c r="AB331" s="9"/>
      <c r="AC331" s="9"/>
      <c r="AD331" s="9"/>
    </row>
    <row r="332" spans="1:30" ht="13.5" customHeight="1" x14ac:dyDescent="0.25">
      <c r="A332" s="2"/>
      <c r="B332" s="2"/>
      <c r="C332" s="2"/>
      <c r="D332" s="2"/>
      <c r="E332" s="2"/>
      <c r="F332" s="2"/>
      <c r="G332" s="2"/>
      <c r="H332" s="2"/>
      <c r="I332" s="2"/>
      <c r="J332" s="2"/>
      <c r="K332" s="2"/>
      <c r="L332" s="2"/>
      <c r="M332" s="2"/>
      <c r="N332" s="2"/>
      <c r="O332" s="2"/>
      <c r="P332" s="2"/>
      <c r="Q332" s="2"/>
      <c r="R332" s="9"/>
      <c r="S332" s="9"/>
      <c r="T332" s="9"/>
      <c r="U332" s="9"/>
      <c r="V332" s="9"/>
      <c r="W332" s="9"/>
      <c r="X332" s="9"/>
      <c r="Y332" s="9"/>
      <c r="Z332" s="9"/>
      <c r="AA332" s="9"/>
      <c r="AB332" s="9"/>
      <c r="AC332" s="9"/>
      <c r="AD332" s="9"/>
    </row>
    <row r="333" spans="1:30" ht="13.5" customHeight="1" x14ac:dyDescent="0.25">
      <c r="A333" s="2"/>
      <c r="B333" s="2"/>
      <c r="C333" s="2"/>
      <c r="D333" s="2"/>
      <c r="E333" s="2"/>
      <c r="F333" s="2"/>
      <c r="G333" s="2"/>
      <c r="H333" s="2"/>
      <c r="I333" s="2"/>
      <c r="J333" s="2"/>
      <c r="K333" s="2"/>
      <c r="L333" s="2"/>
      <c r="M333" s="2"/>
      <c r="N333" s="2"/>
      <c r="O333" s="2"/>
      <c r="P333" s="2"/>
      <c r="Q333" s="2"/>
      <c r="R333" s="9"/>
      <c r="S333" s="9"/>
      <c r="T333" s="9"/>
      <c r="U333" s="9"/>
      <c r="V333" s="9"/>
      <c r="W333" s="9"/>
      <c r="X333" s="9"/>
      <c r="Y333" s="9"/>
      <c r="Z333" s="9"/>
      <c r="AA333" s="9"/>
      <c r="AB333" s="9"/>
      <c r="AC333" s="9"/>
      <c r="AD333" s="9"/>
    </row>
    <row r="334" spans="1:30" ht="13.5" customHeight="1" x14ac:dyDescent="0.25">
      <c r="A334" s="2"/>
      <c r="B334" s="2"/>
      <c r="C334" s="2"/>
      <c r="D334" s="2"/>
      <c r="E334" s="2"/>
      <c r="F334" s="2"/>
      <c r="G334" s="2"/>
      <c r="H334" s="2"/>
      <c r="I334" s="2"/>
      <c r="J334" s="2"/>
      <c r="K334" s="2"/>
      <c r="L334" s="2"/>
      <c r="M334" s="2"/>
      <c r="N334" s="2"/>
      <c r="O334" s="2"/>
      <c r="P334" s="2"/>
      <c r="Q334" s="2"/>
      <c r="R334" s="9"/>
      <c r="S334" s="9"/>
      <c r="T334" s="9"/>
      <c r="U334" s="9"/>
      <c r="V334" s="9"/>
      <c r="W334" s="9"/>
      <c r="X334" s="9"/>
      <c r="Y334" s="9"/>
      <c r="Z334" s="9"/>
      <c r="AA334" s="9"/>
      <c r="AB334" s="9"/>
      <c r="AC334" s="9"/>
      <c r="AD334" s="9"/>
    </row>
    <row r="335" spans="1:30" ht="13.5" customHeight="1" x14ac:dyDescent="0.25">
      <c r="A335" s="2"/>
      <c r="B335" s="2"/>
      <c r="C335" s="2"/>
      <c r="D335" s="2"/>
      <c r="E335" s="2"/>
      <c r="F335" s="2"/>
      <c r="G335" s="2"/>
      <c r="H335" s="2"/>
      <c r="I335" s="2"/>
      <c r="J335" s="2"/>
      <c r="K335" s="2"/>
      <c r="L335" s="2"/>
      <c r="M335" s="2"/>
      <c r="N335" s="2"/>
      <c r="O335" s="2"/>
      <c r="P335" s="2"/>
      <c r="Q335" s="2"/>
      <c r="R335" s="9"/>
      <c r="S335" s="9"/>
      <c r="T335" s="9"/>
      <c r="U335" s="9"/>
      <c r="V335" s="9"/>
      <c r="W335" s="9"/>
      <c r="X335" s="9"/>
      <c r="Y335" s="9"/>
      <c r="Z335" s="9"/>
      <c r="AA335" s="9"/>
      <c r="AB335" s="9"/>
      <c r="AC335" s="9"/>
      <c r="AD335" s="9"/>
    </row>
    <row r="336" spans="1:30" ht="13.5" customHeight="1" x14ac:dyDescent="0.25">
      <c r="A336" s="2"/>
      <c r="B336" s="2"/>
      <c r="C336" s="2"/>
      <c r="D336" s="2"/>
      <c r="E336" s="2"/>
      <c r="F336" s="2"/>
      <c r="G336" s="2"/>
      <c r="H336" s="2"/>
      <c r="I336" s="2"/>
      <c r="J336" s="2"/>
      <c r="K336" s="2"/>
      <c r="L336" s="2"/>
      <c r="M336" s="2"/>
      <c r="N336" s="2"/>
      <c r="O336" s="2"/>
      <c r="P336" s="2"/>
      <c r="Q336" s="2"/>
      <c r="R336" s="9"/>
      <c r="S336" s="9"/>
      <c r="T336" s="9"/>
      <c r="U336" s="9"/>
      <c r="V336" s="9"/>
      <c r="W336" s="9"/>
      <c r="X336" s="9"/>
      <c r="Y336" s="9"/>
      <c r="Z336" s="9"/>
      <c r="AA336" s="9"/>
      <c r="AB336" s="9"/>
      <c r="AC336" s="9"/>
      <c r="AD336" s="9"/>
    </row>
    <row r="337" spans="1:30" ht="13.5" customHeight="1" x14ac:dyDescent="0.25">
      <c r="A337" s="2"/>
      <c r="B337" s="2"/>
      <c r="C337" s="2"/>
      <c r="D337" s="2"/>
      <c r="E337" s="2"/>
      <c r="F337" s="2"/>
      <c r="G337" s="2"/>
      <c r="H337" s="2"/>
      <c r="I337" s="2"/>
      <c r="J337" s="2"/>
      <c r="K337" s="2"/>
      <c r="L337" s="2"/>
      <c r="M337" s="2"/>
      <c r="N337" s="2"/>
      <c r="O337" s="2"/>
      <c r="P337" s="2"/>
      <c r="Q337" s="2"/>
      <c r="R337" s="9"/>
      <c r="S337" s="9"/>
      <c r="T337" s="9"/>
      <c r="U337" s="9"/>
      <c r="V337" s="9"/>
      <c r="W337" s="9"/>
      <c r="X337" s="9"/>
      <c r="Y337" s="9"/>
      <c r="Z337" s="9"/>
      <c r="AA337" s="9"/>
      <c r="AB337" s="9"/>
      <c r="AC337" s="9"/>
      <c r="AD337" s="9"/>
    </row>
    <row r="338" spans="1:30" ht="13.5" customHeight="1" x14ac:dyDescent="0.25">
      <c r="A338" s="2"/>
      <c r="B338" s="2"/>
      <c r="C338" s="2"/>
      <c r="D338" s="2"/>
      <c r="E338" s="2"/>
      <c r="F338" s="2"/>
      <c r="G338" s="2"/>
      <c r="H338" s="2"/>
      <c r="I338" s="2"/>
      <c r="J338" s="2"/>
      <c r="K338" s="2"/>
      <c r="L338" s="2"/>
      <c r="M338" s="2"/>
      <c r="N338" s="2"/>
      <c r="O338" s="2"/>
      <c r="P338" s="2"/>
      <c r="Q338" s="2"/>
      <c r="R338" s="9"/>
      <c r="S338" s="9"/>
      <c r="T338" s="9"/>
      <c r="U338" s="9"/>
      <c r="V338" s="9"/>
      <c r="W338" s="9"/>
      <c r="X338" s="9"/>
      <c r="Y338" s="9"/>
      <c r="Z338" s="9"/>
      <c r="AA338" s="9"/>
      <c r="AB338" s="9"/>
      <c r="AC338" s="9"/>
      <c r="AD338" s="9"/>
    </row>
    <row r="339" spans="1:30" ht="13.5" customHeight="1" x14ac:dyDescent="0.25">
      <c r="A339" s="2"/>
      <c r="B339" s="2"/>
      <c r="C339" s="2"/>
      <c r="D339" s="2"/>
      <c r="E339" s="2"/>
      <c r="F339" s="2"/>
      <c r="G339" s="2"/>
      <c r="H339" s="2"/>
      <c r="I339" s="2"/>
      <c r="J339" s="2"/>
      <c r="K339" s="2"/>
      <c r="L339" s="2"/>
      <c r="M339" s="2"/>
      <c r="N339" s="2"/>
      <c r="O339" s="2"/>
      <c r="P339" s="2"/>
      <c r="Q339" s="2"/>
      <c r="R339" s="9"/>
      <c r="S339" s="9"/>
      <c r="T339" s="9"/>
      <c r="U339" s="9"/>
      <c r="V339" s="9"/>
      <c r="W339" s="9"/>
      <c r="X339" s="9"/>
      <c r="Y339" s="9"/>
      <c r="Z339" s="9"/>
      <c r="AA339" s="9"/>
      <c r="AB339" s="9"/>
      <c r="AC339" s="9"/>
      <c r="AD339" s="9"/>
    </row>
    <row r="340" spans="1:30" ht="13.5" customHeight="1" x14ac:dyDescent="0.25">
      <c r="A340" s="2"/>
      <c r="B340" s="2"/>
      <c r="C340" s="2"/>
      <c r="D340" s="2"/>
      <c r="E340" s="2"/>
      <c r="F340" s="2"/>
      <c r="G340" s="2"/>
      <c r="H340" s="2"/>
      <c r="I340" s="2"/>
      <c r="J340" s="2"/>
      <c r="K340" s="2"/>
      <c r="L340" s="2"/>
      <c r="M340" s="2"/>
      <c r="N340" s="2"/>
      <c r="O340" s="2"/>
      <c r="P340" s="2"/>
      <c r="Q340" s="2"/>
      <c r="R340" s="9"/>
      <c r="S340" s="9"/>
      <c r="T340" s="9"/>
      <c r="U340" s="9"/>
      <c r="V340" s="9"/>
      <c r="W340" s="9"/>
      <c r="X340" s="9"/>
      <c r="Y340" s="9"/>
      <c r="Z340" s="9"/>
      <c r="AA340" s="9"/>
      <c r="AB340" s="9"/>
      <c r="AC340" s="9"/>
      <c r="AD340" s="9"/>
    </row>
    <row r="341" spans="1:30" ht="13.5" customHeight="1" x14ac:dyDescent="0.25">
      <c r="A341" s="2"/>
      <c r="B341" s="2"/>
      <c r="C341" s="2"/>
      <c r="D341" s="2"/>
      <c r="E341" s="2"/>
      <c r="F341" s="2"/>
      <c r="G341" s="2"/>
      <c r="H341" s="2"/>
      <c r="I341" s="2"/>
      <c r="J341" s="2"/>
      <c r="K341" s="2"/>
      <c r="L341" s="2"/>
      <c r="M341" s="2"/>
      <c r="N341" s="2"/>
      <c r="O341" s="2"/>
      <c r="P341" s="2"/>
      <c r="Q341" s="2"/>
      <c r="R341" s="9"/>
      <c r="S341" s="9"/>
      <c r="T341" s="9"/>
      <c r="U341" s="9"/>
      <c r="V341" s="9"/>
      <c r="W341" s="9"/>
      <c r="X341" s="9"/>
      <c r="Y341" s="9"/>
      <c r="Z341" s="9"/>
      <c r="AA341" s="9"/>
      <c r="AB341" s="9"/>
      <c r="AC341" s="9"/>
      <c r="AD341" s="9"/>
    </row>
    <row r="342" spans="1:30" ht="13.5" customHeight="1" x14ac:dyDescent="0.25">
      <c r="A342" s="2"/>
      <c r="B342" s="2"/>
      <c r="C342" s="2"/>
      <c r="D342" s="2"/>
      <c r="E342" s="2"/>
      <c r="F342" s="2"/>
      <c r="G342" s="2"/>
      <c r="H342" s="2"/>
      <c r="I342" s="2"/>
      <c r="J342" s="2"/>
      <c r="K342" s="2"/>
      <c r="L342" s="2"/>
      <c r="M342" s="2"/>
      <c r="N342" s="2"/>
      <c r="O342" s="2"/>
      <c r="P342" s="2"/>
      <c r="Q342" s="2"/>
      <c r="R342" s="9"/>
      <c r="S342" s="9"/>
      <c r="T342" s="9"/>
      <c r="U342" s="9"/>
      <c r="V342" s="9"/>
      <c r="W342" s="9"/>
      <c r="X342" s="9"/>
      <c r="Y342" s="9"/>
      <c r="Z342" s="9"/>
      <c r="AA342" s="9"/>
      <c r="AB342" s="9"/>
      <c r="AC342" s="9"/>
      <c r="AD342" s="9"/>
    </row>
    <row r="343" spans="1:30" ht="13.5" customHeight="1" x14ac:dyDescent="0.25">
      <c r="A343" s="2"/>
      <c r="B343" s="2"/>
      <c r="C343" s="2"/>
      <c r="D343" s="2"/>
      <c r="E343" s="2"/>
      <c r="F343" s="2"/>
      <c r="G343" s="2"/>
      <c r="H343" s="2"/>
      <c r="I343" s="2"/>
      <c r="J343" s="2"/>
      <c r="K343" s="2"/>
      <c r="L343" s="2"/>
      <c r="M343" s="2"/>
      <c r="N343" s="2"/>
      <c r="O343" s="2"/>
      <c r="P343" s="2"/>
      <c r="Q343" s="2"/>
      <c r="R343" s="9"/>
      <c r="S343" s="9"/>
      <c r="T343" s="9"/>
      <c r="U343" s="9"/>
      <c r="V343" s="9"/>
      <c r="W343" s="9"/>
      <c r="X343" s="9"/>
      <c r="Y343" s="9"/>
      <c r="Z343" s="9"/>
      <c r="AA343" s="9"/>
      <c r="AB343" s="9"/>
      <c r="AC343" s="9"/>
      <c r="AD343" s="9"/>
    </row>
    <row r="344" spans="1:30" ht="13.5" customHeight="1" x14ac:dyDescent="0.25">
      <c r="A344" s="2"/>
      <c r="B344" s="2"/>
      <c r="C344" s="2"/>
      <c r="D344" s="2"/>
      <c r="E344" s="2"/>
      <c r="F344" s="2"/>
      <c r="G344" s="2"/>
      <c r="H344" s="2"/>
      <c r="I344" s="2"/>
      <c r="J344" s="2"/>
      <c r="K344" s="2"/>
      <c r="L344" s="2"/>
      <c r="M344" s="2"/>
      <c r="N344" s="2"/>
      <c r="O344" s="2"/>
      <c r="P344" s="2"/>
      <c r="Q344" s="2"/>
      <c r="R344" s="9"/>
      <c r="S344" s="9"/>
      <c r="T344" s="9"/>
      <c r="U344" s="9"/>
      <c r="V344" s="9"/>
      <c r="W344" s="9"/>
      <c r="X344" s="9"/>
      <c r="Y344" s="9"/>
      <c r="Z344" s="9"/>
      <c r="AA344" s="9"/>
      <c r="AB344" s="9"/>
      <c r="AC344" s="9"/>
      <c r="AD344" s="9"/>
    </row>
    <row r="345" spans="1:30" ht="13.5" customHeight="1" x14ac:dyDescent="0.25">
      <c r="A345" s="2"/>
      <c r="B345" s="2"/>
      <c r="C345" s="2"/>
      <c r="D345" s="2"/>
      <c r="E345" s="2"/>
      <c r="F345" s="2"/>
      <c r="G345" s="2"/>
      <c r="H345" s="2"/>
      <c r="I345" s="2"/>
      <c r="J345" s="2"/>
      <c r="K345" s="2"/>
      <c r="L345" s="2"/>
      <c r="M345" s="2"/>
      <c r="N345" s="2"/>
      <c r="O345" s="2"/>
      <c r="P345" s="2"/>
      <c r="Q345" s="2"/>
      <c r="R345" s="9"/>
      <c r="S345" s="9"/>
      <c r="T345" s="9"/>
      <c r="U345" s="9"/>
      <c r="V345" s="9"/>
      <c r="W345" s="9"/>
      <c r="X345" s="9"/>
      <c r="Y345" s="9"/>
      <c r="Z345" s="9"/>
      <c r="AA345" s="9"/>
      <c r="AB345" s="9"/>
      <c r="AC345" s="9"/>
      <c r="AD345" s="9"/>
    </row>
    <row r="346" spans="1:30" ht="13.5" customHeight="1" x14ac:dyDescent="0.25">
      <c r="A346" s="2"/>
      <c r="B346" s="2"/>
      <c r="C346" s="2"/>
      <c r="D346" s="2"/>
      <c r="E346" s="2"/>
      <c r="F346" s="2"/>
      <c r="G346" s="2"/>
      <c r="H346" s="2"/>
      <c r="I346" s="2"/>
      <c r="J346" s="2"/>
      <c r="K346" s="2"/>
      <c r="L346" s="2"/>
      <c r="M346" s="2"/>
      <c r="N346" s="2"/>
      <c r="O346" s="2"/>
      <c r="P346" s="2"/>
      <c r="Q346" s="2"/>
      <c r="R346" s="9"/>
      <c r="S346" s="9"/>
      <c r="T346" s="9"/>
      <c r="U346" s="9"/>
      <c r="V346" s="9"/>
      <c r="W346" s="9"/>
      <c r="X346" s="9"/>
      <c r="Y346" s="9"/>
      <c r="Z346" s="9"/>
      <c r="AA346" s="9"/>
      <c r="AB346" s="9"/>
      <c r="AC346" s="9"/>
      <c r="AD346" s="9"/>
    </row>
    <row r="347" spans="1:30" ht="13.5" customHeight="1" x14ac:dyDescent="0.25">
      <c r="A347" s="2"/>
      <c r="B347" s="2"/>
      <c r="C347" s="2"/>
      <c r="D347" s="2"/>
      <c r="E347" s="2"/>
      <c r="F347" s="2"/>
      <c r="G347" s="2"/>
      <c r="H347" s="2"/>
      <c r="I347" s="2"/>
      <c r="J347" s="2"/>
      <c r="K347" s="2"/>
      <c r="L347" s="2"/>
      <c r="M347" s="2"/>
      <c r="N347" s="2"/>
      <c r="O347" s="2"/>
      <c r="P347" s="2"/>
      <c r="Q347" s="2"/>
      <c r="R347" s="9"/>
      <c r="S347" s="9"/>
      <c r="T347" s="9"/>
      <c r="U347" s="9"/>
      <c r="V347" s="9"/>
      <c r="W347" s="9"/>
      <c r="X347" s="9"/>
      <c r="Y347" s="9"/>
      <c r="Z347" s="9"/>
      <c r="AA347" s="9"/>
      <c r="AB347" s="9"/>
      <c r="AC347" s="9"/>
      <c r="AD347" s="9"/>
    </row>
    <row r="348" spans="1:30" ht="13.5" customHeight="1" x14ac:dyDescent="0.25">
      <c r="A348" s="2"/>
      <c r="B348" s="2"/>
      <c r="C348" s="2"/>
      <c r="D348" s="2"/>
      <c r="E348" s="2"/>
      <c r="F348" s="2"/>
      <c r="G348" s="2"/>
      <c r="H348" s="2"/>
      <c r="I348" s="2"/>
      <c r="J348" s="2"/>
      <c r="K348" s="2"/>
      <c r="L348" s="2"/>
      <c r="M348" s="2"/>
      <c r="N348" s="2"/>
      <c r="O348" s="2"/>
      <c r="P348" s="2"/>
      <c r="Q348" s="2"/>
      <c r="R348" s="9"/>
      <c r="S348" s="9"/>
      <c r="T348" s="9"/>
      <c r="U348" s="9"/>
      <c r="V348" s="9"/>
      <c r="W348" s="9"/>
      <c r="X348" s="9"/>
      <c r="Y348" s="9"/>
      <c r="Z348" s="9"/>
      <c r="AA348" s="9"/>
      <c r="AB348" s="9"/>
      <c r="AC348" s="9"/>
      <c r="AD348" s="9"/>
    </row>
    <row r="349" spans="1:30" ht="13.5" customHeight="1" x14ac:dyDescent="0.25">
      <c r="A349" s="2"/>
      <c r="B349" s="2"/>
      <c r="C349" s="2"/>
      <c r="D349" s="2"/>
      <c r="E349" s="2"/>
      <c r="F349" s="2"/>
      <c r="G349" s="2"/>
      <c r="H349" s="2"/>
      <c r="I349" s="2"/>
      <c r="J349" s="2"/>
      <c r="K349" s="2"/>
      <c r="L349" s="2"/>
      <c r="M349" s="2"/>
      <c r="N349" s="2"/>
      <c r="O349" s="2"/>
      <c r="P349" s="2"/>
      <c r="Q349" s="2"/>
      <c r="R349" s="9"/>
      <c r="S349" s="9"/>
      <c r="T349" s="9"/>
      <c r="U349" s="9"/>
      <c r="V349" s="9"/>
      <c r="W349" s="9"/>
      <c r="X349" s="9"/>
      <c r="Y349" s="9"/>
      <c r="Z349" s="9"/>
      <c r="AA349" s="9"/>
      <c r="AB349" s="9"/>
      <c r="AC349" s="9"/>
      <c r="AD349" s="9"/>
    </row>
    <row r="350" spans="1:30" ht="13.5" customHeight="1" x14ac:dyDescent="0.25">
      <c r="A350" s="2"/>
      <c r="B350" s="2"/>
      <c r="C350" s="2"/>
      <c r="D350" s="2"/>
      <c r="E350" s="2"/>
      <c r="F350" s="2"/>
      <c r="G350" s="2"/>
      <c r="H350" s="2"/>
      <c r="I350" s="2"/>
      <c r="J350" s="2"/>
      <c r="K350" s="2"/>
      <c r="L350" s="2"/>
      <c r="M350" s="2"/>
      <c r="N350" s="2"/>
      <c r="O350" s="2"/>
      <c r="P350" s="2"/>
      <c r="Q350" s="2"/>
      <c r="R350" s="9"/>
      <c r="S350" s="9"/>
      <c r="T350" s="9"/>
      <c r="U350" s="9"/>
      <c r="V350" s="9"/>
      <c r="W350" s="9"/>
      <c r="X350" s="9"/>
      <c r="Y350" s="9"/>
      <c r="Z350" s="9"/>
      <c r="AA350" s="9"/>
      <c r="AB350" s="9"/>
      <c r="AC350" s="9"/>
      <c r="AD350" s="9"/>
    </row>
    <row r="351" spans="1:30" ht="13.5" customHeight="1" x14ac:dyDescent="0.25">
      <c r="A351" s="2"/>
      <c r="B351" s="2"/>
      <c r="C351" s="2"/>
      <c r="D351" s="2"/>
      <c r="E351" s="2"/>
      <c r="F351" s="2"/>
      <c r="G351" s="2"/>
      <c r="H351" s="2"/>
      <c r="I351" s="2"/>
      <c r="J351" s="2"/>
      <c r="K351" s="2"/>
      <c r="L351" s="2"/>
      <c r="M351" s="2"/>
      <c r="N351" s="2"/>
      <c r="O351" s="2"/>
      <c r="P351" s="2"/>
      <c r="Q351" s="2"/>
      <c r="R351" s="9"/>
      <c r="S351" s="9"/>
      <c r="T351" s="9"/>
      <c r="U351" s="9"/>
      <c r="V351" s="9"/>
      <c r="W351" s="9"/>
      <c r="X351" s="9"/>
      <c r="Y351" s="9"/>
      <c r="Z351" s="9"/>
      <c r="AA351" s="9"/>
      <c r="AB351" s="9"/>
      <c r="AC351" s="9"/>
      <c r="AD351" s="9"/>
    </row>
    <row r="352" spans="1:30" ht="13.5" customHeight="1" x14ac:dyDescent="0.25">
      <c r="A352" s="2"/>
      <c r="B352" s="2"/>
      <c r="C352" s="2"/>
      <c r="D352" s="2"/>
      <c r="E352" s="2"/>
      <c r="F352" s="2"/>
      <c r="G352" s="2"/>
      <c r="H352" s="2"/>
      <c r="I352" s="2"/>
      <c r="J352" s="2"/>
      <c r="K352" s="2"/>
      <c r="L352" s="2"/>
      <c r="M352" s="2"/>
      <c r="N352" s="2"/>
      <c r="O352" s="2"/>
      <c r="P352" s="2"/>
      <c r="Q352" s="2"/>
      <c r="R352" s="9"/>
      <c r="S352" s="9"/>
      <c r="T352" s="9"/>
      <c r="U352" s="9"/>
      <c r="V352" s="9"/>
      <c r="W352" s="9"/>
      <c r="X352" s="9"/>
      <c r="Y352" s="9"/>
      <c r="Z352" s="9"/>
      <c r="AA352" s="9"/>
      <c r="AB352" s="9"/>
      <c r="AC352" s="9"/>
      <c r="AD352" s="9"/>
    </row>
    <row r="353" spans="1:30" ht="13.5" customHeight="1" x14ac:dyDescent="0.25">
      <c r="A353" s="2"/>
      <c r="B353" s="2"/>
      <c r="C353" s="2"/>
      <c r="D353" s="2"/>
      <c r="E353" s="2"/>
      <c r="F353" s="2"/>
      <c r="G353" s="2"/>
      <c r="H353" s="2"/>
      <c r="I353" s="2"/>
      <c r="J353" s="2"/>
      <c r="K353" s="2"/>
      <c r="L353" s="2"/>
      <c r="M353" s="2"/>
      <c r="N353" s="2"/>
      <c r="O353" s="2"/>
      <c r="P353" s="2"/>
      <c r="Q353" s="2"/>
      <c r="R353" s="9"/>
      <c r="S353" s="9"/>
      <c r="T353" s="9"/>
      <c r="U353" s="9"/>
      <c r="V353" s="9"/>
      <c r="W353" s="9"/>
      <c r="X353" s="9"/>
      <c r="Y353" s="9"/>
      <c r="Z353" s="9"/>
      <c r="AA353" s="9"/>
      <c r="AB353" s="9"/>
      <c r="AC353" s="9"/>
      <c r="AD353" s="9"/>
    </row>
    <row r="354" spans="1:30" ht="13.5" customHeight="1" x14ac:dyDescent="0.25">
      <c r="A354" s="2"/>
      <c r="B354" s="2"/>
      <c r="C354" s="2"/>
      <c r="D354" s="2"/>
      <c r="E354" s="2"/>
      <c r="F354" s="2"/>
      <c r="G354" s="2"/>
      <c r="H354" s="2"/>
      <c r="I354" s="2"/>
      <c r="J354" s="2"/>
      <c r="K354" s="2"/>
      <c r="L354" s="2"/>
      <c r="M354" s="2"/>
      <c r="N354" s="2"/>
      <c r="O354" s="2"/>
      <c r="P354" s="2"/>
      <c r="Q354" s="2"/>
      <c r="R354" s="9"/>
      <c r="S354" s="9"/>
      <c r="T354" s="9"/>
      <c r="U354" s="9"/>
      <c r="V354" s="9"/>
      <c r="W354" s="9"/>
      <c r="X354" s="9"/>
      <c r="Y354" s="9"/>
      <c r="Z354" s="9"/>
      <c r="AA354" s="9"/>
      <c r="AB354" s="9"/>
      <c r="AC354" s="9"/>
      <c r="AD354" s="9"/>
    </row>
    <row r="355" spans="1:30" ht="13.5" customHeight="1" x14ac:dyDescent="0.25">
      <c r="A355" s="2"/>
      <c r="B355" s="2"/>
      <c r="C355" s="2"/>
      <c r="D355" s="2"/>
      <c r="E355" s="2"/>
      <c r="F355" s="2"/>
      <c r="G355" s="2"/>
      <c r="H355" s="2"/>
      <c r="I355" s="2"/>
      <c r="J355" s="2"/>
      <c r="K355" s="2"/>
      <c r="L355" s="2"/>
      <c r="M355" s="2"/>
      <c r="N355" s="2"/>
      <c r="O355" s="2"/>
      <c r="P355" s="2"/>
      <c r="Q355" s="2"/>
      <c r="R355" s="9"/>
      <c r="S355" s="9"/>
      <c r="T355" s="9"/>
      <c r="U355" s="9"/>
      <c r="V355" s="9"/>
      <c r="W355" s="9"/>
      <c r="X355" s="9"/>
      <c r="Y355" s="9"/>
      <c r="Z355" s="9"/>
      <c r="AA355" s="9"/>
      <c r="AB355" s="9"/>
      <c r="AC355" s="9"/>
      <c r="AD355" s="9"/>
    </row>
    <row r="356" spans="1:30" ht="13.5" customHeight="1" x14ac:dyDescent="0.25">
      <c r="A356" s="2"/>
      <c r="B356" s="2"/>
      <c r="C356" s="2"/>
      <c r="D356" s="2"/>
      <c r="E356" s="2"/>
      <c r="F356" s="2"/>
      <c r="G356" s="2"/>
      <c r="H356" s="2"/>
      <c r="I356" s="2"/>
      <c r="J356" s="2"/>
      <c r="K356" s="2"/>
      <c r="L356" s="2"/>
      <c r="M356" s="2"/>
      <c r="N356" s="2"/>
      <c r="O356" s="2"/>
      <c r="P356" s="2"/>
      <c r="Q356" s="2"/>
      <c r="R356" s="9"/>
      <c r="S356" s="9"/>
      <c r="T356" s="9"/>
      <c r="U356" s="9"/>
      <c r="V356" s="9"/>
      <c r="W356" s="9"/>
      <c r="X356" s="9"/>
      <c r="Y356" s="9"/>
      <c r="Z356" s="9"/>
      <c r="AA356" s="9"/>
      <c r="AB356" s="9"/>
      <c r="AC356" s="9"/>
      <c r="AD356" s="9"/>
    </row>
    <row r="357" spans="1:30" ht="13.5" customHeight="1" x14ac:dyDescent="0.25">
      <c r="A357" s="2"/>
      <c r="B357" s="2"/>
      <c r="C357" s="2"/>
      <c r="D357" s="2"/>
      <c r="E357" s="2"/>
      <c r="F357" s="2"/>
      <c r="G357" s="2"/>
      <c r="H357" s="2"/>
      <c r="I357" s="2"/>
      <c r="J357" s="2"/>
      <c r="K357" s="2"/>
      <c r="L357" s="2"/>
      <c r="M357" s="2"/>
      <c r="N357" s="2"/>
      <c r="O357" s="2"/>
      <c r="P357" s="2"/>
      <c r="Q357" s="2"/>
      <c r="R357" s="9"/>
      <c r="S357" s="9"/>
      <c r="T357" s="9"/>
      <c r="U357" s="9"/>
      <c r="V357" s="9"/>
      <c r="W357" s="9"/>
      <c r="X357" s="9"/>
      <c r="Y357" s="9"/>
      <c r="Z357" s="9"/>
      <c r="AA357" s="9"/>
      <c r="AB357" s="9"/>
      <c r="AC357" s="9"/>
      <c r="AD357" s="9"/>
    </row>
    <row r="358" spans="1:30" ht="13.5" customHeight="1" x14ac:dyDescent="0.25">
      <c r="A358" s="2"/>
      <c r="B358" s="2"/>
      <c r="C358" s="2"/>
      <c r="D358" s="2"/>
      <c r="E358" s="2"/>
      <c r="F358" s="2"/>
      <c r="G358" s="2"/>
      <c r="H358" s="2"/>
      <c r="I358" s="2"/>
      <c r="J358" s="2"/>
      <c r="K358" s="2"/>
      <c r="L358" s="2"/>
      <c r="M358" s="2"/>
      <c r="N358" s="2"/>
      <c r="O358" s="2"/>
      <c r="P358" s="2"/>
      <c r="Q358" s="2"/>
      <c r="R358" s="9"/>
      <c r="S358" s="9"/>
      <c r="T358" s="9"/>
      <c r="U358" s="9"/>
      <c r="V358" s="9"/>
      <c r="W358" s="9"/>
      <c r="X358" s="9"/>
      <c r="Y358" s="9"/>
      <c r="Z358" s="9"/>
      <c r="AA358" s="9"/>
      <c r="AB358" s="9"/>
      <c r="AC358" s="9"/>
      <c r="AD358" s="9"/>
    </row>
    <row r="359" spans="1:30" ht="13.5" customHeight="1" x14ac:dyDescent="0.25">
      <c r="A359" s="2"/>
      <c r="B359" s="2"/>
      <c r="C359" s="2"/>
      <c r="D359" s="2"/>
      <c r="E359" s="2"/>
      <c r="F359" s="2"/>
      <c r="G359" s="2"/>
      <c r="H359" s="2"/>
      <c r="I359" s="2"/>
      <c r="J359" s="2"/>
      <c r="K359" s="2"/>
      <c r="L359" s="2"/>
      <c r="M359" s="2"/>
      <c r="N359" s="2"/>
      <c r="O359" s="2"/>
      <c r="P359" s="2"/>
      <c r="Q359" s="2"/>
      <c r="R359" s="9"/>
      <c r="S359" s="9"/>
      <c r="T359" s="9"/>
      <c r="U359" s="9"/>
      <c r="V359" s="9"/>
      <c r="W359" s="9"/>
      <c r="X359" s="9"/>
      <c r="Y359" s="9"/>
      <c r="Z359" s="9"/>
      <c r="AA359" s="9"/>
      <c r="AB359" s="9"/>
      <c r="AC359" s="9"/>
      <c r="AD359" s="9"/>
    </row>
    <row r="360" spans="1:30" ht="13.5" customHeight="1" x14ac:dyDescent="0.25">
      <c r="A360" s="2"/>
      <c r="B360" s="2"/>
      <c r="C360" s="2"/>
      <c r="D360" s="2"/>
      <c r="E360" s="2"/>
      <c r="F360" s="2"/>
      <c r="G360" s="2"/>
      <c r="H360" s="2"/>
      <c r="I360" s="2"/>
      <c r="J360" s="2"/>
      <c r="K360" s="2"/>
      <c r="L360" s="2"/>
      <c r="M360" s="2"/>
      <c r="N360" s="2"/>
      <c r="O360" s="2"/>
      <c r="P360" s="2"/>
      <c r="Q360" s="2"/>
      <c r="R360" s="9"/>
      <c r="S360" s="9"/>
      <c r="T360" s="9"/>
      <c r="U360" s="9"/>
      <c r="V360" s="9"/>
      <c r="W360" s="9"/>
      <c r="X360" s="9"/>
      <c r="Y360" s="9"/>
      <c r="Z360" s="9"/>
      <c r="AA360" s="9"/>
      <c r="AB360" s="9"/>
      <c r="AC360" s="9"/>
      <c r="AD360" s="9"/>
    </row>
    <row r="361" spans="1:30" ht="13.5" customHeight="1" x14ac:dyDescent="0.25">
      <c r="A361" s="2"/>
      <c r="B361" s="2"/>
      <c r="C361" s="2"/>
      <c r="D361" s="2"/>
      <c r="E361" s="2"/>
      <c r="F361" s="2"/>
      <c r="G361" s="2"/>
      <c r="H361" s="2"/>
      <c r="I361" s="2"/>
      <c r="J361" s="2"/>
      <c r="K361" s="2"/>
      <c r="L361" s="2"/>
      <c r="M361" s="2"/>
      <c r="N361" s="2"/>
      <c r="O361" s="2"/>
      <c r="P361" s="2"/>
      <c r="Q361" s="2"/>
      <c r="R361" s="9"/>
      <c r="S361" s="9"/>
      <c r="T361" s="9"/>
      <c r="U361" s="9"/>
      <c r="V361" s="9"/>
      <c r="W361" s="9"/>
      <c r="X361" s="9"/>
      <c r="Y361" s="9"/>
      <c r="Z361" s="9"/>
      <c r="AA361" s="9"/>
      <c r="AB361" s="9"/>
      <c r="AC361" s="9"/>
      <c r="AD361" s="9"/>
    </row>
    <row r="362" spans="1:30" ht="13.5" customHeight="1" x14ac:dyDescent="0.25">
      <c r="A362" s="2"/>
      <c r="B362" s="2"/>
      <c r="C362" s="2"/>
      <c r="D362" s="2"/>
      <c r="E362" s="2"/>
      <c r="F362" s="2"/>
      <c r="G362" s="2"/>
      <c r="H362" s="2"/>
      <c r="I362" s="2"/>
      <c r="J362" s="2"/>
      <c r="K362" s="2"/>
      <c r="L362" s="2"/>
      <c r="M362" s="2"/>
      <c r="N362" s="2"/>
      <c r="O362" s="2"/>
      <c r="P362" s="2"/>
      <c r="Q362" s="2"/>
      <c r="R362" s="9"/>
      <c r="S362" s="9"/>
      <c r="T362" s="9"/>
      <c r="U362" s="9"/>
      <c r="V362" s="9"/>
      <c r="W362" s="9"/>
      <c r="X362" s="9"/>
      <c r="Y362" s="9"/>
      <c r="Z362" s="9"/>
      <c r="AA362" s="9"/>
      <c r="AB362" s="9"/>
      <c r="AC362" s="9"/>
      <c r="AD362" s="9"/>
    </row>
    <row r="363" spans="1:30" ht="13.5" customHeight="1" x14ac:dyDescent="0.25">
      <c r="A363" s="2"/>
      <c r="B363" s="2"/>
      <c r="C363" s="2"/>
      <c r="D363" s="2"/>
      <c r="E363" s="2"/>
      <c r="F363" s="2"/>
      <c r="G363" s="2"/>
      <c r="H363" s="2"/>
      <c r="I363" s="2"/>
      <c r="J363" s="2"/>
      <c r="K363" s="2"/>
      <c r="L363" s="2"/>
      <c r="M363" s="2"/>
      <c r="N363" s="2"/>
      <c r="O363" s="2"/>
      <c r="P363" s="2"/>
      <c r="Q363" s="2"/>
      <c r="R363" s="9"/>
      <c r="S363" s="9"/>
      <c r="T363" s="9"/>
      <c r="U363" s="9"/>
      <c r="V363" s="9"/>
      <c r="W363" s="9"/>
      <c r="X363" s="9"/>
      <c r="Y363" s="9"/>
      <c r="Z363" s="9"/>
      <c r="AA363" s="9"/>
      <c r="AB363" s="9"/>
      <c r="AC363" s="9"/>
      <c r="AD363" s="9"/>
    </row>
    <row r="364" spans="1:30" ht="13.5" customHeight="1" x14ac:dyDescent="0.25">
      <c r="A364" s="2"/>
      <c r="B364" s="2"/>
      <c r="C364" s="2"/>
      <c r="D364" s="2"/>
      <c r="E364" s="2"/>
      <c r="F364" s="2"/>
      <c r="G364" s="2"/>
      <c r="H364" s="2"/>
      <c r="I364" s="2"/>
      <c r="J364" s="2"/>
      <c r="K364" s="2"/>
      <c r="L364" s="2"/>
      <c r="M364" s="2"/>
      <c r="N364" s="2"/>
      <c r="O364" s="2"/>
      <c r="P364" s="2"/>
      <c r="Q364" s="2"/>
      <c r="R364" s="9"/>
      <c r="S364" s="9"/>
      <c r="T364" s="9"/>
      <c r="U364" s="9"/>
      <c r="V364" s="9"/>
      <c r="W364" s="9"/>
      <c r="X364" s="9"/>
      <c r="Y364" s="9"/>
      <c r="Z364" s="9"/>
      <c r="AA364" s="9"/>
      <c r="AB364" s="9"/>
      <c r="AC364" s="9"/>
      <c r="AD364" s="9"/>
    </row>
    <row r="365" spans="1:30" ht="13.5" customHeight="1" x14ac:dyDescent="0.25">
      <c r="A365" s="2"/>
      <c r="B365" s="2"/>
      <c r="C365" s="2"/>
      <c r="D365" s="2"/>
      <c r="E365" s="2"/>
      <c r="F365" s="2"/>
      <c r="G365" s="2"/>
      <c r="H365" s="2"/>
      <c r="I365" s="2"/>
      <c r="J365" s="2"/>
      <c r="K365" s="2"/>
      <c r="L365" s="2"/>
      <c r="M365" s="2"/>
      <c r="N365" s="2"/>
      <c r="O365" s="2"/>
      <c r="P365" s="2"/>
      <c r="Q365" s="2"/>
      <c r="R365" s="9"/>
      <c r="S365" s="9"/>
      <c r="T365" s="9"/>
      <c r="U365" s="9"/>
      <c r="V365" s="9"/>
      <c r="W365" s="9"/>
      <c r="X365" s="9"/>
      <c r="Y365" s="9"/>
      <c r="Z365" s="9"/>
      <c r="AA365" s="9"/>
      <c r="AB365" s="9"/>
      <c r="AC365" s="9"/>
      <c r="AD365" s="9"/>
    </row>
    <row r="366" spans="1:30" ht="13.5" customHeight="1" x14ac:dyDescent="0.25">
      <c r="A366" s="2"/>
      <c r="B366" s="2"/>
      <c r="C366" s="2"/>
      <c r="D366" s="2"/>
      <c r="E366" s="2"/>
      <c r="F366" s="2"/>
      <c r="G366" s="2"/>
      <c r="H366" s="2"/>
      <c r="I366" s="2"/>
      <c r="J366" s="2"/>
      <c r="K366" s="2"/>
      <c r="L366" s="2"/>
      <c r="M366" s="2"/>
      <c r="N366" s="2"/>
      <c r="O366" s="2"/>
      <c r="P366" s="2"/>
      <c r="Q366" s="2"/>
      <c r="R366" s="9"/>
      <c r="S366" s="9"/>
      <c r="T366" s="9"/>
      <c r="U366" s="9"/>
      <c r="V366" s="9"/>
      <c r="W366" s="9"/>
      <c r="X366" s="9"/>
      <c r="Y366" s="9"/>
      <c r="Z366" s="9"/>
      <c r="AA366" s="9"/>
      <c r="AB366" s="9"/>
      <c r="AC366" s="9"/>
      <c r="AD366" s="9"/>
    </row>
    <row r="367" spans="1:30" ht="13.5" customHeight="1" x14ac:dyDescent="0.25">
      <c r="A367" s="2"/>
      <c r="B367" s="2"/>
      <c r="C367" s="2"/>
      <c r="D367" s="2"/>
      <c r="E367" s="2"/>
      <c r="F367" s="2"/>
      <c r="G367" s="2"/>
      <c r="H367" s="2"/>
      <c r="I367" s="2"/>
      <c r="J367" s="2"/>
      <c r="K367" s="2"/>
      <c r="L367" s="2"/>
      <c r="M367" s="2"/>
      <c r="N367" s="2"/>
      <c r="O367" s="2"/>
      <c r="P367" s="2"/>
      <c r="Q367" s="2"/>
      <c r="R367" s="9"/>
      <c r="S367" s="9"/>
      <c r="T367" s="9"/>
      <c r="U367" s="9"/>
      <c r="V367" s="9"/>
      <c r="W367" s="9"/>
      <c r="X367" s="9"/>
      <c r="Y367" s="9"/>
      <c r="Z367" s="9"/>
      <c r="AA367" s="9"/>
      <c r="AB367" s="9"/>
      <c r="AC367" s="9"/>
      <c r="AD367" s="9"/>
    </row>
    <row r="368" spans="1:30" ht="13.5" customHeight="1" x14ac:dyDescent="0.25">
      <c r="A368" s="2"/>
      <c r="B368" s="2"/>
      <c r="C368" s="2"/>
      <c r="D368" s="2"/>
      <c r="E368" s="2"/>
      <c r="F368" s="2"/>
      <c r="G368" s="2"/>
      <c r="H368" s="2"/>
      <c r="I368" s="2"/>
      <c r="J368" s="2"/>
      <c r="K368" s="2"/>
      <c r="L368" s="2"/>
      <c r="M368" s="2"/>
      <c r="N368" s="2"/>
      <c r="O368" s="2"/>
      <c r="P368" s="2"/>
      <c r="Q368" s="2"/>
      <c r="R368" s="9"/>
      <c r="S368" s="9"/>
      <c r="T368" s="9"/>
      <c r="U368" s="9"/>
      <c r="V368" s="9"/>
      <c r="W368" s="9"/>
      <c r="X368" s="9"/>
      <c r="Y368" s="9"/>
      <c r="Z368" s="9"/>
      <c r="AA368" s="9"/>
      <c r="AB368" s="9"/>
      <c r="AC368" s="9"/>
      <c r="AD368" s="9"/>
    </row>
    <row r="369" spans="1:30" ht="13.5" customHeight="1" x14ac:dyDescent="0.25">
      <c r="A369" s="2"/>
      <c r="B369" s="2"/>
      <c r="C369" s="2"/>
      <c r="D369" s="2"/>
      <c r="E369" s="2"/>
      <c r="F369" s="2"/>
      <c r="G369" s="2"/>
      <c r="H369" s="2"/>
      <c r="I369" s="2"/>
      <c r="J369" s="2"/>
      <c r="K369" s="2"/>
      <c r="L369" s="2"/>
      <c r="M369" s="2"/>
      <c r="N369" s="2"/>
      <c r="O369" s="2"/>
      <c r="P369" s="2"/>
      <c r="Q369" s="2"/>
      <c r="R369" s="9"/>
      <c r="S369" s="9"/>
      <c r="T369" s="9"/>
      <c r="U369" s="9"/>
      <c r="V369" s="9"/>
      <c r="W369" s="9"/>
      <c r="X369" s="9"/>
      <c r="Y369" s="9"/>
      <c r="Z369" s="9"/>
      <c r="AA369" s="9"/>
      <c r="AB369" s="9"/>
      <c r="AC369" s="9"/>
      <c r="AD369" s="9"/>
    </row>
    <row r="370" spans="1:30" ht="13.5" customHeight="1" x14ac:dyDescent="0.25">
      <c r="A370" s="2"/>
      <c r="B370" s="2"/>
      <c r="C370" s="2"/>
      <c r="D370" s="2"/>
      <c r="E370" s="2"/>
      <c r="F370" s="2"/>
      <c r="G370" s="2"/>
      <c r="H370" s="2"/>
      <c r="I370" s="2"/>
      <c r="J370" s="2"/>
      <c r="K370" s="2"/>
      <c r="L370" s="2"/>
      <c r="M370" s="2"/>
      <c r="N370" s="2"/>
      <c r="O370" s="2"/>
      <c r="P370" s="2"/>
      <c r="Q370" s="2"/>
      <c r="R370" s="9"/>
      <c r="S370" s="9"/>
      <c r="T370" s="9"/>
      <c r="U370" s="9"/>
      <c r="V370" s="9"/>
      <c r="W370" s="9"/>
      <c r="X370" s="9"/>
      <c r="Y370" s="9"/>
      <c r="Z370" s="9"/>
      <c r="AA370" s="9"/>
      <c r="AB370" s="9"/>
      <c r="AC370" s="9"/>
      <c r="AD370" s="9"/>
    </row>
    <row r="371" spans="1:30" ht="13.5" customHeight="1" x14ac:dyDescent="0.25">
      <c r="A371" s="2"/>
      <c r="B371" s="2"/>
      <c r="C371" s="2"/>
      <c r="D371" s="2"/>
      <c r="E371" s="2"/>
      <c r="F371" s="2"/>
      <c r="G371" s="2"/>
      <c r="H371" s="2"/>
      <c r="I371" s="2"/>
      <c r="J371" s="2"/>
      <c r="K371" s="2"/>
      <c r="L371" s="2"/>
      <c r="M371" s="2"/>
      <c r="N371" s="2"/>
      <c r="O371" s="2"/>
      <c r="P371" s="2"/>
      <c r="Q371" s="2"/>
      <c r="R371" s="9"/>
      <c r="S371" s="9"/>
      <c r="T371" s="9"/>
      <c r="U371" s="9"/>
      <c r="V371" s="9"/>
      <c r="W371" s="9"/>
      <c r="X371" s="9"/>
      <c r="Y371" s="9"/>
      <c r="Z371" s="9"/>
      <c r="AA371" s="9"/>
      <c r="AB371" s="9"/>
      <c r="AC371" s="9"/>
      <c r="AD371" s="9"/>
    </row>
    <row r="372" spans="1:30" ht="13.5" customHeight="1" x14ac:dyDescent="0.25">
      <c r="A372" s="2"/>
      <c r="B372" s="2"/>
      <c r="C372" s="2"/>
      <c r="D372" s="2"/>
      <c r="E372" s="2"/>
      <c r="F372" s="2"/>
      <c r="G372" s="2"/>
      <c r="H372" s="2"/>
      <c r="I372" s="2"/>
      <c r="J372" s="2"/>
      <c r="K372" s="2"/>
      <c r="L372" s="2"/>
      <c r="M372" s="2"/>
      <c r="N372" s="2"/>
      <c r="O372" s="2"/>
      <c r="P372" s="2"/>
      <c r="Q372" s="2"/>
      <c r="R372" s="9"/>
      <c r="S372" s="9"/>
      <c r="T372" s="9"/>
      <c r="U372" s="9"/>
      <c r="V372" s="9"/>
      <c r="W372" s="9"/>
      <c r="X372" s="9"/>
      <c r="Y372" s="9"/>
      <c r="Z372" s="9"/>
      <c r="AA372" s="9"/>
      <c r="AB372" s="9"/>
      <c r="AC372" s="9"/>
      <c r="AD372" s="9"/>
    </row>
    <row r="373" spans="1:30" ht="13.5" customHeight="1" x14ac:dyDescent="0.25">
      <c r="A373" s="2"/>
      <c r="B373" s="2"/>
      <c r="C373" s="2"/>
      <c r="D373" s="2"/>
      <c r="E373" s="2"/>
      <c r="F373" s="2"/>
      <c r="G373" s="2"/>
      <c r="H373" s="2"/>
      <c r="I373" s="2"/>
      <c r="J373" s="2"/>
      <c r="K373" s="2"/>
      <c r="L373" s="2"/>
      <c r="M373" s="2"/>
      <c r="N373" s="2"/>
      <c r="O373" s="2"/>
      <c r="P373" s="2"/>
      <c r="Q373" s="2"/>
      <c r="R373" s="9"/>
      <c r="S373" s="9"/>
      <c r="T373" s="9"/>
      <c r="U373" s="9"/>
      <c r="V373" s="9"/>
      <c r="W373" s="9"/>
      <c r="X373" s="9"/>
      <c r="Y373" s="9"/>
      <c r="Z373" s="9"/>
      <c r="AA373" s="9"/>
      <c r="AB373" s="9"/>
      <c r="AC373" s="9"/>
      <c r="AD373" s="9"/>
    </row>
    <row r="374" spans="1:30" ht="13.5" customHeight="1" x14ac:dyDescent="0.25">
      <c r="A374" s="2"/>
      <c r="B374" s="2"/>
      <c r="C374" s="2"/>
      <c r="D374" s="2"/>
      <c r="E374" s="2"/>
      <c r="F374" s="2"/>
      <c r="G374" s="2"/>
      <c r="H374" s="2"/>
      <c r="I374" s="2"/>
      <c r="J374" s="2"/>
      <c r="K374" s="2"/>
      <c r="L374" s="2"/>
      <c r="M374" s="2"/>
      <c r="N374" s="2"/>
      <c r="O374" s="2"/>
      <c r="P374" s="2"/>
      <c r="Q374" s="2"/>
      <c r="R374" s="9"/>
      <c r="S374" s="9"/>
      <c r="T374" s="9"/>
      <c r="U374" s="9"/>
      <c r="V374" s="9"/>
      <c r="W374" s="9"/>
      <c r="X374" s="9"/>
      <c r="Y374" s="9"/>
      <c r="Z374" s="9"/>
      <c r="AA374" s="9"/>
      <c r="AB374" s="9"/>
      <c r="AC374" s="9"/>
      <c r="AD374" s="9"/>
    </row>
    <row r="375" spans="1:30" ht="13.5" customHeight="1" x14ac:dyDescent="0.25">
      <c r="A375" s="2"/>
      <c r="B375" s="2"/>
      <c r="C375" s="2"/>
      <c r="D375" s="2"/>
      <c r="E375" s="2"/>
      <c r="F375" s="2"/>
      <c r="G375" s="2"/>
      <c r="H375" s="2"/>
      <c r="I375" s="2"/>
      <c r="J375" s="2"/>
      <c r="K375" s="2"/>
      <c r="L375" s="2"/>
      <c r="M375" s="2"/>
      <c r="N375" s="2"/>
      <c r="O375" s="2"/>
      <c r="P375" s="2"/>
      <c r="Q375" s="2"/>
      <c r="R375" s="9"/>
      <c r="S375" s="9"/>
      <c r="T375" s="9"/>
      <c r="U375" s="9"/>
      <c r="V375" s="9"/>
      <c r="W375" s="9"/>
      <c r="X375" s="9"/>
      <c r="Y375" s="9"/>
      <c r="Z375" s="9"/>
      <c r="AA375" s="9"/>
      <c r="AB375" s="9"/>
      <c r="AC375" s="9"/>
      <c r="AD375" s="9"/>
    </row>
    <row r="376" spans="1:30" ht="13.5" customHeight="1" x14ac:dyDescent="0.25">
      <c r="A376" s="2"/>
      <c r="B376" s="2"/>
      <c r="C376" s="2"/>
      <c r="D376" s="2"/>
      <c r="E376" s="2"/>
      <c r="F376" s="2"/>
      <c r="G376" s="2"/>
      <c r="H376" s="2"/>
      <c r="I376" s="2"/>
      <c r="J376" s="2"/>
      <c r="K376" s="2"/>
      <c r="L376" s="2"/>
      <c r="M376" s="2"/>
      <c r="N376" s="2"/>
      <c r="O376" s="2"/>
      <c r="P376" s="2"/>
      <c r="Q376" s="2"/>
      <c r="R376" s="9"/>
      <c r="S376" s="9"/>
      <c r="T376" s="9"/>
      <c r="U376" s="9"/>
      <c r="V376" s="9"/>
      <c r="W376" s="9"/>
      <c r="X376" s="9"/>
      <c r="Y376" s="9"/>
      <c r="Z376" s="9"/>
      <c r="AA376" s="9"/>
      <c r="AB376" s="9"/>
      <c r="AC376" s="9"/>
      <c r="AD376" s="9"/>
    </row>
    <row r="377" spans="1:30" ht="13.5" customHeight="1" x14ac:dyDescent="0.25">
      <c r="A377" s="2"/>
      <c r="B377" s="2"/>
      <c r="C377" s="2"/>
      <c r="D377" s="2"/>
      <c r="E377" s="2"/>
      <c r="F377" s="2"/>
      <c r="G377" s="2"/>
      <c r="H377" s="2"/>
      <c r="I377" s="2"/>
      <c r="J377" s="2"/>
      <c r="K377" s="2"/>
      <c r="L377" s="2"/>
      <c r="M377" s="2"/>
      <c r="N377" s="2"/>
      <c r="O377" s="2"/>
      <c r="P377" s="2"/>
      <c r="Q377" s="2"/>
      <c r="R377" s="9"/>
      <c r="S377" s="9"/>
      <c r="T377" s="9"/>
      <c r="U377" s="9"/>
      <c r="V377" s="9"/>
      <c r="W377" s="9"/>
      <c r="X377" s="9"/>
      <c r="Y377" s="9"/>
      <c r="Z377" s="9"/>
      <c r="AA377" s="9"/>
      <c r="AB377" s="9"/>
      <c r="AC377" s="9"/>
      <c r="AD377" s="9"/>
    </row>
    <row r="378" spans="1:30" ht="13.5" customHeight="1" x14ac:dyDescent="0.25">
      <c r="A378" s="2"/>
      <c r="B378" s="2"/>
      <c r="C378" s="2"/>
      <c r="D378" s="2"/>
      <c r="E378" s="2"/>
      <c r="F378" s="2"/>
      <c r="G378" s="2"/>
      <c r="H378" s="2"/>
      <c r="I378" s="2"/>
      <c r="J378" s="2"/>
      <c r="K378" s="2"/>
      <c r="L378" s="2"/>
      <c r="M378" s="2"/>
      <c r="N378" s="2"/>
      <c r="O378" s="2"/>
      <c r="P378" s="2"/>
      <c r="Q378" s="2"/>
      <c r="R378" s="9"/>
      <c r="S378" s="9"/>
      <c r="T378" s="9"/>
      <c r="U378" s="9"/>
      <c r="V378" s="9"/>
      <c r="W378" s="9"/>
      <c r="X378" s="9"/>
      <c r="Y378" s="9"/>
      <c r="Z378" s="9"/>
      <c r="AA378" s="9"/>
      <c r="AB378" s="9"/>
      <c r="AC378" s="9"/>
      <c r="AD378" s="9"/>
    </row>
    <row r="379" spans="1:30" ht="13.5" customHeight="1" x14ac:dyDescent="0.25">
      <c r="A379" s="2"/>
      <c r="B379" s="2"/>
      <c r="C379" s="2"/>
      <c r="D379" s="2"/>
      <c r="E379" s="2"/>
      <c r="F379" s="2"/>
      <c r="G379" s="2"/>
      <c r="H379" s="2"/>
      <c r="I379" s="2"/>
      <c r="J379" s="2"/>
      <c r="K379" s="2"/>
      <c r="L379" s="2"/>
      <c r="M379" s="2"/>
      <c r="N379" s="2"/>
      <c r="O379" s="2"/>
      <c r="P379" s="2"/>
      <c r="Q379" s="2"/>
      <c r="R379" s="9"/>
      <c r="S379" s="9"/>
      <c r="T379" s="9"/>
      <c r="U379" s="9"/>
      <c r="V379" s="9"/>
      <c r="W379" s="9"/>
      <c r="X379" s="9"/>
      <c r="Y379" s="9"/>
      <c r="Z379" s="9"/>
      <c r="AA379" s="9"/>
      <c r="AB379" s="9"/>
      <c r="AC379" s="9"/>
      <c r="AD379" s="9"/>
    </row>
    <row r="380" spans="1:30" ht="13.5" customHeight="1" x14ac:dyDescent="0.25">
      <c r="A380" s="2"/>
      <c r="B380" s="2"/>
      <c r="C380" s="2"/>
      <c r="D380" s="2"/>
      <c r="E380" s="2"/>
      <c r="F380" s="2"/>
      <c r="G380" s="2"/>
      <c r="H380" s="2"/>
      <c r="I380" s="2"/>
      <c r="J380" s="2"/>
      <c r="K380" s="2"/>
      <c r="L380" s="2"/>
      <c r="M380" s="2"/>
      <c r="N380" s="2"/>
      <c r="O380" s="2"/>
      <c r="P380" s="2"/>
      <c r="Q380" s="2"/>
      <c r="R380" s="9"/>
      <c r="S380" s="9"/>
      <c r="T380" s="9"/>
      <c r="U380" s="9"/>
      <c r="V380" s="9"/>
      <c r="W380" s="9"/>
      <c r="X380" s="9"/>
      <c r="Y380" s="9"/>
      <c r="Z380" s="9"/>
      <c r="AA380" s="9"/>
      <c r="AB380" s="9"/>
      <c r="AC380" s="9"/>
      <c r="AD380" s="9"/>
    </row>
    <row r="381" spans="1:30" ht="13.5" customHeight="1" x14ac:dyDescent="0.25">
      <c r="A381" s="2"/>
      <c r="B381" s="2"/>
      <c r="C381" s="2"/>
      <c r="D381" s="2"/>
      <c r="E381" s="2"/>
      <c r="F381" s="2"/>
      <c r="G381" s="2"/>
      <c r="H381" s="2"/>
      <c r="I381" s="2"/>
      <c r="J381" s="2"/>
      <c r="K381" s="2"/>
      <c r="L381" s="2"/>
      <c r="M381" s="2"/>
      <c r="N381" s="2"/>
      <c r="O381" s="2"/>
      <c r="P381" s="2"/>
      <c r="Q381" s="2"/>
      <c r="R381" s="9"/>
      <c r="S381" s="9"/>
      <c r="T381" s="9"/>
      <c r="U381" s="9"/>
      <c r="V381" s="9"/>
      <c r="W381" s="9"/>
      <c r="X381" s="9"/>
      <c r="Y381" s="9"/>
      <c r="Z381" s="9"/>
      <c r="AA381" s="9"/>
      <c r="AB381" s="9"/>
      <c r="AC381" s="9"/>
      <c r="AD381" s="9"/>
    </row>
    <row r="382" spans="1:30" ht="13.5" customHeight="1" x14ac:dyDescent="0.25">
      <c r="A382" s="2"/>
      <c r="B382" s="2"/>
      <c r="C382" s="2"/>
      <c r="D382" s="2"/>
      <c r="E382" s="2"/>
      <c r="F382" s="2"/>
      <c r="G382" s="2"/>
      <c r="H382" s="2"/>
      <c r="I382" s="2"/>
      <c r="J382" s="2"/>
      <c r="K382" s="2"/>
      <c r="L382" s="2"/>
      <c r="M382" s="2"/>
      <c r="N382" s="2"/>
      <c r="O382" s="2"/>
      <c r="P382" s="2"/>
      <c r="Q382" s="2"/>
      <c r="R382" s="9"/>
      <c r="S382" s="9"/>
      <c r="T382" s="9"/>
      <c r="U382" s="9"/>
      <c r="V382" s="9"/>
      <c r="W382" s="9"/>
      <c r="X382" s="9"/>
      <c r="Y382" s="9"/>
      <c r="Z382" s="9"/>
      <c r="AA382" s="9"/>
      <c r="AB382" s="9"/>
      <c r="AC382" s="9"/>
      <c r="AD382" s="9"/>
    </row>
    <row r="383" spans="1:30" ht="13.5" customHeight="1" x14ac:dyDescent="0.25">
      <c r="A383" s="2"/>
      <c r="B383" s="2"/>
      <c r="C383" s="2"/>
      <c r="D383" s="2"/>
      <c r="E383" s="2"/>
      <c r="F383" s="2"/>
      <c r="G383" s="2"/>
      <c r="H383" s="2"/>
      <c r="I383" s="2"/>
      <c r="J383" s="2"/>
      <c r="K383" s="2"/>
      <c r="L383" s="2"/>
      <c r="M383" s="2"/>
      <c r="N383" s="2"/>
      <c r="O383" s="2"/>
      <c r="P383" s="2"/>
      <c r="Q383" s="2"/>
      <c r="R383" s="9"/>
      <c r="S383" s="9"/>
      <c r="T383" s="9"/>
      <c r="U383" s="9"/>
      <c r="V383" s="9"/>
      <c r="W383" s="9"/>
      <c r="X383" s="9"/>
      <c r="Y383" s="9"/>
      <c r="Z383" s="9"/>
      <c r="AA383" s="9"/>
      <c r="AB383" s="9"/>
      <c r="AC383" s="9"/>
      <c r="AD383" s="9"/>
    </row>
    <row r="384" spans="1:30" ht="13.5" customHeight="1" x14ac:dyDescent="0.25">
      <c r="A384" s="2"/>
      <c r="B384" s="2"/>
      <c r="C384" s="2"/>
      <c r="D384" s="2"/>
      <c r="E384" s="2"/>
      <c r="F384" s="2"/>
      <c r="G384" s="2"/>
      <c r="H384" s="2"/>
      <c r="I384" s="2"/>
      <c r="J384" s="2"/>
      <c r="K384" s="2"/>
      <c r="L384" s="2"/>
      <c r="M384" s="2"/>
      <c r="N384" s="2"/>
      <c r="O384" s="2"/>
      <c r="P384" s="2"/>
      <c r="Q384" s="2"/>
      <c r="R384" s="9"/>
      <c r="S384" s="9"/>
      <c r="T384" s="9"/>
      <c r="U384" s="9"/>
      <c r="V384" s="9"/>
      <c r="W384" s="9"/>
      <c r="X384" s="9"/>
      <c r="Y384" s="9"/>
      <c r="Z384" s="9"/>
      <c r="AA384" s="9"/>
      <c r="AB384" s="9"/>
      <c r="AC384" s="9"/>
      <c r="AD384" s="9"/>
    </row>
    <row r="385" spans="1:30" ht="13.5" customHeight="1" x14ac:dyDescent="0.25">
      <c r="A385" s="2"/>
      <c r="B385" s="2"/>
      <c r="C385" s="2"/>
      <c r="D385" s="2"/>
      <c r="E385" s="2"/>
      <c r="F385" s="2"/>
      <c r="G385" s="2"/>
      <c r="H385" s="2"/>
      <c r="I385" s="2"/>
      <c r="J385" s="2"/>
      <c r="K385" s="2"/>
      <c r="L385" s="2"/>
      <c r="M385" s="2"/>
      <c r="N385" s="2"/>
      <c r="O385" s="2"/>
      <c r="P385" s="2"/>
      <c r="Q385" s="2"/>
      <c r="R385" s="9"/>
      <c r="S385" s="9"/>
      <c r="T385" s="9"/>
      <c r="U385" s="9"/>
      <c r="V385" s="9"/>
      <c r="W385" s="9"/>
      <c r="X385" s="9"/>
      <c r="Y385" s="9"/>
      <c r="Z385" s="9"/>
      <c r="AA385" s="9"/>
      <c r="AB385" s="9"/>
      <c r="AC385" s="9"/>
      <c r="AD385" s="9"/>
    </row>
    <row r="386" spans="1:30" ht="13.5" customHeight="1" x14ac:dyDescent="0.25">
      <c r="A386" s="2"/>
      <c r="B386" s="2"/>
      <c r="C386" s="2"/>
      <c r="D386" s="2"/>
      <c r="E386" s="2"/>
      <c r="F386" s="2"/>
      <c r="G386" s="2"/>
      <c r="H386" s="2"/>
      <c r="I386" s="2"/>
      <c r="J386" s="2"/>
      <c r="K386" s="2"/>
      <c r="L386" s="2"/>
      <c r="M386" s="2"/>
      <c r="N386" s="2"/>
      <c r="O386" s="2"/>
      <c r="P386" s="2"/>
      <c r="Q386" s="2"/>
      <c r="R386" s="9"/>
      <c r="S386" s="9"/>
      <c r="T386" s="9"/>
      <c r="U386" s="9"/>
      <c r="V386" s="9"/>
      <c r="W386" s="9"/>
      <c r="X386" s="9"/>
      <c r="Y386" s="9"/>
      <c r="Z386" s="9"/>
      <c r="AA386" s="9"/>
      <c r="AB386" s="9"/>
      <c r="AC386" s="9"/>
      <c r="AD386" s="9"/>
    </row>
    <row r="387" spans="1:30" ht="13.5" customHeight="1" x14ac:dyDescent="0.25">
      <c r="A387" s="2"/>
      <c r="B387" s="2"/>
      <c r="C387" s="2"/>
      <c r="D387" s="2"/>
      <c r="E387" s="2"/>
      <c r="F387" s="2"/>
      <c r="G387" s="2"/>
      <c r="H387" s="2"/>
      <c r="I387" s="2"/>
      <c r="J387" s="2"/>
      <c r="K387" s="2"/>
      <c r="L387" s="2"/>
      <c r="M387" s="2"/>
      <c r="N387" s="2"/>
      <c r="O387" s="2"/>
      <c r="P387" s="2"/>
      <c r="Q387" s="2"/>
      <c r="R387" s="9"/>
      <c r="S387" s="9"/>
      <c r="T387" s="9"/>
      <c r="U387" s="9"/>
      <c r="V387" s="9"/>
      <c r="W387" s="9"/>
      <c r="X387" s="9"/>
      <c r="Y387" s="9"/>
      <c r="Z387" s="9"/>
      <c r="AA387" s="9"/>
      <c r="AB387" s="9"/>
      <c r="AC387" s="9"/>
      <c r="AD387" s="9"/>
    </row>
    <row r="388" spans="1:30" ht="13.5" customHeight="1" x14ac:dyDescent="0.25">
      <c r="A388" s="2"/>
      <c r="B388" s="2"/>
      <c r="C388" s="2"/>
      <c r="D388" s="2"/>
      <c r="E388" s="2"/>
      <c r="F388" s="2"/>
      <c r="G388" s="2"/>
      <c r="H388" s="2"/>
      <c r="I388" s="2"/>
      <c r="J388" s="2"/>
      <c r="K388" s="2"/>
      <c r="L388" s="2"/>
      <c r="M388" s="2"/>
      <c r="N388" s="2"/>
      <c r="O388" s="2"/>
      <c r="P388" s="2"/>
      <c r="Q388" s="2"/>
      <c r="R388" s="9"/>
      <c r="S388" s="9"/>
      <c r="T388" s="9"/>
      <c r="U388" s="9"/>
      <c r="V388" s="9"/>
      <c r="W388" s="9"/>
      <c r="X388" s="9"/>
      <c r="Y388" s="9"/>
      <c r="Z388" s="9"/>
      <c r="AA388" s="9"/>
      <c r="AB388" s="9"/>
      <c r="AC388" s="9"/>
      <c r="AD388" s="9"/>
    </row>
    <row r="389" spans="1:30" ht="13.5" customHeight="1" x14ac:dyDescent="0.25">
      <c r="A389" s="2"/>
      <c r="B389" s="2"/>
      <c r="C389" s="2"/>
      <c r="D389" s="2"/>
      <c r="E389" s="2"/>
      <c r="F389" s="2"/>
      <c r="G389" s="2"/>
      <c r="H389" s="2"/>
      <c r="I389" s="2"/>
      <c r="J389" s="2"/>
      <c r="K389" s="2"/>
      <c r="L389" s="2"/>
      <c r="M389" s="2"/>
      <c r="N389" s="2"/>
      <c r="O389" s="2"/>
      <c r="P389" s="2"/>
      <c r="Q389" s="2"/>
      <c r="R389" s="9"/>
      <c r="S389" s="9"/>
      <c r="T389" s="9"/>
      <c r="U389" s="9"/>
      <c r="V389" s="9"/>
      <c r="W389" s="9"/>
      <c r="X389" s="9"/>
      <c r="Y389" s="9"/>
      <c r="Z389" s="9"/>
      <c r="AA389" s="9"/>
      <c r="AB389" s="9"/>
      <c r="AC389" s="9"/>
      <c r="AD389" s="9"/>
    </row>
    <row r="390" spans="1:30" ht="13.5" customHeight="1" x14ac:dyDescent="0.25">
      <c r="A390" s="2"/>
      <c r="B390" s="2"/>
      <c r="C390" s="2"/>
      <c r="D390" s="2"/>
      <c r="E390" s="2"/>
      <c r="F390" s="2"/>
      <c r="G390" s="2"/>
      <c r="H390" s="2"/>
      <c r="I390" s="2"/>
      <c r="J390" s="2"/>
      <c r="K390" s="2"/>
      <c r="L390" s="2"/>
      <c r="M390" s="2"/>
      <c r="N390" s="2"/>
      <c r="O390" s="2"/>
      <c r="P390" s="2"/>
      <c r="Q390" s="2"/>
      <c r="R390" s="9"/>
      <c r="S390" s="9"/>
      <c r="T390" s="9"/>
      <c r="U390" s="9"/>
      <c r="V390" s="9"/>
      <c r="W390" s="9"/>
      <c r="X390" s="9"/>
      <c r="Y390" s="9"/>
      <c r="Z390" s="9"/>
      <c r="AA390" s="9"/>
      <c r="AB390" s="9"/>
      <c r="AC390" s="9"/>
      <c r="AD390" s="9"/>
    </row>
    <row r="391" spans="1:30" ht="13.5" customHeight="1" x14ac:dyDescent="0.25">
      <c r="A391" s="2"/>
      <c r="B391" s="2"/>
      <c r="C391" s="2"/>
      <c r="D391" s="2"/>
      <c r="E391" s="2"/>
      <c r="F391" s="2"/>
      <c r="G391" s="2"/>
      <c r="H391" s="2"/>
      <c r="I391" s="2"/>
      <c r="J391" s="2"/>
      <c r="K391" s="2"/>
      <c r="L391" s="2"/>
      <c r="M391" s="2"/>
      <c r="N391" s="2"/>
      <c r="O391" s="2"/>
      <c r="P391" s="2"/>
      <c r="Q391" s="2"/>
      <c r="R391" s="9"/>
      <c r="S391" s="9"/>
      <c r="T391" s="9"/>
      <c r="U391" s="9"/>
      <c r="V391" s="9"/>
      <c r="W391" s="9"/>
      <c r="X391" s="9"/>
      <c r="Y391" s="9"/>
      <c r="Z391" s="9"/>
      <c r="AA391" s="9"/>
      <c r="AB391" s="9"/>
      <c r="AC391" s="9"/>
      <c r="AD391" s="9"/>
    </row>
    <row r="392" spans="1:30" ht="13.5" customHeight="1" x14ac:dyDescent="0.25">
      <c r="A392" s="2"/>
      <c r="B392" s="2"/>
      <c r="C392" s="2"/>
      <c r="D392" s="2"/>
      <c r="E392" s="2"/>
      <c r="F392" s="2"/>
      <c r="G392" s="2"/>
      <c r="H392" s="2"/>
      <c r="I392" s="2"/>
      <c r="J392" s="2"/>
      <c r="K392" s="2"/>
      <c r="L392" s="2"/>
      <c r="M392" s="2"/>
      <c r="N392" s="2"/>
      <c r="O392" s="2"/>
      <c r="P392" s="2"/>
      <c r="Q392" s="2"/>
      <c r="R392" s="9"/>
      <c r="S392" s="9"/>
      <c r="T392" s="9"/>
      <c r="U392" s="9"/>
      <c r="V392" s="9"/>
      <c r="W392" s="9"/>
      <c r="X392" s="9"/>
      <c r="Y392" s="9"/>
      <c r="Z392" s="9"/>
      <c r="AA392" s="9"/>
      <c r="AB392" s="9"/>
      <c r="AC392" s="9"/>
      <c r="AD392" s="9"/>
    </row>
    <row r="393" spans="1:30" ht="13.5" customHeight="1" x14ac:dyDescent="0.25">
      <c r="A393" s="2"/>
      <c r="B393" s="2"/>
      <c r="C393" s="2"/>
      <c r="D393" s="2"/>
      <c r="E393" s="2"/>
      <c r="F393" s="2"/>
      <c r="G393" s="2"/>
      <c r="H393" s="2"/>
      <c r="I393" s="2"/>
      <c r="J393" s="2"/>
      <c r="K393" s="2"/>
      <c r="L393" s="2"/>
      <c r="M393" s="2"/>
      <c r="N393" s="2"/>
      <c r="O393" s="2"/>
      <c r="P393" s="2"/>
      <c r="Q393" s="2"/>
      <c r="R393" s="9"/>
      <c r="S393" s="9"/>
      <c r="T393" s="9"/>
      <c r="U393" s="9"/>
      <c r="V393" s="9"/>
      <c r="W393" s="9"/>
      <c r="X393" s="9"/>
      <c r="Y393" s="9"/>
      <c r="Z393" s="9"/>
      <c r="AA393" s="9"/>
      <c r="AB393" s="9"/>
      <c r="AC393" s="9"/>
      <c r="AD393" s="9"/>
    </row>
    <row r="394" spans="1:30" ht="13.5" customHeight="1" x14ac:dyDescent="0.25">
      <c r="A394" s="2"/>
      <c r="B394" s="2"/>
      <c r="C394" s="2"/>
      <c r="D394" s="2"/>
      <c r="E394" s="2"/>
      <c r="F394" s="2"/>
      <c r="G394" s="2"/>
      <c r="H394" s="2"/>
      <c r="I394" s="2"/>
      <c r="J394" s="2"/>
      <c r="K394" s="2"/>
      <c r="L394" s="2"/>
      <c r="M394" s="2"/>
      <c r="N394" s="2"/>
      <c r="O394" s="2"/>
      <c r="P394" s="2"/>
      <c r="Q394" s="2"/>
      <c r="R394" s="9"/>
      <c r="S394" s="9"/>
      <c r="T394" s="9"/>
      <c r="U394" s="9"/>
      <c r="V394" s="9"/>
      <c r="W394" s="9"/>
      <c r="X394" s="9"/>
      <c r="Y394" s="9"/>
      <c r="Z394" s="9"/>
      <c r="AA394" s="9"/>
      <c r="AB394" s="9"/>
      <c r="AC394" s="9"/>
      <c r="AD394" s="9"/>
    </row>
    <row r="395" spans="1:30" ht="13.5" customHeight="1" x14ac:dyDescent="0.25">
      <c r="A395" s="2"/>
      <c r="B395" s="2"/>
      <c r="C395" s="2"/>
      <c r="D395" s="2"/>
      <c r="E395" s="2"/>
      <c r="F395" s="2"/>
      <c r="G395" s="2"/>
      <c r="H395" s="2"/>
      <c r="I395" s="2"/>
      <c r="J395" s="2"/>
      <c r="K395" s="2"/>
      <c r="L395" s="2"/>
      <c r="M395" s="2"/>
      <c r="N395" s="2"/>
      <c r="O395" s="2"/>
      <c r="P395" s="2"/>
      <c r="Q395" s="2"/>
      <c r="R395" s="9"/>
      <c r="S395" s="9"/>
      <c r="T395" s="9"/>
      <c r="U395" s="9"/>
      <c r="V395" s="9"/>
      <c r="W395" s="9"/>
      <c r="X395" s="9"/>
      <c r="Y395" s="9"/>
      <c r="Z395" s="9"/>
      <c r="AA395" s="9"/>
      <c r="AB395" s="9"/>
      <c r="AC395" s="9"/>
      <c r="AD395" s="9"/>
    </row>
    <row r="396" spans="1:30" ht="13.5" customHeight="1" x14ac:dyDescent="0.25">
      <c r="A396" s="2"/>
      <c r="B396" s="2"/>
      <c r="C396" s="2"/>
      <c r="D396" s="2"/>
      <c r="E396" s="2"/>
      <c r="F396" s="2"/>
      <c r="G396" s="2"/>
      <c r="H396" s="2"/>
      <c r="I396" s="2"/>
      <c r="J396" s="2"/>
      <c r="K396" s="2"/>
      <c r="L396" s="2"/>
      <c r="M396" s="2"/>
      <c r="N396" s="2"/>
      <c r="O396" s="2"/>
      <c r="P396" s="2"/>
      <c r="Q396" s="2"/>
      <c r="R396" s="9"/>
      <c r="S396" s="9"/>
      <c r="T396" s="9"/>
      <c r="U396" s="9"/>
      <c r="V396" s="9"/>
      <c r="W396" s="9"/>
      <c r="X396" s="9"/>
      <c r="Y396" s="9"/>
      <c r="Z396" s="9"/>
      <c r="AA396" s="9"/>
      <c r="AB396" s="9"/>
      <c r="AC396" s="9"/>
      <c r="AD396" s="9"/>
    </row>
    <row r="397" spans="1:30" ht="13.5" customHeight="1" x14ac:dyDescent="0.25">
      <c r="A397" s="2"/>
      <c r="B397" s="2"/>
      <c r="C397" s="2"/>
      <c r="D397" s="2"/>
      <c r="E397" s="2"/>
      <c r="F397" s="2"/>
      <c r="G397" s="2"/>
      <c r="H397" s="2"/>
      <c r="I397" s="2"/>
      <c r="J397" s="2"/>
      <c r="K397" s="2"/>
      <c r="L397" s="2"/>
      <c r="M397" s="2"/>
      <c r="N397" s="2"/>
      <c r="O397" s="2"/>
      <c r="P397" s="2"/>
      <c r="Q397" s="2"/>
      <c r="R397" s="9"/>
      <c r="S397" s="9"/>
      <c r="T397" s="9"/>
      <c r="U397" s="9"/>
      <c r="V397" s="9"/>
      <c r="W397" s="9"/>
      <c r="X397" s="9"/>
      <c r="Y397" s="9"/>
      <c r="Z397" s="9"/>
      <c r="AA397" s="9"/>
      <c r="AB397" s="9"/>
      <c r="AC397" s="9"/>
      <c r="AD397" s="9"/>
    </row>
    <row r="398" spans="1:30" ht="13.5" customHeight="1" x14ac:dyDescent="0.25">
      <c r="A398" s="2"/>
      <c r="B398" s="2"/>
      <c r="C398" s="2"/>
      <c r="D398" s="2"/>
      <c r="E398" s="2"/>
      <c r="F398" s="2"/>
      <c r="G398" s="2"/>
      <c r="H398" s="2"/>
      <c r="I398" s="2"/>
      <c r="J398" s="2"/>
      <c r="K398" s="2"/>
      <c r="L398" s="2"/>
      <c r="M398" s="2"/>
      <c r="N398" s="2"/>
      <c r="O398" s="2"/>
      <c r="P398" s="2"/>
      <c r="Q398" s="2"/>
      <c r="R398" s="9"/>
      <c r="S398" s="9"/>
      <c r="T398" s="9"/>
      <c r="U398" s="9"/>
      <c r="V398" s="9"/>
      <c r="W398" s="9"/>
      <c r="X398" s="9"/>
      <c r="Y398" s="9"/>
      <c r="Z398" s="9"/>
      <c r="AA398" s="9"/>
      <c r="AB398" s="9"/>
      <c r="AC398" s="9"/>
      <c r="AD398" s="9"/>
    </row>
    <row r="399" spans="1:30" ht="13.5" customHeight="1" x14ac:dyDescent="0.25">
      <c r="A399" s="2"/>
      <c r="B399" s="2"/>
      <c r="C399" s="2"/>
      <c r="D399" s="2"/>
      <c r="E399" s="2"/>
      <c r="F399" s="2"/>
      <c r="G399" s="2"/>
      <c r="H399" s="2"/>
      <c r="I399" s="2"/>
      <c r="J399" s="2"/>
      <c r="K399" s="2"/>
      <c r="L399" s="2"/>
      <c r="M399" s="2"/>
      <c r="N399" s="2"/>
      <c r="O399" s="2"/>
      <c r="P399" s="2"/>
      <c r="Q399" s="2"/>
      <c r="R399" s="9"/>
      <c r="S399" s="9"/>
      <c r="T399" s="9"/>
      <c r="U399" s="9"/>
      <c r="V399" s="9"/>
      <c r="W399" s="9"/>
      <c r="X399" s="9"/>
      <c r="Y399" s="9"/>
      <c r="Z399" s="9"/>
      <c r="AA399" s="9"/>
      <c r="AB399" s="9"/>
      <c r="AC399" s="9"/>
      <c r="AD399" s="9"/>
    </row>
    <row r="400" spans="1:30" ht="13.5" customHeight="1" x14ac:dyDescent="0.25">
      <c r="A400" s="2"/>
      <c r="B400" s="2"/>
      <c r="C400" s="2"/>
      <c r="D400" s="2"/>
      <c r="E400" s="2"/>
      <c r="F400" s="2"/>
      <c r="G400" s="2"/>
      <c r="H400" s="2"/>
      <c r="I400" s="2"/>
      <c r="J400" s="2"/>
      <c r="K400" s="2"/>
      <c r="L400" s="2"/>
      <c r="M400" s="2"/>
      <c r="N400" s="2"/>
      <c r="O400" s="2"/>
      <c r="P400" s="2"/>
      <c r="Q400" s="2"/>
      <c r="R400" s="9"/>
      <c r="S400" s="9"/>
      <c r="T400" s="9"/>
      <c r="U400" s="9"/>
      <c r="V400" s="9"/>
      <c r="W400" s="9"/>
      <c r="X400" s="9"/>
      <c r="Y400" s="9"/>
      <c r="Z400" s="9"/>
      <c r="AA400" s="9"/>
      <c r="AB400" s="9"/>
      <c r="AC400" s="9"/>
      <c r="AD400" s="9"/>
    </row>
    <row r="401" spans="1:30" ht="13.5" customHeight="1" x14ac:dyDescent="0.25">
      <c r="A401" s="2"/>
      <c r="B401" s="2"/>
      <c r="C401" s="2"/>
      <c r="D401" s="2"/>
      <c r="E401" s="2"/>
      <c r="F401" s="2"/>
      <c r="G401" s="2"/>
      <c r="H401" s="2"/>
      <c r="I401" s="2"/>
      <c r="J401" s="2"/>
      <c r="K401" s="2"/>
      <c r="L401" s="2"/>
      <c r="M401" s="2"/>
      <c r="N401" s="2"/>
      <c r="O401" s="2"/>
      <c r="P401" s="2"/>
      <c r="Q401" s="2"/>
      <c r="R401" s="9"/>
      <c r="S401" s="9"/>
      <c r="T401" s="9"/>
      <c r="U401" s="9"/>
      <c r="V401" s="9"/>
      <c r="W401" s="9"/>
      <c r="X401" s="9"/>
      <c r="Y401" s="9"/>
      <c r="Z401" s="9"/>
      <c r="AA401" s="9"/>
      <c r="AB401" s="9"/>
      <c r="AC401" s="9"/>
      <c r="AD401" s="9"/>
    </row>
    <row r="402" spans="1:30" ht="13.5" customHeight="1" x14ac:dyDescent="0.25">
      <c r="A402" s="2"/>
      <c r="B402" s="2"/>
      <c r="C402" s="2"/>
      <c r="D402" s="2"/>
      <c r="E402" s="2"/>
      <c r="F402" s="2"/>
      <c r="G402" s="2"/>
      <c r="H402" s="2"/>
      <c r="I402" s="2"/>
      <c r="J402" s="2"/>
      <c r="K402" s="2"/>
      <c r="L402" s="2"/>
      <c r="M402" s="2"/>
      <c r="N402" s="2"/>
      <c r="O402" s="2"/>
      <c r="P402" s="2"/>
      <c r="Q402" s="2"/>
      <c r="R402" s="9"/>
      <c r="S402" s="9"/>
      <c r="T402" s="9"/>
      <c r="U402" s="9"/>
      <c r="V402" s="9"/>
      <c r="W402" s="9"/>
      <c r="X402" s="9"/>
      <c r="Y402" s="9"/>
      <c r="Z402" s="9"/>
      <c r="AA402" s="9"/>
      <c r="AB402" s="9"/>
      <c r="AC402" s="9"/>
      <c r="AD402" s="9"/>
    </row>
    <row r="403" spans="1:30" ht="13.5" customHeight="1" x14ac:dyDescent="0.25">
      <c r="A403" s="2"/>
      <c r="B403" s="2"/>
      <c r="C403" s="2"/>
      <c r="D403" s="2"/>
      <c r="E403" s="2"/>
      <c r="F403" s="2"/>
      <c r="G403" s="2"/>
      <c r="H403" s="2"/>
      <c r="I403" s="2"/>
      <c r="J403" s="2"/>
      <c r="K403" s="2"/>
      <c r="L403" s="2"/>
      <c r="M403" s="2"/>
      <c r="N403" s="2"/>
      <c r="O403" s="2"/>
      <c r="P403" s="2"/>
      <c r="Q403" s="2"/>
      <c r="R403" s="9"/>
      <c r="S403" s="9"/>
      <c r="T403" s="9"/>
      <c r="U403" s="9"/>
      <c r="V403" s="9"/>
      <c r="W403" s="9"/>
      <c r="X403" s="9"/>
      <c r="Y403" s="9"/>
      <c r="Z403" s="9"/>
      <c r="AA403" s="9"/>
      <c r="AB403" s="9"/>
      <c r="AC403" s="9"/>
      <c r="AD403" s="9"/>
    </row>
    <row r="404" spans="1:30" ht="13.5" customHeight="1" x14ac:dyDescent="0.25">
      <c r="A404" s="2"/>
      <c r="B404" s="2"/>
      <c r="C404" s="2"/>
      <c r="D404" s="2"/>
      <c r="E404" s="2"/>
      <c r="F404" s="2"/>
      <c r="G404" s="2"/>
      <c r="H404" s="2"/>
      <c r="I404" s="2"/>
      <c r="J404" s="2"/>
      <c r="K404" s="2"/>
      <c r="L404" s="2"/>
      <c r="M404" s="2"/>
      <c r="N404" s="2"/>
      <c r="O404" s="2"/>
      <c r="P404" s="2"/>
      <c r="Q404" s="2"/>
      <c r="R404" s="9"/>
      <c r="S404" s="9"/>
      <c r="T404" s="9"/>
      <c r="U404" s="9"/>
      <c r="V404" s="9"/>
      <c r="W404" s="9"/>
      <c r="X404" s="9"/>
      <c r="Y404" s="9"/>
      <c r="Z404" s="9"/>
      <c r="AA404" s="9"/>
      <c r="AB404" s="9"/>
      <c r="AC404" s="9"/>
      <c r="AD404" s="9"/>
    </row>
    <row r="405" spans="1:30" ht="13.5" customHeight="1" x14ac:dyDescent="0.25">
      <c r="A405" s="2"/>
      <c r="B405" s="2"/>
      <c r="C405" s="2"/>
      <c r="D405" s="2"/>
      <c r="E405" s="2"/>
      <c r="F405" s="2"/>
      <c r="G405" s="2"/>
      <c r="H405" s="2"/>
      <c r="I405" s="2"/>
      <c r="J405" s="2"/>
      <c r="K405" s="2"/>
      <c r="L405" s="2"/>
      <c r="M405" s="2"/>
      <c r="N405" s="2"/>
      <c r="O405" s="2"/>
      <c r="P405" s="2"/>
      <c r="Q405" s="2"/>
      <c r="R405" s="9"/>
      <c r="S405" s="9"/>
      <c r="T405" s="9"/>
      <c r="U405" s="9"/>
      <c r="V405" s="9"/>
      <c r="W405" s="9"/>
      <c r="X405" s="9"/>
      <c r="Y405" s="9"/>
      <c r="Z405" s="9"/>
      <c r="AA405" s="9"/>
      <c r="AB405" s="9"/>
      <c r="AC405" s="9"/>
      <c r="AD405" s="9"/>
    </row>
    <row r="406" spans="1:30" ht="13.5" customHeight="1" x14ac:dyDescent="0.25">
      <c r="A406" s="2"/>
      <c r="B406" s="2"/>
      <c r="C406" s="2"/>
      <c r="D406" s="2"/>
      <c r="E406" s="2"/>
      <c r="F406" s="2"/>
      <c r="G406" s="2"/>
      <c r="H406" s="2"/>
      <c r="I406" s="2"/>
      <c r="J406" s="2"/>
      <c r="K406" s="2"/>
      <c r="L406" s="2"/>
      <c r="M406" s="2"/>
      <c r="N406" s="2"/>
      <c r="O406" s="2"/>
      <c r="P406" s="2"/>
      <c r="Q406" s="2"/>
      <c r="R406" s="9"/>
      <c r="S406" s="9"/>
      <c r="T406" s="9"/>
      <c r="U406" s="9"/>
      <c r="V406" s="9"/>
      <c r="W406" s="9"/>
      <c r="X406" s="9"/>
      <c r="Y406" s="9"/>
      <c r="Z406" s="9"/>
      <c r="AA406" s="9"/>
      <c r="AB406" s="9"/>
      <c r="AC406" s="9"/>
      <c r="AD406" s="9"/>
    </row>
    <row r="407" spans="1:30" ht="13.5" customHeight="1" x14ac:dyDescent="0.25">
      <c r="A407" s="2"/>
      <c r="B407" s="2"/>
      <c r="C407" s="2"/>
      <c r="D407" s="2"/>
      <c r="E407" s="2"/>
      <c r="F407" s="2"/>
      <c r="G407" s="2"/>
      <c r="H407" s="2"/>
      <c r="I407" s="2"/>
      <c r="J407" s="2"/>
      <c r="K407" s="2"/>
      <c r="L407" s="2"/>
      <c r="M407" s="2"/>
      <c r="N407" s="2"/>
      <c r="O407" s="2"/>
      <c r="P407" s="2"/>
      <c r="Q407" s="2"/>
      <c r="R407" s="9"/>
      <c r="S407" s="9"/>
      <c r="T407" s="9"/>
      <c r="U407" s="9"/>
      <c r="V407" s="9"/>
      <c r="W407" s="9"/>
      <c r="X407" s="9"/>
      <c r="Y407" s="9"/>
      <c r="Z407" s="9"/>
      <c r="AA407" s="9"/>
      <c r="AB407" s="9"/>
      <c r="AC407" s="9"/>
      <c r="AD407" s="9"/>
    </row>
    <row r="408" spans="1:30" ht="13.5" customHeight="1" x14ac:dyDescent="0.25">
      <c r="A408" s="2"/>
      <c r="B408" s="2"/>
      <c r="C408" s="2"/>
      <c r="D408" s="2"/>
      <c r="E408" s="2"/>
      <c r="F408" s="2"/>
      <c r="G408" s="2"/>
      <c r="H408" s="2"/>
      <c r="I408" s="2"/>
      <c r="J408" s="2"/>
      <c r="K408" s="2"/>
      <c r="L408" s="2"/>
      <c r="M408" s="2"/>
      <c r="N408" s="2"/>
      <c r="O408" s="2"/>
      <c r="P408" s="2"/>
      <c r="Q408" s="2"/>
      <c r="R408" s="9"/>
      <c r="S408" s="9"/>
      <c r="T408" s="9"/>
      <c r="U408" s="9"/>
      <c r="V408" s="9"/>
      <c r="W408" s="9"/>
      <c r="X408" s="9"/>
      <c r="Y408" s="9"/>
      <c r="Z408" s="9"/>
      <c r="AA408" s="9"/>
      <c r="AB408" s="9"/>
      <c r="AC408" s="9"/>
      <c r="AD408" s="9"/>
    </row>
    <row r="409" spans="1:30" ht="13.5" customHeight="1" x14ac:dyDescent="0.25">
      <c r="A409" s="2"/>
      <c r="B409" s="2"/>
      <c r="C409" s="2"/>
      <c r="D409" s="2"/>
      <c r="E409" s="2"/>
      <c r="F409" s="2"/>
      <c r="G409" s="2"/>
      <c r="H409" s="2"/>
      <c r="I409" s="2"/>
      <c r="J409" s="2"/>
      <c r="K409" s="2"/>
      <c r="L409" s="2"/>
      <c r="M409" s="2"/>
      <c r="N409" s="2"/>
      <c r="O409" s="2"/>
      <c r="P409" s="2"/>
      <c r="Q409" s="2"/>
      <c r="R409" s="9"/>
      <c r="S409" s="9"/>
      <c r="T409" s="9"/>
      <c r="U409" s="9"/>
      <c r="V409" s="9"/>
      <c r="W409" s="9"/>
      <c r="X409" s="9"/>
      <c r="Y409" s="9"/>
      <c r="Z409" s="9"/>
      <c r="AA409" s="9"/>
      <c r="AB409" s="9"/>
      <c r="AC409" s="9"/>
      <c r="AD409" s="9"/>
    </row>
    <row r="410" spans="1:30" ht="13.5" customHeight="1" x14ac:dyDescent="0.25">
      <c r="A410" s="2"/>
      <c r="B410" s="2"/>
      <c r="C410" s="2"/>
      <c r="D410" s="2"/>
      <c r="E410" s="2"/>
      <c r="F410" s="2"/>
      <c r="G410" s="2"/>
      <c r="H410" s="2"/>
      <c r="I410" s="2"/>
      <c r="J410" s="2"/>
      <c r="K410" s="2"/>
      <c r="L410" s="2"/>
      <c r="M410" s="2"/>
      <c r="N410" s="2"/>
      <c r="O410" s="2"/>
      <c r="P410" s="2"/>
      <c r="Q410" s="2"/>
      <c r="R410" s="9"/>
      <c r="S410" s="9"/>
      <c r="T410" s="9"/>
      <c r="U410" s="9"/>
      <c r="V410" s="9"/>
      <c r="W410" s="9"/>
      <c r="X410" s="9"/>
      <c r="Y410" s="9"/>
      <c r="Z410" s="9"/>
      <c r="AA410" s="9"/>
      <c r="AB410" s="9"/>
      <c r="AC410" s="9"/>
      <c r="AD410" s="9"/>
    </row>
    <row r="411" spans="1:30" ht="13.5" customHeight="1" x14ac:dyDescent="0.25">
      <c r="A411" s="2"/>
      <c r="B411" s="2"/>
      <c r="C411" s="2"/>
      <c r="D411" s="2"/>
      <c r="E411" s="2"/>
      <c r="F411" s="2"/>
      <c r="G411" s="2"/>
      <c r="H411" s="2"/>
      <c r="I411" s="2"/>
      <c r="J411" s="2"/>
      <c r="K411" s="2"/>
      <c r="L411" s="2"/>
      <c r="M411" s="2"/>
      <c r="N411" s="2"/>
      <c r="O411" s="2"/>
      <c r="P411" s="2"/>
      <c r="Q411" s="2"/>
      <c r="R411" s="9"/>
      <c r="S411" s="9"/>
      <c r="T411" s="9"/>
      <c r="U411" s="9"/>
      <c r="V411" s="9"/>
      <c r="W411" s="9"/>
      <c r="X411" s="9"/>
      <c r="Y411" s="9"/>
      <c r="Z411" s="9"/>
      <c r="AA411" s="9"/>
      <c r="AB411" s="9"/>
      <c r="AC411" s="9"/>
      <c r="AD411" s="9"/>
    </row>
    <row r="412" spans="1:30" ht="13.5" customHeight="1" x14ac:dyDescent="0.25">
      <c r="A412" s="2"/>
      <c r="B412" s="2"/>
      <c r="C412" s="2"/>
      <c r="D412" s="2"/>
      <c r="E412" s="2"/>
      <c r="F412" s="2"/>
      <c r="G412" s="2"/>
      <c r="H412" s="2"/>
      <c r="I412" s="2"/>
      <c r="J412" s="2"/>
      <c r="K412" s="2"/>
      <c r="L412" s="2"/>
      <c r="M412" s="2"/>
      <c r="N412" s="2"/>
      <c r="O412" s="2"/>
      <c r="P412" s="2"/>
      <c r="Q412" s="2"/>
      <c r="R412" s="9"/>
      <c r="S412" s="9"/>
      <c r="T412" s="9"/>
      <c r="U412" s="9"/>
      <c r="V412" s="9"/>
      <c r="W412" s="9"/>
      <c r="X412" s="9"/>
      <c r="Y412" s="9"/>
      <c r="Z412" s="9"/>
      <c r="AA412" s="9"/>
      <c r="AB412" s="9"/>
      <c r="AC412" s="9"/>
      <c r="AD412" s="9"/>
    </row>
    <row r="413" spans="1:30" ht="13.5" customHeight="1" x14ac:dyDescent="0.25">
      <c r="A413" s="2"/>
      <c r="B413" s="2"/>
      <c r="C413" s="2"/>
      <c r="D413" s="2"/>
      <c r="E413" s="2"/>
      <c r="F413" s="2"/>
      <c r="G413" s="2"/>
      <c r="H413" s="2"/>
      <c r="I413" s="2"/>
      <c r="J413" s="2"/>
      <c r="K413" s="2"/>
      <c r="L413" s="2"/>
      <c r="M413" s="2"/>
      <c r="N413" s="2"/>
      <c r="O413" s="2"/>
      <c r="P413" s="2"/>
      <c r="Q413" s="2"/>
      <c r="R413" s="9"/>
      <c r="S413" s="9"/>
      <c r="T413" s="9"/>
      <c r="U413" s="9"/>
      <c r="V413" s="9"/>
      <c r="W413" s="9"/>
      <c r="X413" s="9"/>
      <c r="Y413" s="9"/>
      <c r="Z413" s="9"/>
      <c r="AA413" s="9"/>
      <c r="AB413" s="9"/>
      <c r="AC413" s="9"/>
      <c r="AD413" s="9"/>
    </row>
    <row r="414" spans="1:30" ht="13.5" customHeight="1" x14ac:dyDescent="0.25">
      <c r="A414" s="2"/>
      <c r="B414" s="2"/>
      <c r="C414" s="2"/>
      <c r="D414" s="2"/>
      <c r="E414" s="2"/>
      <c r="F414" s="2"/>
      <c r="G414" s="2"/>
      <c r="H414" s="2"/>
      <c r="I414" s="2"/>
      <c r="J414" s="2"/>
      <c r="K414" s="2"/>
      <c r="L414" s="2"/>
      <c r="M414" s="2"/>
      <c r="N414" s="2"/>
      <c r="O414" s="2"/>
      <c r="P414" s="2"/>
      <c r="Q414" s="2"/>
      <c r="R414" s="9"/>
      <c r="S414" s="9"/>
      <c r="T414" s="9"/>
      <c r="U414" s="9"/>
      <c r="V414" s="9"/>
      <c r="W414" s="9"/>
      <c r="X414" s="9"/>
      <c r="Y414" s="9"/>
      <c r="Z414" s="9"/>
      <c r="AA414" s="9"/>
      <c r="AB414" s="9"/>
      <c r="AC414" s="9"/>
      <c r="AD414" s="9"/>
    </row>
    <row r="415" spans="1:30" ht="13.5" customHeight="1" x14ac:dyDescent="0.25">
      <c r="A415" s="2"/>
      <c r="B415" s="2"/>
      <c r="C415" s="2"/>
      <c r="D415" s="2"/>
      <c r="E415" s="2"/>
      <c r="F415" s="2"/>
      <c r="G415" s="2"/>
      <c r="H415" s="2"/>
      <c r="I415" s="2"/>
      <c r="J415" s="2"/>
      <c r="K415" s="2"/>
      <c r="L415" s="2"/>
      <c r="M415" s="2"/>
      <c r="N415" s="2"/>
      <c r="O415" s="2"/>
      <c r="P415" s="2"/>
      <c r="Q415" s="2"/>
      <c r="R415" s="9"/>
      <c r="S415" s="9"/>
      <c r="T415" s="9"/>
      <c r="U415" s="9"/>
      <c r="V415" s="9"/>
      <c r="W415" s="9"/>
      <c r="X415" s="9"/>
      <c r="Y415" s="9"/>
      <c r="Z415" s="9"/>
      <c r="AA415" s="9"/>
      <c r="AB415" s="9"/>
      <c r="AC415" s="9"/>
      <c r="AD415" s="9"/>
    </row>
    <row r="416" spans="1:30" ht="13.5" customHeight="1" x14ac:dyDescent="0.25">
      <c r="A416" s="2"/>
      <c r="B416" s="2"/>
      <c r="C416" s="2"/>
      <c r="D416" s="2"/>
      <c r="E416" s="2"/>
      <c r="F416" s="2"/>
      <c r="G416" s="2"/>
      <c r="H416" s="2"/>
      <c r="I416" s="2"/>
      <c r="J416" s="2"/>
      <c r="K416" s="2"/>
      <c r="L416" s="2"/>
      <c r="M416" s="2"/>
      <c r="N416" s="2"/>
      <c r="O416" s="2"/>
      <c r="P416" s="2"/>
      <c r="Q416" s="2"/>
      <c r="R416" s="9"/>
      <c r="S416" s="9"/>
      <c r="T416" s="9"/>
      <c r="U416" s="9"/>
      <c r="V416" s="9"/>
      <c r="W416" s="9"/>
      <c r="X416" s="9"/>
      <c r="Y416" s="9"/>
      <c r="Z416" s="9"/>
      <c r="AA416" s="9"/>
      <c r="AB416" s="9"/>
      <c r="AC416" s="9"/>
      <c r="AD416" s="9"/>
    </row>
    <row r="417" spans="1:30" ht="13.5" customHeight="1" x14ac:dyDescent="0.25">
      <c r="A417" s="2"/>
      <c r="B417" s="2"/>
      <c r="C417" s="2"/>
      <c r="D417" s="2"/>
      <c r="E417" s="2"/>
      <c r="F417" s="2"/>
      <c r="G417" s="2"/>
      <c r="H417" s="2"/>
      <c r="I417" s="2"/>
      <c r="J417" s="2"/>
      <c r="K417" s="2"/>
      <c r="L417" s="2"/>
      <c r="M417" s="2"/>
      <c r="N417" s="2"/>
      <c r="O417" s="2"/>
      <c r="P417" s="2"/>
      <c r="Q417" s="2"/>
      <c r="R417" s="9"/>
      <c r="S417" s="9"/>
      <c r="T417" s="9"/>
      <c r="U417" s="9"/>
      <c r="V417" s="9"/>
      <c r="W417" s="9"/>
      <c r="X417" s="9"/>
      <c r="Y417" s="9"/>
      <c r="Z417" s="9"/>
      <c r="AA417" s="9"/>
      <c r="AB417" s="9"/>
      <c r="AC417" s="9"/>
      <c r="AD417" s="9"/>
    </row>
    <row r="418" spans="1:30" ht="13.5" customHeight="1" x14ac:dyDescent="0.25">
      <c r="A418" s="2"/>
      <c r="B418" s="2"/>
      <c r="C418" s="2"/>
      <c r="D418" s="2"/>
      <c r="E418" s="2"/>
      <c r="F418" s="2"/>
      <c r="G418" s="2"/>
      <c r="H418" s="2"/>
      <c r="I418" s="2"/>
      <c r="J418" s="2"/>
      <c r="K418" s="2"/>
      <c r="L418" s="2"/>
      <c r="M418" s="2"/>
      <c r="N418" s="2"/>
      <c r="O418" s="2"/>
      <c r="P418" s="2"/>
      <c r="Q418" s="2"/>
      <c r="R418" s="9"/>
      <c r="S418" s="9"/>
      <c r="T418" s="9"/>
      <c r="U418" s="9"/>
      <c r="V418" s="9"/>
      <c r="W418" s="9"/>
      <c r="X418" s="9"/>
      <c r="Y418" s="9"/>
      <c r="Z418" s="9"/>
      <c r="AA418" s="9"/>
      <c r="AB418" s="9"/>
      <c r="AC418" s="9"/>
      <c r="AD418" s="9"/>
    </row>
    <row r="419" spans="1:30" ht="13.5" customHeight="1" x14ac:dyDescent="0.25">
      <c r="A419" s="2"/>
      <c r="B419" s="2"/>
      <c r="C419" s="2"/>
      <c r="D419" s="2"/>
      <c r="E419" s="2"/>
      <c r="F419" s="2"/>
      <c r="G419" s="2"/>
      <c r="H419" s="2"/>
      <c r="I419" s="2"/>
      <c r="J419" s="2"/>
      <c r="K419" s="2"/>
      <c r="L419" s="2"/>
      <c r="M419" s="2"/>
      <c r="N419" s="2"/>
      <c r="O419" s="2"/>
      <c r="P419" s="2"/>
      <c r="Q419" s="2"/>
      <c r="R419" s="9"/>
      <c r="S419" s="9"/>
      <c r="T419" s="9"/>
      <c r="U419" s="9"/>
      <c r="V419" s="9"/>
      <c r="W419" s="9"/>
      <c r="X419" s="9"/>
      <c r="Y419" s="9"/>
      <c r="Z419" s="9"/>
      <c r="AA419" s="9"/>
      <c r="AB419" s="9"/>
      <c r="AC419" s="9"/>
      <c r="AD419" s="9"/>
    </row>
    <row r="420" spans="1:30" ht="13.5" customHeight="1" x14ac:dyDescent="0.25">
      <c r="A420" s="2"/>
      <c r="B420" s="2"/>
      <c r="C420" s="2"/>
      <c r="D420" s="2"/>
      <c r="E420" s="2"/>
      <c r="F420" s="2"/>
      <c r="G420" s="2"/>
      <c r="H420" s="2"/>
      <c r="I420" s="2"/>
      <c r="J420" s="2"/>
      <c r="K420" s="2"/>
      <c r="L420" s="2"/>
      <c r="M420" s="2"/>
      <c r="N420" s="2"/>
      <c r="O420" s="2"/>
      <c r="P420" s="2"/>
      <c r="Q420" s="2"/>
      <c r="R420" s="9"/>
      <c r="S420" s="9"/>
      <c r="T420" s="9"/>
      <c r="U420" s="9"/>
      <c r="V420" s="9"/>
      <c r="W420" s="9"/>
      <c r="X420" s="9"/>
      <c r="Y420" s="9"/>
      <c r="Z420" s="9"/>
      <c r="AA420" s="9"/>
      <c r="AB420" s="9"/>
      <c r="AC420" s="9"/>
      <c r="AD420" s="9"/>
    </row>
    <row r="421" spans="1:30" ht="13.5" customHeight="1" x14ac:dyDescent="0.25">
      <c r="A421" s="2"/>
      <c r="B421" s="2"/>
      <c r="C421" s="2"/>
      <c r="D421" s="2"/>
      <c r="E421" s="2"/>
      <c r="F421" s="2"/>
      <c r="G421" s="2"/>
      <c r="H421" s="2"/>
      <c r="I421" s="2"/>
      <c r="J421" s="2"/>
      <c r="K421" s="2"/>
      <c r="L421" s="2"/>
      <c r="M421" s="2"/>
      <c r="N421" s="2"/>
      <c r="O421" s="2"/>
      <c r="P421" s="2"/>
      <c r="Q421" s="2"/>
      <c r="R421" s="9"/>
      <c r="S421" s="9"/>
      <c r="T421" s="9"/>
      <c r="U421" s="9"/>
      <c r="V421" s="9"/>
      <c r="W421" s="9"/>
      <c r="X421" s="9"/>
      <c r="Y421" s="9"/>
      <c r="Z421" s="9"/>
      <c r="AA421" s="9"/>
      <c r="AB421" s="9"/>
      <c r="AC421" s="9"/>
      <c r="AD421" s="9"/>
    </row>
    <row r="422" spans="1:30" ht="13.5" customHeight="1" x14ac:dyDescent="0.25">
      <c r="A422" s="2"/>
      <c r="B422" s="2"/>
      <c r="C422" s="2"/>
      <c r="D422" s="2"/>
      <c r="E422" s="2"/>
      <c r="F422" s="2"/>
      <c r="G422" s="2"/>
      <c r="H422" s="2"/>
      <c r="I422" s="2"/>
      <c r="J422" s="2"/>
      <c r="K422" s="2"/>
      <c r="L422" s="2"/>
      <c r="M422" s="2"/>
      <c r="N422" s="2"/>
      <c r="O422" s="2"/>
      <c r="P422" s="2"/>
      <c r="Q422" s="2"/>
      <c r="R422" s="9"/>
      <c r="S422" s="9"/>
      <c r="T422" s="9"/>
      <c r="U422" s="9"/>
      <c r="V422" s="9"/>
      <c r="W422" s="9"/>
      <c r="X422" s="9"/>
      <c r="Y422" s="9"/>
      <c r="Z422" s="9"/>
      <c r="AA422" s="9"/>
      <c r="AB422" s="9"/>
      <c r="AC422" s="9"/>
      <c r="AD422" s="9"/>
    </row>
    <row r="423" spans="1:30" ht="13.5" customHeight="1" x14ac:dyDescent="0.25">
      <c r="A423" s="2"/>
      <c r="B423" s="2"/>
      <c r="C423" s="2"/>
      <c r="D423" s="2"/>
      <c r="E423" s="2"/>
      <c r="F423" s="2"/>
      <c r="G423" s="2"/>
      <c r="H423" s="2"/>
      <c r="I423" s="2"/>
      <c r="J423" s="2"/>
      <c r="K423" s="2"/>
      <c r="L423" s="2"/>
      <c r="M423" s="2"/>
      <c r="N423" s="2"/>
      <c r="O423" s="2"/>
      <c r="P423" s="2"/>
      <c r="Q423" s="2"/>
      <c r="R423" s="9"/>
      <c r="S423" s="9"/>
      <c r="T423" s="9"/>
      <c r="U423" s="9"/>
      <c r="V423" s="9"/>
      <c r="W423" s="9"/>
      <c r="X423" s="9"/>
      <c r="Y423" s="9"/>
      <c r="Z423" s="9"/>
      <c r="AA423" s="9"/>
      <c r="AB423" s="9"/>
      <c r="AC423" s="9"/>
      <c r="AD423" s="9"/>
    </row>
    <row r="424" spans="1:30" ht="13.5" customHeight="1" x14ac:dyDescent="0.25">
      <c r="A424" s="2"/>
      <c r="B424" s="2"/>
      <c r="C424" s="2"/>
      <c r="D424" s="2"/>
      <c r="E424" s="2"/>
      <c r="F424" s="2"/>
      <c r="G424" s="2"/>
      <c r="H424" s="2"/>
      <c r="I424" s="2"/>
      <c r="J424" s="2"/>
      <c r="K424" s="2"/>
      <c r="L424" s="2"/>
      <c r="M424" s="2"/>
      <c r="N424" s="2"/>
      <c r="O424" s="2"/>
      <c r="P424" s="2"/>
      <c r="Q424" s="2"/>
      <c r="R424" s="9"/>
      <c r="S424" s="9"/>
      <c r="T424" s="9"/>
      <c r="U424" s="9"/>
      <c r="V424" s="9"/>
      <c r="W424" s="9"/>
      <c r="X424" s="9"/>
      <c r="Y424" s="9"/>
      <c r="Z424" s="9"/>
      <c r="AA424" s="9"/>
      <c r="AB424" s="9"/>
      <c r="AC424" s="9"/>
      <c r="AD424" s="9"/>
    </row>
    <row r="425" spans="1:30" ht="13.5" customHeight="1" x14ac:dyDescent="0.25">
      <c r="A425" s="2"/>
      <c r="B425" s="2"/>
      <c r="C425" s="2"/>
      <c r="D425" s="2"/>
      <c r="E425" s="2"/>
      <c r="F425" s="2"/>
      <c r="G425" s="2"/>
      <c r="H425" s="2"/>
      <c r="I425" s="2"/>
      <c r="J425" s="2"/>
      <c r="K425" s="2"/>
      <c r="L425" s="2"/>
      <c r="M425" s="2"/>
      <c r="N425" s="2"/>
      <c r="O425" s="2"/>
      <c r="P425" s="2"/>
      <c r="Q425" s="2"/>
      <c r="R425" s="9"/>
      <c r="S425" s="9"/>
      <c r="T425" s="9"/>
      <c r="U425" s="9"/>
      <c r="V425" s="9"/>
      <c r="W425" s="9"/>
      <c r="X425" s="9"/>
      <c r="Y425" s="9"/>
      <c r="Z425" s="9"/>
      <c r="AA425" s="9"/>
      <c r="AB425" s="9"/>
      <c r="AC425" s="9"/>
      <c r="AD425" s="9"/>
    </row>
    <row r="426" spans="1:30" ht="13.5" customHeight="1" x14ac:dyDescent="0.25">
      <c r="A426" s="2"/>
      <c r="B426" s="2"/>
      <c r="C426" s="2"/>
      <c r="D426" s="2"/>
      <c r="E426" s="2"/>
      <c r="F426" s="2"/>
      <c r="G426" s="2"/>
      <c r="H426" s="2"/>
      <c r="I426" s="2"/>
      <c r="J426" s="2"/>
      <c r="K426" s="2"/>
      <c r="L426" s="2"/>
      <c r="M426" s="2"/>
      <c r="N426" s="2"/>
      <c r="O426" s="2"/>
      <c r="P426" s="2"/>
      <c r="Q426" s="2"/>
      <c r="R426" s="9"/>
      <c r="S426" s="9"/>
      <c r="T426" s="9"/>
      <c r="U426" s="9"/>
      <c r="V426" s="9"/>
      <c r="W426" s="9"/>
      <c r="X426" s="9"/>
      <c r="Y426" s="9"/>
      <c r="Z426" s="9"/>
      <c r="AA426" s="9"/>
      <c r="AB426" s="9"/>
      <c r="AC426" s="9"/>
      <c r="AD426" s="9"/>
    </row>
    <row r="427" spans="1:30" ht="13.5" customHeight="1" x14ac:dyDescent="0.25">
      <c r="A427" s="2"/>
      <c r="B427" s="2"/>
      <c r="C427" s="2"/>
      <c r="D427" s="2"/>
      <c r="E427" s="2"/>
      <c r="F427" s="2"/>
      <c r="G427" s="2"/>
      <c r="H427" s="2"/>
      <c r="I427" s="2"/>
      <c r="J427" s="2"/>
      <c r="K427" s="2"/>
      <c r="L427" s="2"/>
      <c r="M427" s="2"/>
      <c r="N427" s="2"/>
      <c r="O427" s="2"/>
      <c r="P427" s="2"/>
      <c r="Q427" s="2"/>
      <c r="R427" s="9"/>
      <c r="S427" s="9"/>
      <c r="T427" s="9"/>
      <c r="U427" s="9"/>
      <c r="V427" s="9"/>
      <c r="W427" s="9"/>
      <c r="X427" s="9"/>
      <c r="Y427" s="9"/>
      <c r="Z427" s="9"/>
      <c r="AA427" s="9"/>
      <c r="AB427" s="9"/>
      <c r="AC427" s="9"/>
      <c r="AD427" s="9"/>
    </row>
    <row r="428" spans="1:30" ht="13.5" customHeight="1" x14ac:dyDescent="0.25">
      <c r="A428" s="2"/>
      <c r="B428" s="2"/>
      <c r="C428" s="2"/>
      <c r="D428" s="2"/>
      <c r="E428" s="2"/>
      <c r="F428" s="2"/>
      <c r="G428" s="2"/>
      <c r="H428" s="2"/>
      <c r="I428" s="2"/>
      <c r="J428" s="2"/>
      <c r="K428" s="2"/>
      <c r="L428" s="2"/>
      <c r="M428" s="2"/>
      <c r="N428" s="2"/>
      <c r="O428" s="2"/>
      <c r="P428" s="2"/>
      <c r="Q428" s="2"/>
      <c r="R428" s="9"/>
      <c r="S428" s="9"/>
      <c r="T428" s="9"/>
      <c r="U428" s="9"/>
      <c r="V428" s="9"/>
      <c r="W428" s="9"/>
      <c r="X428" s="9"/>
      <c r="Y428" s="9"/>
      <c r="Z428" s="9"/>
      <c r="AA428" s="9"/>
      <c r="AB428" s="9"/>
      <c r="AC428" s="9"/>
      <c r="AD428" s="9"/>
    </row>
    <row r="429" spans="1:30" ht="13.5" customHeight="1" x14ac:dyDescent="0.25">
      <c r="A429" s="2"/>
      <c r="B429" s="2"/>
      <c r="C429" s="2"/>
      <c r="D429" s="2"/>
      <c r="E429" s="2"/>
      <c r="F429" s="2"/>
      <c r="G429" s="2"/>
      <c r="H429" s="2"/>
      <c r="I429" s="2"/>
      <c r="J429" s="2"/>
      <c r="K429" s="2"/>
      <c r="L429" s="2"/>
      <c r="M429" s="2"/>
      <c r="N429" s="2"/>
      <c r="O429" s="2"/>
      <c r="P429" s="2"/>
      <c r="Q429" s="2"/>
      <c r="R429" s="9"/>
      <c r="S429" s="9"/>
      <c r="T429" s="9"/>
      <c r="U429" s="9"/>
      <c r="V429" s="9"/>
      <c r="W429" s="9"/>
      <c r="X429" s="9"/>
      <c r="Y429" s="9"/>
      <c r="Z429" s="9"/>
      <c r="AA429" s="9"/>
      <c r="AB429" s="9"/>
      <c r="AC429" s="9"/>
      <c r="AD429" s="9"/>
    </row>
    <row r="430" spans="1:30" ht="13.5" customHeight="1" x14ac:dyDescent="0.25">
      <c r="A430" s="2"/>
      <c r="B430" s="2"/>
      <c r="C430" s="2"/>
      <c r="D430" s="2"/>
      <c r="E430" s="2"/>
      <c r="F430" s="2"/>
      <c r="G430" s="2"/>
      <c r="H430" s="2"/>
      <c r="I430" s="2"/>
      <c r="J430" s="2"/>
      <c r="K430" s="2"/>
      <c r="L430" s="2"/>
      <c r="M430" s="2"/>
      <c r="N430" s="2"/>
      <c r="O430" s="2"/>
      <c r="P430" s="2"/>
      <c r="Q430" s="2"/>
      <c r="R430" s="9"/>
      <c r="S430" s="9"/>
      <c r="T430" s="9"/>
      <c r="U430" s="9"/>
      <c r="V430" s="9"/>
      <c r="W430" s="9"/>
      <c r="X430" s="9"/>
      <c r="Y430" s="9"/>
      <c r="Z430" s="9"/>
      <c r="AA430" s="9"/>
      <c r="AB430" s="9"/>
      <c r="AC430" s="9"/>
      <c r="AD430" s="9"/>
    </row>
    <row r="431" spans="1:30" ht="13.5" customHeight="1" x14ac:dyDescent="0.25">
      <c r="A431" s="2"/>
      <c r="B431" s="2"/>
      <c r="C431" s="2"/>
      <c r="D431" s="2"/>
      <c r="E431" s="2"/>
      <c r="F431" s="2"/>
      <c r="G431" s="2"/>
      <c r="H431" s="2"/>
      <c r="I431" s="2"/>
      <c r="J431" s="2"/>
      <c r="K431" s="2"/>
      <c r="L431" s="2"/>
      <c r="M431" s="2"/>
      <c r="N431" s="2"/>
      <c r="O431" s="2"/>
      <c r="P431" s="2"/>
      <c r="Q431" s="2"/>
      <c r="R431" s="9"/>
      <c r="S431" s="9"/>
      <c r="T431" s="9"/>
      <c r="U431" s="9"/>
      <c r="V431" s="9"/>
      <c r="W431" s="9"/>
      <c r="X431" s="9"/>
      <c r="Y431" s="9"/>
      <c r="Z431" s="9"/>
      <c r="AA431" s="9"/>
      <c r="AB431" s="9"/>
      <c r="AC431" s="9"/>
      <c r="AD431" s="9"/>
    </row>
    <row r="432" spans="1:30" ht="13.5" customHeight="1" x14ac:dyDescent="0.25">
      <c r="A432" s="2"/>
      <c r="B432" s="2"/>
      <c r="C432" s="2"/>
      <c r="D432" s="2"/>
      <c r="E432" s="2"/>
      <c r="F432" s="2"/>
      <c r="G432" s="2"/>
      <c r="H432" s="2"/>
      <c r="I432" s="2"/>
      <c r="J432" s="2"/>
      <c r="K432" s="2"/>
      <c r="L432" s="2"/>
      <c r="M432" s="2"/>
      <c r="N432" s="2"/>
      <c r="O432" s="2"/>
      <c r="P432" s="2"/>
      <c r="Q432" s="2"/>
      <c r="R432" s="9"/>
      <c r="S432" s="9"/>
      <c r="T432" s="9"/>
      <c r="U432" s="9"/>
      <c r="V432" s="9"/>
      <c r="W432" s="9"/>
      <c r="X432" s="9"/>
      <c r="Y432" s="9"/>
      <c r="Z432" s="9"/>
      <c r="AA432" s="9"/>
      <c r="AB432" s="9"/>
      <c r="AC432" s="9"/>
      <c r="AD432" s="9"/>
    </row>
    <row r="433" spans="1:30" ht="13.5" customHeight="1" x14ac:dyDescent="0.25">
      <c r="A433" s="2"/>
      <c r="B433" s="2"/>
      <c r="C433" s="2"/>
      <c r="D433" s="2"/>
      <c r="E433" s="2"/>
      <c r="F433" s="2"/>
      <c r="G433" s="2"/>
      <c r="H433" s="2"/>
      <c r="I433" s="2"/>
      <c r="J433" s="2"/>
      <c r="K433" s="2"/>
      <c r="L433" s="2"/>
      <c r="M433" s="2"/>
      <c r="N433" s="2"/>
      <c r="O433" s="2"/>
      <c r="P433" s="2"/>
      <c r="Q433" s="2"/>
      <c r="R433" s="9"/>
      <c r="S433" s="9"/>
      <c r="T433" s="9"/>
      <c r="U433" s="9"/>
      <c r="V433" s="9"/>
      <c r="W433" s="9"/>
      <c r="X433" s="9"/>
      <c r="Y433" s="9"/>
      <c r="Z433" s="9"/>
      <c r="AA433" s="9"/>
      <c r="AB433" s="9"/>
      <c r="AC433" s="9"/>
      <c r="AD433" s="9"/>
    </row>
    <row r="434" spans="1:30" ht="13.5" customHeight="1" x14ac:dyDescent="0.25">
      <c r="A434" s="2"/>
      <c r="B434" s="2"/>
      <c r="C434" s="2"/>
      <c r="D434" s="2"/>
      <c r="E434" s="2"/>
      <c r="F434" s="2"/>
      <c r="G434" s="2"/>
      <c r="H434" s="2"/>
      <c r="I434" s="2"/>
      <c r="J434" s="2"/>
      <c r="K434" s="2"/>
      <c r="L434" s="2"/>
      <c r="M434" s="2"/>
      <c r="N434" s="2"/>
      <c r="O434" s="2"/>
      <c r="P434" s="2"/>
      <c r="Q434" s="2"/>
      <c r="R434" s="9"/>
      <c r="S434" s="9"/>
      <c r="T434" s="9"/>
      <c r="U434" s="9"/>
      <c r="V434" s="9"/>
      <c r="W434" s="9"/>
      <c r="X434" s="9"/>
      <c r="Y434" s="9"/>
      <c r="Z434" s="9"/>
      <c r="AA434" s="9"/>
      <c r="AB434" s="9"/>
      <c r="AC434" s="9"/>
      <c r="AD434" s="9"/>
    </row>
    <row r="435" spans="1:30" ht="13.5" customHeight="1" x14ac:dyDescent="0.25">
      <c r="A435" s="2"/>
      <c r="B435" s="2"/>
      <c r="C435" s="2"/>
      <c r="D435" s="2"/>
      <c r="E435" s="2"/>
      <c r="F435" s="2"/>
      <c r="G435" s="2"/>
      <c r="H435" s="2"/>
      <c r="I435" s="2"/>
      <c r="J435" s="2"/>
      <c r="K435" s="2"/>
      <c r="L435" s="2"/>
      <c r="M435" s="2"/>
      <c r="N435" s="2"/>
      <c r="O435" s="2"/>
      <c r="P435" s="2"/>
      <c r="Q435" s="2"/>
      <c r="R435" s="9"/>
      <c r="S435" s="9"/>
      <c r="T435" s="9"/>
      <c r="U435" s="9"/>
      <c r="V435" s="9"/>
      <c r="W435" s="9"/>
      <c r="X435" s="9"/>
      <c r="Y435" s="9"/>
      <c r="Z435" s="9"/>
      <c r="AA435" s="9"/>
      <c r="AB435" s="9"/>
      <c r="AC435" s="9"/>
      <c r="AD435" s="9"/>
    </row>
    <row r="436" spans="1:30" ht="13.5" customHeight="1" x14ac:dyDescent="0.25">
      <c r="A436" s="2"/>
      <c r="B436" s="2"/>
      <c r="C436" s="2"/>
      <c r="D436" s="2"/>
      <c r="E436" s="2"/>
      <c r="F436" s="2"/>
      <c r="G436" s="2"/>
      <c r="H436" s="2"/>
      <c r="I436" s="2"/>
      <c r="J436" s="2"/>
      <c r="K436" s="2"/>
      <c r="L436" s="2"/>
      <c r="M436" s="2"/>
      <c r="N436" s="2"/>
      <c r="O436" s="2"/>
      <c r="P436" s="2"/>
      <c r="Q436" s="2"/>
      <c r="R436" s="9"/>
      <c r="S436" s="9"/>
      <c r="T436" s="9"/>
      <c r="U436" s="9"/>
      <c r="V436" s="9"/>
      <c r="W436" s="9"/>
      <c r="X436" s="9"/>
      <c r="Y436" s="9"/>
      <c r="Z436" s="9"/>
      <c r="AA436" s="9"/>
      <c r="AB436" s="9"/>
      <c r="AC436" s="9"/>
      <c r="AD436" s="9"/>
    </row>
    <row r="437" spans="1:30" ht="13.5" customHeight="1" x14ac:dyDescent="0.25">
      <c r="A437" s="2"/>
      <c r="B437" s="2"/>
      <c r="C437" s="2"/>
      <c r="D437" s="2"/>
      <c r="E437" s="2"/>
      <c r="F437" s="2"/>
      <c r="G437" s="2"/>
      <c r="H437" s="2"/>
      <c r="I437" s="2"/>
      <c r="J437" s="2"/>
      <c r="K437" s="2"/>
      <c r="L437" s="2"/>
      <c r="M437" s="2"/>
      <c r="N437" s="2"/>
      <c r="O437" s="2"/>
      <c r="P437" s="2"/>
      <c r="Q437" s="2"/>
      <c r="R437" s="9"/>
      <c r="S437" s="9"/>
      <c r="T437" s="9"/>
      <c r="U437" s="9"/>
      <c r="V437" s="9"/>
      <c r="W437" s="9"/>
      <c r="X437" s="9"/>
      <c r="Y437" s="9"/>
      <c r="Z437" s="9"/>
      <c r="AA437" s="9"/>
      <c r="AB437" s="9"/>
      <c r="AC437" s="9"/>
      <c r="AD437" s="9"/>
    </row>
    <row r="438" spans="1:30" ht="13.5" customHeight="1" x14ac:dyDescent="0.25">
      <c r="A438" s="2"/>
      <c r="B438" s="2"/>
      <c r="C438" s="2"/>
      <c r="D438" s="2"/>
      <c r="E438" s="2"/>
      <c r="F438" s="2"/>
      <c r="G438" s="2"/>
      <c r="H438" s="2"/>
      <c r="I438" s="2"/>
      <c r="J438" s="2"/>
      <c r="K438" s="2"/>
      <c r="L438" s="2"/>
      <c r="M438" s="2"/>
      <c r="N438" s="2"/>
      <c r="O438" s="2"/>
      <c r="P438" s="2"/>
      <c r="Q438" s="2"/>
      <c r="R438" s="9"/>
      <c r="S438" s="9"/>
      <c r="T438" s="9"/>
      <c r="U438" s="9"/>
      <c r="V438" s="9"/>
      <c r="W438" s="9"/>
      <c r="X438" s="9"/>
      <c r="Y438" s="9"/>
      <c r="Z438" s="9"/>
      <c r="AA438" s="9"/>
      <c r="AB438" s="9"/>
      <c r="AC438" s="9"/>
      <c r="AD438" s="9"/>
    </row>
    <row r="439" spans="1:30" ht="13.5" customHeight="1" x14ac:dyDescent="0.25">
      <c r="A439" s="2"/>
      <c r="B439" s="2"/>
      <c r="C439" s="2"/>
      <c r="D439" s="2"/>
      <c r="E439" s="2"/>
      <c r="F439" s="2"/>
      <c r="G439" s="2"/>
      <c r="H439" s="2"/>
      <c r="I439" s="2"/>
      <c r="J439" s="2"/>
      <c r="K439" s="2"/>
      <c r="L439" s="2"/>
      <c r="M439" s="2"/>
      <c r="N439" s="2"/>
      <c r="O439" s="2"/>
      <c r="P439" s="2"/>
      <c r="Q439" s="2"/>
      <c r="R439" s="9"/>
      <c r="S439" s="9"/>
      <c r="T439" s="9"/>
      <c r="U439" s="9"/>
      <c r="V439" s="9"/>
      <c r="W439" s="9"/>
      <c r="X439" s="9"/>
      <c r="Y439" s="9"/>
      <c r="Z439" s="9"/>
      <c r="AA439" s="9"/>
      <c r="AB439" s="9"/>
      <c r="AC439" s="9"/>
      <c r="AD439" s="9"/>
    </row>
    <row r="440" spans="1:30" ht="13.5" customHeight="1" x14ac:dyDescent="0.25">
      <c r="A440" s="2"/>
      <c r="B440" s="2"/>
      <c r="C440" s="2"/>
      <c r="D440" s="2"/>
      <c r="E440" s="2"/>
      <c r="F440" s="2"/>
      <c r="G440" s="2"/>
      <c r="H440" s="2"/>
      <c r="I440" s="2"/>
      <c r="J440" s="2"/>
      <c r="K440" s="2"/>
      <c r="L440" s="2"/>
      <c r="M440" s="2"/>
      <c r="N440" s="2"/>
      <c r="O440" s="2"/>
      <c r="P440" s="2"/>
      <c r="Q440" s="2"/>
      <c r="R440" s="9"/>
      <c r="S440" s="9"/>
      <c r="T440" s="9"/>
      <c r="U440" s="9"/>
      <c r="V440" s="9"/>
      <c r="W440" s="9"/>
      <c r="X440" s="9"/>
      <c r="Y440" s="9"/>
      <c r="Z440" s="9"/>
      <c r="AA440" s="9"/>
      <c r="AB440" s="9"/>
      <c r="AC440" s="9"/>
      <c r="AD440" s="9"/>
    </row>
    <row r="441" spans="1:30" ht="13.5" customHeight="1" x14ac:dyDescent="0.25">
      <c r="A441" s="2"/>
      <c r="B441" s="2"/>
      <c r="C441" s="2"/>
      <c r="D441" s="2"/>
      <c r="E441" s="2"/>
      <c r="F441" s="2"/>
      <c r="G441" s="2"/>
      <c r="H441" s="2"/>
      <c r="I441" s="2"/>
      <c r="J441" s="2"/>
      <c r="K441" s="2"/>
      <c r="L441" s="2"/>
      <c r="M441" s="2"/>
      <c r="N441" s="2"/>
      <c r="O441" s="2"/>
      <c r="P441" s="2"/>
      <c r="Q441" s="2"/>
      <c r="R441" s="9"/>
      <c r="S441" s="9"/>
      <c r="T441" s="9"/>
      <c r="U441" s="9"/>
      <c r="V441" s="9"/>
      <c r="W441" s="9"/>
      <c r="X441" s="9"/>
      <c r="Y441" s="9"/>
      <c r="Z441" s="9"/>
      <c r="AA441" s="9"/>
      <c r="AB441" s="9"/>
      <c r="AC441" s="9"/>
      <c r="AD441" s="9"/>
    </row>
    <row r="442" spans="1:30" ht="13.5" customHeight="1" x14ac:dyDescent="0.25">
      <c r="A442" s="2"/>
      <c r="B442" s="2"/>
      <c r="C442" s="2"/>
      <c r="D442" s="2"/>
      <c r="E442" s="2"/>
      <c r="F442" s="2"/>
      <c r="G442" s="2"/>
      <c r="H442" s="2"/>
      <c r="I442" s="2"/>
      <c r="J442" s="2"/>
      <c r="K442" s="2"/>
      <c r="L442" s="2"/>
      <c r="M442" s="2"/>
      <c r="N442" s="2"/>
      <c r="O442" s="2"/>
      <c r="P442" s="2"/>
      <c r="Q442" s="2"/>
      <c r="R442" s="9"/>
      <c r="S442" s="9"/>
      <c r="T442" s="9"/>
      <c r="U442" s="9"/>
      <c r="V442" s="9"/>
      <c r="W442" s="9"/>
      <c r="X442" s="9"/>
      <c r="Y442" s="9"/>
      <c r="Z442" s="9"/>
      <c r="AA442" s="9"/>
      <c r="AB442" s="9"/>
      <c r="AC442" s="9"/>
      <c r="AD442" s="9"/>
    </row>
    <row r="443" spans="1:30" ht="13.5" customHeight="1" x14ac:dyDescent="0.25">
      <c r="A443" s="2"/>
      <c r="B443" s="2"/>
      <c r="C443" s="2"/>
      <c r="D443" s="2"/>
      <c r="E443" s="2"/>
      <c r="F443" s="2"/>
      <c r="G443" s="2"/>
      <c r="H443" s="2"/>
      <c r="I443" s="2"/>
      <c r="J443" s="2"/>
      <c r="K443" s="2"/>
      <c r="L443" s="2"/>
      <c r="M443" s="2"/>
      <c r="N443" s="2"/>
      <c r="O443" s="2"/>
      <c r="P443" s="2"/>
      <c r="Q443" s="2"/>
      <c r="R443" s="9"/>
      <c r="S443" s="9"/>
      <c r="T443" s="9"/>
      <c r="U443" s="9"/>
      <c r="V443" s="9"/>
      <c r="W443" s="9"/>
      <c r="X443" s="9"/>
      <c r="Y443" s="9"/>
      <c r="Z443" s="9"/>
      <c r="AA443" s="9"/>
      <c r="AB443" s="9"/>
      <c r="AC443" s="9"/>
      <c r="AD443" s="9"/>
    </row>
    <row r="444" spans="1:30" ht="13.5" customHeight="1" x14ac:dyDescent="0.25">
      <c r="A444" s="2"/>
      <c r="B444" s="2"/>
      <c r="C444" s="2"/>
      <c r="D444" s="2"/>
      <c r="E444" s="2"/>
      <c r="F444" s="2"/>
      <c r="G444" s="2"/>
      <c r="H444" s="2"/>
      <c r="I444" s="2"/>
      <c r="J444" s="2"/>
      <c r="K444" s="2"/>
      <c r="L444" s="2"/>
      <c r="M444" s="2"/>
      <c r="N444" s="2"/>
      <c r="O444" s="2"/>
      <c r="P444" s="2"/>
      <c r="Q444" s="2"/>
      <c r="R444" s="9"/>
      <c r="S444" s="9"/>
      <c r="T444" s="9"/>
      <c r="U444" s="9"/>
      <c r="V444" s="9"/>
      <c r="W444" s="9"/>
      <c r="X444" s="9"/>
      <c r="Y444" s="9"/>
      <c r="Z444" s="9"/>
      <c r="AA444" s="9"/>
      <c r="AB444" s="9"/>
      <c r="AC444" s="9"/>
      <c r="AD444" s="9"/>
    </row>
    <row r="445" spans="1:30" ht="13.5" customHeight="1" x14ac:dyDescent="0.25">
      <c r="A445" s="2"/>
      <c r="B445" s="2"/>
      <c r="C445" s="2"/>
      <c r="D445" s="2"/>
      <c r="E445" s="2"/>
      <c r="F445" s="2"/>
      <c r="G445" s="2"/>
      <c r="H445" s="2"/>
      <c r="I445" s="2"/>
      <c r="J445" s="2"/>
      <c r="K445" s="2"/>
      <c r="L445" s="2"/>
      <c r="M445" s="2"/>
      <c r="N445" s="2"/>
      <c r="O445" s="2"/>
      <c r="P445" s="2"/>
      <c r="Q445" s="2"/>
      <c r="R445" s="9"/>
      <c r="S445" s="9"/>
      <c r="T445" s="9"/>
      <c r="U445" s="9"/>
      <c r="V445" s="9"/>
      <c r="W445" s="9"/>
      <c r="X445" s="9"/>
      <c r="Y445" s="9"/>
      <c r="Z445" s="9"/>
      <c r="AA445" s="9"/>
      <c r="AB445" s="9"/>
      <c r="AC445" s="9"/>
      <c r="AD445" s="9"/>
    </row>
    <row r="446" spans="1:30" ht="13.5" customHeight="1" x14ac:dyDescent="0.25">
      <c r="A446" s="2"/>
      <c r="B446" s="2"/>
      <c r="C446" s="2"/>
      <c r="D446" s="2"/>
      <c r="E446" s="2"/>
      <c r="F446" s="2"/>
      <c r="G446" s="2"/>
      <c r="H446" s="2"/>
      <c r="I446" s="2"/>
      <c r="J446" s="2"/>
      <c r="K446" s="2"/>
      <c r="L446" s="2"/>
      <c r="M446" s="2"/>
      <c r="N446" s="2"/>
      <c r="O446" s="2"/>
      <c r="P446" s="2"/>
      <c r="Q446" s="2"/>
      <c r="R446" s="9"/>
      <c r="S446" s="9"/>
      <c r="T446" s="9"/>
      <c r="U446" s="9"/>
      <c r="V446" s="9"/>
      <c r="W446" s="9"/>
      <c r="X446" s="9"/>
      <c r="Y446" s="9"/>
      <c r="Z446" s="9"/>
      <c r="AA446" s="9"/>
      <c r="AB446" s="9"/>
      <c r="AC446" s="9"/>
      <c r="AD446" s="9"/>
    </row>
    <row r="447" spans="1:30" ht="13.5" customHeight="1" x14ac:dyDescent="0.25">
      <c r="A447" s="2"/>
      <c r="B447" s="2"/>
      <c r="C447" s="2"/>
      <c r="D447" s="2"/>
      <c r="E447" s="2"/>
      <c r="F447" s="2"/>
      <c r="G447" s="2"/>
      <c r="H447" s="2"/>
      <c r="I447" s="2"/>
      <c r="J447" s="2"/>
      <c r="K447" s="2"/>
      <c r="L447" s="2"/>
      <c r="M447" s="2"/>
      <c r="N447" s="2"/>
      <c r="O447" s="2"/>
      <c r="P447" s="2"/>
      <c r="Q447" s="2"/>
      <c r="R447" s="9"/>
      <c r="S447" s="9"/>
      <c r="T447" s="9"/>
      <c r="U447" s="9"/>
      <c r="V447" s="9"/>
      <c r="W447" s="9"/>
      <c r="X447" s="9"/>
      <c r="Y447" s="9"/>
      <c r="Z447" s="9"/>
      <c r="AA447" s="9"/>
      <c r="AB447" s="9"/>
      <c r="AC447" s="9"/>
      <c r="AD447" s="9"/>
    </row>
    <row r="448" spans="1:30" ht="13.5" customHeight="1" x14ac:dyDescent="0.25">
      <c r="A448" s="2"/>
      <c r="B448" s="2"/>
      <c r="C448" s="2"/>
      <c r="D448" s="2"/>
      <c r="E448" s="2"/>
      <c r="F448" s="2"/>
      <c r="G448" s="2"/>
      <c r="H448" s="2"/>
      <c r="I448" s="2"/>
      <c r="J448" s="2"/>
      <c r="K448" s="2"/>
      <c r="L448" s="2"/>
      <c r="M448" s="2"/>
      <c r="N448" s="2"/>
      <c r="O448" s="2"/>
      <c r="P448" s="2"/>
      <c r="Q448" s="2"/>
      <c r="R448" s="9"/>
      <c r="S448" s="9"/>
      <c r="T448" s="9"/>
      <c r="U448" s="9"/>
      <c r="V448" s="9"/>
      <c r="W448" s="9"/>
      <c r="X448" s="9"/>
      <c r="Y448" s="9"/>
      <c r="Z448" s="9"/>
      <c r="AA448" s="9"/>
      <c r="AB448" s="9"/>
      <c r="AC448" s="9"/>
      <c r="AD448" s="9"/>
    </row>
    <row r="449" spans="1:30" ht="13.5" customHeight="1" x14ac:dyDescent="0.25">
      <c r="A449" s="2"/>
      <c r="B449" s="2"/>
      <c r="C449" s="2"/>
      <c r="D449" s="2"/>
      <c r="E449" s="2"/>
      <c r="F449" s="2"/>
      <c r="G449" s="2"/>
      <c r="H449" s="2"/>
      <c r="I449" s="2"/>
      <c r="J449" s="2"/>
      <c r="K449" s="2"/>
      <c r="L449" s="2"/>
      <c r="M449" s="2"/>
      <c r="N449" s="2"/>
      <c r="O449" s="2"/>
      <c r="P449" s="2"/>
      <c r="Q449" s="2"/>
      <c r="R449" s="9"/>
      <c r="S449" s="9"/>
      <c r="T449" s="9"/>
      <c r="U449" s="9"/>
      <c r="V449" s="9"/>
      <c r="W449" s="9"/>
      <c r="X449" s="9"/>
      <c r="Y449" s="9"/>
      <c r="Z449" s="9"/>
      <c r="AA449" s="9"/>
      <c r="AB449" s="9"/>
      <c r="AC449" s="9"/>
      <c r="AD449" s="9"/>
    </row>
    <row r="450" spans="1:30" ht="13.5" customHeight="1" x14ac:dyDescent="0.25">
      <c r="A450" s="2"/>
      <c r="B450" s="2"/>
      <c r="C450" s="2"/>
      <c r="D450" s="2"/>
      <c r="E450" s="2"/>
      <c r="F450" s="2"/>
      <c r="G450" s="2"/>
      <c r="H450" s="2"/>
      <c r="I450" s="2"/>
      <c r="J450" s="2"/>
      <c r="K450" s="2"/>
      <c r="L450" s="2"/>
      <c r="M450" s="2"/>
      <c r="N450" s="2"/>
      <c r="O450" s="2"/>
      <c r="P450" s="2"/>
      <c r="Q450" s="2"/>
      <c r="R450" s="9"/>
      <c r="S450" s="9"/>
      <c r="T450" s="9"/>
      <c r="U450" s="9"/>
      <c r="V450" s="9"/>
      <c r="W450" s="9"/>
      <c r="X450" s="9"/>
      <c r="Y450" s="9"/>
      <c r="Z450" s="9"/>
      <c r="AA450" s="9"/>
      <c r="AB450" s="9"/>
      <c r="AC450" s="9"/>
      <c r="AD450" s="9"/>
    </row>
    <row r="451" spans="1:30" ht="13.5" customHeight="1" x14ac:dyDescent="0.25">
      <c r="A451" s="2"/>
      <c r="B451" s="2"/>
      <c r="C451" s="2"/>
      <c r="D451" s="2"/>
      <c r="E451" s="2"/>
      <c r="F451" s="2"/>
      <c r="G451" s="2"/>
      <c r="H451" s="2"/>
      <c r="I451" s="2"/>
      <c r="J451" s="2"/>
      <c r="K451" s="2"/>
      <c r="L451" s="2"/>
      <c r="M451" s="2"/>
      <c r="N451" s="2"/>
      <c r="O451" s="2"/>
      <c r="P451" s="2"/>
      <c r="Q451" s="2"/>
      <c r="R451" s="9"/>
      <c r="S451" s="9"/>
      <c r="T451" s="9"/>
      <c r="U451" s="9"/>
      <c r="V451" s="9"/>
      <c r="W451" s="9"/>
      <c r="X451" s="9"/>
      <c r="Y451" s="9"/>
      <c r="Z451" s="9"/>
      <c r="AA451" s="9"/>
      <c r="AB451" s="9"/>
      <c r="AC451" s="9"/>
      <c r="AD451" s="9"/>
    </row>
    <row r="452" spans="1:30" ht="13.5" customHeight="1" x14ac:dyDescent="0.25">
      <c r="A452" s="2"/>
      <c r="B452" s="2"/>
      <c r="C452" s="2"/>
      <c r="D452" s="2"/>
      <c r="E452" s="2"/>
      <c r="F452" s="2"/>
      <c r="G452" s="2"/>
      <c r="H452" s="2"/>
      <c r="I452" s="2"/>
      <c r="J452" s="2"/>
      <c r="K452" s="2"/>
      <c r="L452" s="2"/>
      <c r="M452" s="2"/>
      <c r="N452" s="2"/>
      <c r="O452" s="2"/>
      <c r="P452" s="2"/>
      <c r="Q452" s="2"/>
      <c r="R452" s="9"/>
      <c r="S452" s="9"/>
      <c r="T452" s="9"/>
      <c r="U452" s="9"/>
      <c r="V452" s="9"/>
      <c r="W452" s="9"/>
      <c r="X452" s="9"/>
      <c r="Y452" s="9"/>
      <c r="Z452" s="9"/>
      <c r="AA452" s="9"/>
      <c r="AB452" s="9"/>
      <c r="AC452" s="9"/>
      <c r="AD452" s="9"/>
    </row>
    <row r="453" spans="1:30" ht="13.5" customHeight="1" x14ac:dyDescent="0.25">
      <c r="A453" s="2"/>
      <c r="B453" s="2"/>
      <c r="C453" s="2"/>
      <c r="D453" s="2"/>
      <c r="E453" s="2"/>
      <c r="F453" s="2"/>
      <c r="G453" s="2"/>
      <c r="H453" s="2"/>
      <c r="I453" s="2"/>
      <c r="J453" s="2"/>
      <c r="K453" s="2"/>
      <c r="L453" s="2"/>
      <c r="M453" s="2"/>
      <c r="N453" s="2"/>
      <c r="O453" s="2"/>
      <c r="P453" s="2"/>
      <c r="Q453" s="2"/>
      <c r="R453" s="9"/>
      <c r="S453" s="9"/>
      <c r="T453" s="9"/>
      <c r="U453" s="9"/>
      <c r="V453" s="9"/>
      <c r="W453" s="9"/>
      <c r="X453" s="9"/>
      <c r="Y453" s="9"/>
      <c r="Z453" s="9"/>
      <c r="AA453" s="9"/>
      <c r="AB453" s="9"/>
      <c r="AC453" s="9"/>
      <c r="AD453" s="9"/>
    </row>
    <row r="454" spans="1:30" ht="13.5" customHeight="1" x14ac:dyDescent="0.25">
      <c r="A454" s="2"/>
      <c r="B454" s="2"/>
      <c r="C454" s="2"/>
      <c r="D454" s="2"/>
      <c r="E454" s="2"/>
      <c r="F454" s="2"/>
      <c r="G454" s="2"/>
      <c r="H454" s="2"/>
      <c r="I454" s="2"/>
      <c r="J454" s="2"/>
      <c r="K454" s="2"/>
      <c r="L454" s="2"/>
      <c r="M454" s="2"/>
      <c r="N454" s="2"/>
      <c r="O454" s="2"/>
      <c r="P454" s="2"/>
      <c r="Q454" s="2"/>
      <c r="R454" s="9"/>
      <c r="S454" s="9"/>
      <c r="T454" s="9"/>
      <c r="U454" s="9"/>
      <c r="V454" s="9"/>
      <c r="W454" s="9"/>
      <c r="X454" s="9"/>
      <c r="Y454" s="9"/>
      <c r="Z454" s="9"/>
      <c r="AA454" s="9"/>
      <c r="AB454" s="9"/>
      <c r="AC454" s="9"/>
      <c r="AD454" s="9"/>
    </row>
    <row r="455" spans="1:30" ht="13.5" customHeight="1" x14ac:dyDescent="0.25">
      <c r="A455" s="2"/>
      <c r="B455" s="2"/>
      <c r="C455" s="2"/>
      <c r="D455" s="2"/>
      <c r="E455" s="2"/>
      <c r="F455" s="2"/>
      <c r="G455" s="2"/>
      <c r="H455" s="2"/>
      <c r="I455" s="2"/>
      <c r="J455" s="2"/>
      <c r="K455" s="2"/>
      <c r="L455" s="2"/>
      <c r="M455" s="2"/>
      <c r="N455" s="2"/>
      <c r="O455" s="2"/>
      <c r="P455" s="2"/>
      <c r="Q455" s="2"/>
      <c r="R455" s="9"/>
      <c r="S455" s="9"/>
      <c r="T455" s="9"/>
      <c r="U455" s="9"/>
      <c r="V455" s="9"/>
      <c r="W455" s="9"/>
      <c r="X455" s="9"/>
      <c r="Y455" s="9"/>
      <c r="Z455" s="9"/>
      <c r="AA455" s="9"/>
      <c r="AB455" s="9"/>
      <c r="AC455" s="9"/>
      <c r="AD455" s="9"/>
    </row>
    <row r="456" spans="1:30" ht="13.5" customHeight="1" x14ac:dyDescent="0.25">
      <c r="A456" s="2"/>
      <c r="B456" s="2"/>
      <c r="C456" s="2"/>
      <c r="D456" s="2"/>
      <c r="E456" s="2"/>
      <c r="F456" s="2"/>
      <c r="G456" s="2"/>
      <c r="H456" s="2"/>
      <c r="I456" s="2"/>
      <c r="J456" s="2"/>
      <c r="K456" s="2"/>
      <c r="L456" s="2"/>
      <c r="M456" s="2"/>
      <c r="N456" s="2"/>
      <c r="O456" s="2"/>
      <c r="P456" s="2"/>
      <c r="Q456" s="2"/>
      <c r="R456" s="9"/>
      <c r="S456" s="9"/>
      <c r="T456" s="9"/>
      <c r="U456" s="9"/>
      <c r="V456" s="9"/>
      <c r="W456" s="9"/>
      <c r="X456" s="9"/>
      <c r="Y456" s="9"/>
      <c r="Z456" s="9"/>
      <c r="AA456" s="9"/>
      <c r="AB456" s="9"/>
      <c r="AC456" s="9"/>
      <c r="AD456" s="9"/>
    </row>
    <row r="457" spans="1:30" ht="13.5" customHeight="1" x14ac:dyDescent="0.25">
      <c r="A457" s="2"/>
      <c r="B457" s="2"/>
      <c r="C457" s="2"/>
      <c r="D457" s="2"/>
      <c r="E457" s="2"/>
      <c r="F457" s="2"/>
      <c r="G457" s="2"/>
      <c r="H457" s="2"/>
      <c r="I457" s="2"/>
      <c r="J457" s="2"/>
      <c r="K457" s="2"/>
      <c r="L457" s="2"/>
      <c r="M457" s="2"/>
      <c r="N457" s="2"/>
      <c r="O457" s="2"/>
      <c r="P457" s="2"/>
      <c r="Q457" s="2"/>
      <c r="R457" s="9"/>
      <c r="S457" s="9"/>
      <c r="T457" s="9"/>
      <c r="U457" s="9"/>
      <c r="V457" s="9"/>
      <c r="W457" s="9"/>
      <c r="X457" s="9"/>
      <c r="Y457" s="9"/>
      <c r="Z457" s="9"/>
      <c r="AA457" s="9"/>
      <c r="AB457" s="9"/>
      <c r="AC457" s="9"/>
      <c r="AD457" s="9"/>
    </row>
    <row r="458" spans="1:30" ht="13.5" customHeight="1" x14ac:dyDescent="0.25">
      <c r="A458" s="2"/>
      <c r="B458" s="2"/>
      <c r="C458" s="2"/>
      <c r="D458" s="2"/>
      <c r="E458" s="2"/>
      <c r="F458" s="2"/>
      <c r="G458" s="2"/>
      <c r="H458" s="2"/>
      <c r="I458" s="2"/>
      <c r="J458" s="2"/>
      <c r="K458" s="2"/>
      <c r="L458" s="2"/>
      <c r="M458" s="2"/>
      <c r="N458" s="2"/>
      <c r="O458" s="2"/>
      <c r="P458" s="2"/>
      <c r="Q458" s="2"/>
      <c r="R458" s="9"/>
      <c r="S458" s="9"/>
      <c r="T458" s="9"/>
      <c r="U458" s="9"/>
      <c r="V458" s="9"/>
      <c r="W458" s="9"/>
      <c r="X458" s="9"/>
      <c r="Y458" s="9"/>
      <c r="Z458" s="9"/>
      <c r="AA458" s="9"/>
      <c r="AB458" s="9"/>
      <c r="AC458" s="9"/>
      <c r="AD458" s="9"/>
    </row>
    <row r="459" spans="1:30" ht="13.5" customHeight="1" x14ac:dyDescent="0.25">
      <c r="A459" s="2"/>
      <c r="B459" s="2"/>
      <c r="C459" s="2"/>
      <c r="D459" s="2"/>
      <c r="E459" s="2"/>
      <c r="F459" s="2"/>
      <c r="G459" s="2"/>
      <c r="H459" s="2"/>
      <c r="I459" s="2"/>
      <c r="J459" s="2"/>
      <c r="K459" s="2"/>
      <c r="L459" s="2"/>
      <c r="M459" s="2"/>
      <c r="N459" s="2"/>
      <c r="O459" s="2"/>
      <c r="P459" s="2"/>
      <c r="Q459" s="2"/>
      <c r="R459" s="9"/>
      <c r="S459" s="9"/>
      <c r="T459" s="9"/>
      <c r="U459" s="9"/>
      <c r="V459" s="9"/>
      <c r="W459" s="9"/>
      <c r="X459" s="9"/>
      <c r="Y459" s="9"/>
      <c r="Z459" s="9"/>
      <c r="AA459" s="9"/>
      <c r="AB459" s="9"/>
      <c r="AC459" s="9"/>
      <c r="AD459" s="9"/>
    </row>
    <row r="460" spans="1:30" ht="13.5" customHeight="1" x14ac:dyDescent="0.25">
      <c r="A460" s="2"/>
      <c r="B460" s="2"/>
      <c r="C460" s="2"/>
      <c r="D460" s="2"/>
      <c r="E460" s="2"/>
      <c r="F460" s="2"/>
      <c r="G460" s="2"/>
      <c r="H460" s="2"/>
      <c r="I460" s="2"/>
      <c r="J460" s="2"/>
      <c r="K460" s="2"/>
      <c r="L460" s="2"/>
      <c r="M460" s="2"/>
      <c r="N460" s="2"/>
      <c r="O460" s="2"/>
      <c r="P460" s="2"/>
      <c r="Q460" s="2"/>
      <c r="R460" s="9"/>
      <c r="S460" s="9"/>
      <c r="T460" s="9"/>
      <c r="U460" s="9"/>
      <c r="V460" s="9"/>
      <c r="W460" s="9"/>
      <c r="X460" s="9"/>
      <c r="Y460" s="9"/>
      <c r="Z460" s="9"/>
      <c r="AA460" s="9"/>
      <c r="AB460" s="9"/>
      <c r="AC460" s="9"/>
      <c r="AD460" s="9"/>
    </row>
    <row r="461" spans="1:30" ht="13.5" customHeight="1" x14ac:dyDescent="0.25">
      <c r="A461" s="2"/>
      <c r="B461" s="2"/>
      <c r="C461" s="2"/>
      <c r="D461" s="2"/>
      <c r="E461" s="2"/>
      <c r="F461" s="2"/>
      <c r="G461" s="2"/>
      <c r="H461" s="2"/>
      <c r="I461" s="2"/>
      <c r="J461" s="2"/>
      <c r="K461" s="2"/>
      <c r="L461" s="2"/>
      <c r="M461" s="2"/>
      <c r="N461" s="2"/>
      <c r="O461" s="2"/>
      <c r="P461" s="2"/>
      <c r="Q461" s="2"/>
      <c r="R461" s="9"/>
      <c r="S461" s="9"/>
      <c r="T461" s="9"/>
      <c r="U461" s="9"/>
      <c r="V461" s="9"/>
      <c r="W461" s="9"/>
      <c r="X461" s="9"/>
      <c r="Y461" s="9"/>
      <c r="Z461" s="9"/>
      <c r="AA461" s="9"/>
      <c r="AB461" s="9"/>
      <c r="AC461" s="9"/>
      <c r="AD461" s="9"/>
    </row>
    <row r="462" spans="1:30" ht="13.5" customHeight="1" x14ac:dyDescent="0.25">
      <c r="A462" s="2"/>
      <c r="B462" s="2"/>
      <c r="C462" s="2"/>
      <c r="D462" s="2"/>
      <c r="E462" s="2"/>
      <c r="F462" s="2"/>
      <c r="G462" s="2"/>
      <c r="H462" s="2"/>
      <c r="I462" s="2"/>
      <c r="J462" s="2"/>
      <c r="K462" s="2"/>
      <c r="L462" s="2"/>
      <c r="M462" s="2"/>
      <c r="N462" s="2"/>
      <c r="O462" s="2"/>
      <c r="P462" s="2"/>
      <c r="Q462" s="2"/>
      <c r="R462" s="9"/>
      <c r="S462" s="9"/>
      <c r="T462" s="9"/>
      <c r="U462" s="9"/>
      <c r="V462" s="9"/>
      <c r="W462" s="9"/>
      <c r="X462" s="9"/>
      <c r="Y462" s="9"/>
      <c r="Z462" s="9"/>
      <c r="AA462" s="9"/>
      <c r="AB462" s="9"/>
      <c r="AC462" s="9"/>
      <c r="AD462" s="9"/>
    </row>
    <row r="463" spans="1:30" ht="13.5" customHeight="1" x14ac:dyDescent="0.25">
      <c r="A463" s="2"/>
      <c r="B463" s="2"/>
      <c r="C463" s="2"/>
      <c r="D463" s="2"/>
      <c r="E463" s="2"/>
      <c r="F463" s="2"/>
      <c r="G463" s="2"/>
      <c r="H463" s="2"/>
      <c r="I463" s="2"/>
      <c r="J463" s="2"/>
      <c r="K463" s="2"/>
      <c r="L463" s="2"/>
      <c r="M463" s="2"/>
      <c r="N463" s="2"/>
      <c r="O463" s="2"/>
      <c r="P463" s="2"/>
      <c r="Q463" s="2"/>
      <c r="R463" s="9"/>
      <c r="S463" s="9"/>
      <c r="T463" s="9"/>
      <c r="U463" s="9"/>
      <c r="V463" s="9"/>
      <c r="W463" s="9"/>
      <c r="X463" s="9"/>
      <c r="Y463" s="9"/>
      <c r="Z463" s="9"/>
      <c r="AA463" s="9"/>
      <c r="AB463" s="9"/>
      <c r="AC463" s="9"/>
      <c r="AD463" s="9"/>
    </row>
    <row r="464" spans="1:30" ht="13.5" customHeight="1" x14ac:dyDescent="0.25">
      <c r="A464" s="2"/>
      <c r="B464" s="2"/>
      <c r="C464" s="2"/>
      <c r="D464" s="2"/>
      <c r="E464" s="2"/>
      <c r="F464" s="2"/>
      <c r="G464" s="2"/>
      <c r="H464" s="2"/>
      <c r="I464" s="2"/>
      <c r="J464" s="2"/>
      <c r="K464" s="2"/>
      <c r="L464" s="2"/>
      <c r="M464" s="2"/>
      <c r="N464" s="2"/>
      <c r="O464" s="2"/>
      <c r="P464" s="2"/>
      <c r="Q464" s="2"/>
      <c r="R464" s="9"/>
      <c r="S464" s="9"/>
      <c r="T464" s="9"/>
      <c r="U464" s="9"/>
      <c r="V464" s="9"/>
      <c r="W464" s="9"/>
      <c r="X464" s="9"/>
      <c r="Y464" s="9"/>
      <c r="Z464" s="9"/>
      <c r="AA464" s="9"/>
      <c r="AB464" s="9"/>
      <c r="AC464" s="9"/>
      <c r="AD464" s="9"/>
    </row>
    <row r="465" spans="1:30" ht="13.5" customHeight="1" x14ac:dyDescent="0.25">
      <c r="A465" s="2"/>
      <c r="B465" s="2"/>
      <c r="C465" s="2"/>
      <c r="D465" s="2"/>
      <c r="E465" s="2"/>
      <c r="F465" s="2"/>
      <c r="G465" s="2"/>
      <c r="H465" s="2"/>
      <c r="I465" s="2"/>
      <c r="J465" s="2"/>
      <c r="K465" s="2"/>
      <c r="L465" s="2"/>
      <c r="M465" s="2"/>
      <c r="N465" s="2"/>
      <c r="O465" s="2"/>
      <c r="P465" s="2"/>
      <c r="Q465" s="2"/>
      <c r="R465" s="9"/>
      <c r="S465" s="9"/>
      <c r="T465" s="9"/>
      <c r="U465" s="9"/>
      <c r="V465" s="9"/>
      <c r="W465" s="9"/>
      <c r="X465" s="9"/>
      <c r="Y465" s="9"/>
      <c r="Z465" s="9"/>
      <c r="AA465" s="9"/>
      <c r="AB465" s="9"/>
      <c r="AC465" s="9"/>
      <c r="AD465" s="9"/>
    </row>
    <row r="466" spans="1:30" ht="13.5" customHeight="1" x14ac:dyDescent="0.25">
      <c r="A466" s="2"/>
      <c r="B466" s="2"/>
      <c r="C466" s="2"/>
      <c r="D466" s="2"/>
      <c r="E466" s="2"/>
      <c r="F466" s="2"/>
      <c r="G466" s="2"/>
      <c r="H466" s="2"/>
      <c r="I466" s="2"/>
      <c r="J466" s="2"/>
      <c r="K466" s="2"/>
      <c r="L466" s="2"/>
      <c r="M466" s="2"/>
      <c r="N466" s="2"/>
      <c r="O466" s="2"/>
      <c r="P466" s="2"/>
      <c r="Q466" s="2"/>
      <c r="R466" s="9"/>
      <c r="S466" s="9"/>
      <c r="T466" s="9"/>
      <c r="U466" s="9"/>
      <c r="V466" s="9"/>
      <c r="W466" s="9"/>
      <c r="X466" s="9"/>
      <c r="Y466" s="9"/>
      <c r="Z466" s="9"/>
      <c r="AA466" s="9"/>
      <c r="AB466" s="9"/>
      <c r="AC466" s="9"/>
      <c r="AD466" s="9"/>
    </row>
    <row r="467" spans="1:30" ht="13.5" customHeight="1" x14ac:dyDescent="0.25">
      <c r="A467" s="2"/>
      <c r="B467" s="2"/>
      <c r="C467" s="2"/>
      <c r="D467" s="2"/>
      <c r="E467" s="2"/>
      <c r="F467" s="2"/>
      <c r="G467" s="2"/>
      <c r="H467" s="2"/>
      <c r="I467" s="2"/>
      <c r="J467" s="2"/>
      <c r="K467" s="2"/>
      <c r="L467" s="2"/>
      <c r="M467" s="2"/>
      <c r="N467" s="2"/>
      <c r="O467" s="2"/>
      <c r="P467" s="2"/>
      <c r="Q467" s="2"/>
      <c r="R467" s="9"/>
      <c r="S467" s="9"/>
      <c r="T467" s="9"/>
      <c r="U467" s="9"/>
      <c r="V467" s="9"/>
      <c r="W467" s="9"/>
      <c r="X467" s="9"/>
      <c r="Y467" s="9"/>
      <c r="Z467" s="9"/>
      <c r="AA467" s="9"/>
      <c r="AB467" s="9"/>
      <c r="AC467" s="9"/>
      <c r="AD467" s="9"/>
    </row>
    <row r="468" spans="1:30" ht="13.5" customHeight="1" x14ac:dyDescent="0.25">
      <c r="A468" s="2"/>
      <c r="B468" s="2"/>
      <c r="C468" s="2"/>
      <c r="D468" s="2"/>
      <c r="E468" s="2"/>
      <c r="F468" s="2"/>
      <c r="G468" s="2"/>
      <c r="H468" s="2"/>
      <c r="I468" s="2"/>
      <c r="J468" s="2"/>
      <c r="K468" s="2"/>
      <c r="L468" s="2"/>
      <c r="M468" s="2"/>
      <c r="N468" s="2"/>
      <c r="O468" s="2"/>
      <c r="P468" s="2"/>
      <c r="Q468" s="2"/>
      <c r="R468" s="9"/>
      <c r="S468" s="9"/>
      <c r="T468" s="9"/>
      <c r="U468" s="9"/>
      <c r="V468" s="9"/>
      <c r="W468" s="9"/>
      <c r="X468" s="9"/>
      <c r="Y468" s="9"/>
      <c r="Z468" s="9"/>
      <c r="AA468" s="9"/>
      <c r="AB468" s="9"/>
      <c r="AC468" s="9"/>
      <c r="AD468" s="9"/>
    </row>
    <row r="469" spans="1:30" ht="13.5" customHeight="1" x14ac:dyDescent="0.25">
      <c r="A469" s="2"/>
      <c r="B469" s="2"/>
      <c r="C469" s="2"/>
      <c r="D469" s="2"/>
      <c r="E469" s="2"/>
      <c r="F469" s="2"/>
      <c r="G469" s="2"/>
      <c r="H469" s="2"/>
      <c r="I469" s="2"/>
      <c r="J469" s="2"/>
      <c r="K469" s="2"/>
      <c r="L469" s="2"/>
      <c r="M469" s="2"/>
      <c r="N469" s="2"/>
      <c r="O469" s="2"/>
      <c r="P469" s="2"/>
      <c r="Q469" s="2"/>
      <c r="R469" s="9"/>
      <c r="S469" s="9"/>
      <c r="T469" s="9"/>
      <c r="U469" s="9"/>
      <c r="V469" s="9"/>
      <c r="W469" s="9"/>
      <c r="X469" s="9"/>
      <c r="Y469" s="9"/>
      <c r="Z469" s="9"/>
      <c r="AA469" s="9"/>
      <c r="AB469" s="9"/>
      <c r="AC469" s="9"/>
      <c r="AD469" s="9"/>
    </row>
    <row r="470" spans="1:30" ht="13.5" customHeight="1" x14ac:dyDescent="0.25">
      <c r="A470" s="2"/>
      <c r="B470" s="2"/>
      <c r="C470" s="2"/>
      <c r="D470" s="2"/>
      <c r="E470" s="2"/>
      <c r="F470" s="2"/>
      <c r="G470" s="2"/>
      <c r="H470" s="2"/>
      <c r="I470" s="2"/>
      <c r="J470" s="2"/>
      <c r="K470" s="2"/>
      <c r="L470" s="2"/>
      <c r="M470" s="2"/>
      <c r="N470" s="2"/>
      <c r="O470" s="2"/>
      <c r="P470" s="2"/>
      <c r="Q470" s="2"/>
      <c r="R470" s="9"/>
      <c r="S470" s="9"/>
      <c r="T470" s="9"/>
      <c r="U470" s="9"/>
      <c r="V470" s="9"/>
      <c r="W470" s="9"/>
      <c r="X470" s="9"/>
      <c r="Y470" s="9"/>
      <c r="Z470" s="9"/>
      <c r="AA470" s="9"/>
      <c r="AB470" s="9"/>
      <c r="AC470" s="9"/>
      <c r="AD470" s="9"/>
    </row>
    <row r="471" spans="1:30" ht="13.5" customHeight="1" x14ac:dyDescent="0.25">
      <c r="A471" s="2"/>
      <c r="B471" s="2"/>
      <c r="C471" s="2"/>
      <c r="D471" s="2"/>
      <c r="E471" s="2"/>
      <c r="F471" s="2"/>
      <c r="G471" s="2"/>
      <c r="H471" s="2"/>
      <c r="I471" s="2"/>
      <c r="J471" s="2"/>
      <c r="K471" s="2"/>
      <c r="L471" s="2"/>
      <c r="M471" s="2"/>
      <c r="N471" s="2"/>
      <c r="O471" s="2"/>
      <c r="P471" s="2"/>
      <c r="Q471" s="2"/>
      <c r="R471" s="9"/>
      <c r="S471" s="9"/>
      <c r="T471" s="9"/>
      <c r="U471" s="9"/>
      <c r="V471" s="9"/>
      <c r="W471" s="9"/>
      <c r="X471" s="9"/>
      <c r="Y471" s="9"/>
      <c r="Z471" s="9"/>
      <c r="AA471" s="9"/>
      <c r="AB471" s="9"/>
      <c r="AC471" s="9"/>
      <c r="AD471" s="9"/>
    </row>
    <row r="472" spans="1:30" ht="13.5" customHeight="1" x14ac:dyDescent="0.25">
      <c r="A472" s="2"/>
      <c r="B472" s="2"/>
      <c r="C472" s="2"/>
      <c r="D472" s="2"/>
      <c r="E472" s="2"/>
      <c r="F472" s="2"/>
      <c r="G472" s="2"/>
      <c r="H472" s="2"/>
      <c r="I472" s="2"/>
      <c r="J472" s="2"/>
      <c r="K472" s="2"/>
      <c r="L472" s="2"/>
      <c r="M472" s="2"/>
      <c r="N472" s="2"/>
      <c r="O472" s="2"/>
      <c r="P472" s="2"/>
      <c r="Q472" s="2"/>
      <c r="R472" s="9"/>
      <c r="S472" s="9"/>
      <c r="T472" s="9"/>
      <c r="U472" s="9"/>
      <c r="V472" s="9"/>
      <c r="W472" s="9"/>
      <c r="X472" s="9"/>
      <c r="Y472" s="9"/>
      <c r="Z472" s="9"/>
      <c r="AA472" s="9"/>
      <c r="AB472" s="9"/>
      <c r="AC472" s="9"/>
      <c r="AD472" s="9"/>
    </row>
    <row r="473" spans="1:30" ht="13.5" customHeight="1" x14ac:dyDescent="0.25">
      <c r="A473" s="2"/>
      <c r="B473" s="2"/>
      <c r="C473" s="2"/>
      <c r="D473" s="2"/>
      <c r="E473" s="2"/>
      <c r="F473" s="2"/>
      <c r="G473" s="2"/>
      <c r="H473" s="2"/>
      <c r="I473" s="2"/>
      <c r="J473" s="2"/>
      <c r="K473" s="2"/>
      <c r="L473" s="2"/>
      <c r="M473" s="2"/>
      <c r="N473" s="2"/>
      <c r="O473" s="2"/>
      <c r="P473" s="2"/>
      <c r="Q473" s="2"/>
      <c r="R473" s="9"/>
      <c r="S473" s="9"/>
      <c r="T473" s="9"/>
      <c r="U473" s="9"/>
      <c r="V473" s="9"/>
      <c r="W473" s="9"/>
      <c r="X473" s="9"/>
      <c r="Y473" s="9"/>
      <c r="Z473" s="9"/>
      <c r="AA473" s="9"/>
      <c r="AB473" s="9"/>
      <c r="AC473" s="9"/>
      <c r="AD473" s="9"/>
    </row>
    <row r="474" spans="1:30" ht="13.5" customHeight="1" x14ac:dyDescent="0.25">
      <c r="A474" s="2"/>
      <c r="B474" s="2"/>
      <c r="C474" s="2"/>
      <c r="D474" s="2"/>
      <c r="E474" s="2"/>
      <c r="F474" s="2"/>
      <c r="G474" s="2"/>
      <c r="H474" s="2"/>
      <c r="I474" s="2"/>
      <c r="J474" s="2"/>
      <c r="K474" s="2"/>
      <c r="L474" s="2"/>
      <c r="M474" s="2"/>
      <c r="N474" s="2"/>
      <c r="O474" s="2"/>
      <c r="P474" s="2"/>
      <c r="Q474" s="2"/>
      <c r="R474" s="9"/>
      <c r="S474" s="9"/>
      <c r="T474" s="9"/>
      <c r="U474" s="9"/>
      <c r="V474" s="9"/>
      <c r="W474" s="9"/>
      <c r="X474" s="9"/>
      <c r="Y474" s="9"/>
      <c r="Z474" s="9"/>
      <c r="AA474" s="9"/>
      <c r="AB474" s="9"/>
      <c r="AC474" s="9"/>
      <c r="AD474" s="9"/>
    </row>
    <row r="475" spans="1:30" ht="13.5" customHeight="1" x14ac:dyDescent="0.25">
      <c r="A475" s="2"/>
      <c r="B475" s="2"/>
      <c r="C475" s="2"/>
      <c r="D475" s="2"/>
      <c r="E475" s="2"/>
      <c r="F475" s="2"/>
      <c r="G475" s="2"/>
      <c r="H475" s="2"/>
      <c r="I475" s="2"/>
      <c r="J475" s="2"/>
      <c r="K475" s="2"/>
      <c r="L475" s="2"/>
      <c r="M475" s="2"/>
      <c r="N475" s="2"/>
      <c r="O475" s="2"/>
      <c r="P475" s="2"/>
      <c r="Q475" s="2"/>
      <c r="R475" s="9"/>
      <c r="S475" s="9"/>
      <c r="T475" s="9"/>
      <c r="U475" s="9"/>
      <c r="V475" s="9"/>
      <c r="W475" s="9"/>
      <c r="X475" s="9"/>
      <c r="Y475" s="9"/>
      <c r="Z475" s="9"/>
      <c r="AA475" s="9"/>
      <c r="AB475" s="9"/>
      <c r="AC475" s="9"/>
      <c r="AD475" s="9"/>
    </row>
    <row r="476" spans="1:30" ht="13.5" customHeight="1" x14ac:dyDescent="0.25">
      <c r="A476" s="2"/>
      <c r="B476" s="2"/>
      <c r="C476" s="2"/>
      <c r="D476" s="2"/>
      <c r="E476" s="2"/>
      <c r="F476" s="2"/>
      <c r="G476" s="2"/>
      <c r="H476" s="2"/>
      <c r="I476" s="2"/>
      <c r="J476" s="2"/>
      <c r="K476" s="2"/>
      <c r="L476" s="2"/>
      <c r="M476" s="2"/>
      <c r="N476" s="2"/>
      <c r="O476" s="2"/>
      <c r="P476" s="2"/>
      <c r="Q476" s="2"/>
      <c r="R476" s="9"/>
      <c r="S476" s="9"/>
      <c r="T476" s="9"/>
      <c r="U476" s="9"/>
      <c r="V476" s="9"/>
      <c r="W476" s="9"/>
      <c r="X476" s="9"/>
      <c r="Y476" s="9"/>
      <c r="Z476" s="9"/>
      <c r="AA476" s="9"/>
      <c r="AB476" s="9"/>
      <c r="AC476" s="9"/>
      <c r="AD476" s="9"/>
    </row>
    <row r="477" spans="1:30" ht="13.5" customHeight="1" x14ac:dyDescent="0.25">
      <c r="A477" s="2"/>
      <c r="B477" s="2"/>
      <c r="C477" s="2"/>
      <c r="D477" s="2"/>
      <c r="E477" s="2"/>
      <c r="F477" s="2"/>
      <c r="G477" s="2"/>
      <c r="H477" s="2"/>
      <c r="I477" s="2"/>
      <c r="J477" s="2"/>
      <c r="K477" s="2"/>
      <c r="L477" s="2"/>
      <c r="M477" s="2"/>
      <c r="N477" s="2"/>
      <c r="O477" s="2"/>
      <c r="P477" s="2"/>
      <c r="Q477" s="2"/>
      <c r="R477" s="9"/>
      <c r="S477" s="9"/>
      <c r="T477" s="9"/>
      <c r="U477" s="9"/>
      <c r="V477" s="9"/>
      <c r="W477" s="9"/>
      <c r="X477" s="9"/>
      <c r="Y477" s="9"/>
      <c r="Z477" s="9"/>
      <c r="AA477" s="9"/>
      <c r="AB477" s="9"/>
      <c r="AC477" s="9"/>
      <c r="AD477" s="9"/>
    </row>
    <row r="478" spans="1:30" ht="13.5" customHeight="1" x14ac:dyDescent="0.25">
      <c r="A478" s="2"/>
      <c r="B478" s="2"/>
      <c r="C478" s="2"/>
      <c r="D478" s="2"/>
      <c r="E478" s="2"/>
      <c r="F478" s="2"/>
      <c r="G478" s="2"/>
      <c r="H478" s="2"/>
      <c r="I478" s="2"/>
      <c r="J478" s="2"/>
      <c r="K478" s="2"/>
      <c r="L478" s="2"/>
      <c r="M478" s="2"/>
      <c r="N478" s="2"/>
      <c r="O478" s="2"/>
      <c r="P478" s="2"/>
      <c r="Q478" s="2"/>
      <c r="R478" s="9"/>
      <c r="S478" s="9"/>
      <c r="T478" s="9"/>
      <c r="U478" s="9"/>
      <c r="V478" s="9"/>
      <c r="W478" s="9"/>
      <c r="X478" s="9"/>
      <c r="Y478" s="9"/>
      <c r="Z478" s="9"/>
      <c r="AA478" s="9"/>
      <c r="AB478" s="9"/>
      <c r="AC478" s="9"/>
      <c r="AD478" s="9"/>
    </row>
    <row r="479" spans="1:30" ht="13.5" customHeight="1" x14ac:dyDescent="0.25">
      <c r="A479" s="2"/>
      <c r="B479" s="2"/>
      <c r="C479" s="2"/>
      <c r="D479" s="2"/>
      <c r="E479" s="2"/>
      <c r="F479" s="2"/>
      <c r="G479" s="2"/>
      <c r="H479" s="2"/>
      <c r="I479" s="2"/>
      <c r="J479" s="2"/>
      <c r="K479" s="2"/>
      <c r="L479" s="2"/>
      <c r="M479" s="2"/>
      <c r="N479" s="2"/>
      <c r="O479" s="2"/>
      <c r="P479" s="2"/>
      <c r="Q479" s="2"/>
      <c r="R479" s="9"/>
      <c r="S479" s="9"/>
      <c r="T479" s="9"/>
      <c r="U479" s="9"/>
      <c r="V479" s="9"/>
      <c r="W479" s="9"/>
      <c r="X479" s="9"/>
      <c r="Y479" s="9"/>
      <c r="Z479" s="9"/>
      <c r="AA479" s="9"/>
      <c r="AB479" s="9"/>
      <c r="AC479" s="9"/>
      <c r="AD479" s="9"/>
    </row>
    <row r="480" spans="1:30" ht="13.5" customHeight="1" x14ac:dyDescent="0.25">
      <c r="A480" s="2"/>
      <c r="B480" s="2"/>
      <c r="C480" s="2"/>
      <c r="D480" s="2"/>
      <c r="E480" s="2"/>
      <c r="F480" s="2"/>
      <c r="G480" s="2"/>
      <c r="H480" s="2"/>
      <c r="I480" s="2"/>
      <c r="J480" s="2"/>
      <c r="K480" s="2"/>
      <c r="L480" s="2"/>
      <c r="M480" s="2"/>
      <c r="N480" s="2"/>
      <c r="O480" s="2"/>
      <c r="P480" s="2"/>
      <c r="Q480" s="2"/>
      <c r="R480" s="9"/>
      <c r="S480" s="9"/>
      <c r="T480" s="9"/>
      <c r="U480" s="9"/>
      <c r="V480" s="9"/>
      <c r="W480" s="9"/>
      <c r="X480" s="9"/>
      <c r="Y480" s="9"/>
      <c r="Z480" s="9"/>
      <c r="AA480" s="9"/>
      <c r="AB480" s="9"/>
      <c r="AC480" s="9"/>
      <c r="AD480" s="9"/>
    </row>
    <row r="481" spans="1:30" ht="13.5" customHeight="1" x14ac:dyDescent="0.25">
      <c r="A481" s="2"/>
      <c r="B481" s="2"/>
      <c r="C481" s="2"/>
      <c r="D481" s="2"/>
      <c r="E481" s="2"/>
      <c r="F481" s="2"/>
      <c r="G481" s="2"/>
      <c r="H481" s="2"/>
      <c r="I481" s="2"/>
      <c r="J481" s="2"/>
      <c r="K481" s="2"/>
      <c r="L481" s="2"/>
      <c r="M481" s="2"/>
      <c r="N481" s="2"/>
      <c r="O481" s="2"/>
      <c r="P481" s="2"/>
      <c r="Q481" s="2"/>
      <c r="R481" s="9"/>
      <c r="S481" s="9"/>
      <c r="T481" s="9"/>
      <c r="U481" s="9"/>
      <c r="V481" s="9"/>
      <c r="W481" s="9"/>
      <c r="X481" s="9"/>
      <c r="Y481" s="9"/>
      <c r="Z481" s="9"/>
      <c r="AA481" s="9"/>
      <c r="AB481" s="9"/>
      <c r="AC481" s="9"/>
      <c r="AD481" s="9"/>
    </row>
    <row r="482" spans="1:30" ht="13.5" customHeight="1" x14ac:dyDescent="0.25">
      <c r="A482" s="2"/>
      <c r="B482" s="2"/>
      <c r="C482" s="2"/>
      <c r="D482" s="2"/>
      <c r="E482" s="2"/>
      <c r="F482" s="2"/>
      <c r="G482" s="2"/>
      <c r="H482" s="2"/>
      <c r="I482" s="2"/>
      <c r="J482" s="2"/>
      <c r="K482" s="2"/>
      <c r="L482" s="2"/>
      <c r="M482" s="2"/>
      <c r="N482" s="2"/>
      <c r="O482" s="2"/>
      <c r="P482" s="2"/>
      <c r="Q482" s="2"/>
      <c r="R482" s="9"/>
      <c r="S482" s="9"/>
      <c r="T482" s="9"/>
      <c r="U482" s="9"/>
      <c r="V482" s="9"/>
      <c r="W482" s="9"/>
      <c r="X482" s="9"/>
      <c r="Y482" s="9"/>
      <c r="Z482" s="9"/>
      <c r="AA482" s="9"/>
      <c r="AB482" s="9"/>
      <c r="AC482" s="9"/>
      <c r="AD482" s="9"/>
    </row>
    <row r="483" spans="1:30" ht="13.5" customHeight="1" x14ac:dyDescent="0.25">
      <c r="A483" s="2"/>
      <c r="B483" s="2"/>
      <c r="C483" s="2"/>
      <c r="D483" s="2"/>
      <c r="E483" s="2"/>
      <c r="F483" s="2"/>
      <c r="G483" s="2"/>
      <c r="H483" s="2"/>
      <c r="I483" s="2"/>
      <c r="J483" s="2"/>
      <c r="K483" s="2"/>
      <c r="L483" s="2"/>
      <c r="M483" s="2"/>
      <c r="N483" s="2"/>
      <c r="O483" s="2"/>
      <c r="P483" s="2"/>
      <c r="Q483" s="2"/>
      <c r="R483" s="9"/>
      <c r="S483" s="9"/>
      <c r="T483" s="9"/>
      <c r="U483" s="9"/>
      <c r="V483" s="9"/>
      <c r="W483" s="9"/>
      <c r="X483" s="9"/>
      <c r="Y483" s="9"/>
      <c r="Z483" s="9"/>
      <c r="AA483" s="9"/>
      <c r="AB483" s="9"/>
      <c r="AC483" s="9"/>
      <c r="AD483" s="9"/>
    </row>
    <row r="484" spans="1:30" ht="13.5" customHeight="1" x14ac:dyDescent="0.25">
      <c r="A484" s="2"/>
      <c r="B484" s="2"/>
      <c r="C484" s="2"/>
      <c r="D484" s="2"/>
      <c r="E484" s="2"/>
      <c r="F484" s="2"/>
      <c r="G484" s="2"/>
      <c r="H484" s="2"/>
      <c r="I484" s="2"/>
      <c r="J484" s="2"/>
      <c r="K484" s="2"/>
      <c r="L484" s="2"/>
      <c r="M484" s="2"/>
      <c r="N484" s="2"/>
      <c r="O484" s="2"/>
      <c r="P484" s="2"/>
      <c r="Q484" s="2"/>
      <c r="R484" s="9"/>
      <c r="S484" s="9"/>
      <c r="T484" s="9"/>
      <c r="U484" s="9"/>
      <c r="V484" s="9"/>
      <c r="W484" s="9"/>
      <c r="X484" s="9"/>
      <c r="Y484" s="9"/>
      <c r="Z484" s="9"/>
      <c r="AA484" s="9"/>
      <c r="AB484" s="9"/>
      <c r="AC484" s="9"/>
      <c r="AD484" s="9"/>
    </row>
    <row r="485" spans="1:30" ht="13.5" customHeight="1" x14ac:dyDescent="0.25">
      <c r="A485" s="2"/>
      <c r="B485" s="2"/>
      <c r="C485" s="2"/>
      <c r="D485" s="2"/>
      <c r="E485" s="2"/>
      <c r="F485" s="2"/>
      <c r="G485" s="2"/>
      <c r="H485" s="2"/>
      <c r="I485" s="2"/>
      <c r="J485" s="2"/>
      <c r="K485" s="2"/>
      <c r="L485" s="2"/>
      <c r="M485" s="2"/>
      <c r="N485" s="2"/>
      <c r="O485" s="2"/>
      <c r="P485" s="2"/>
      <c r="Q485" s="2"/>
      <c r="R485" s="9"/>
      <c r="S485" s="9"/>
      <c r="T485" s="9"/>
      <c r="U485" s="9"/>
      <c r="V485" s="9"/>
      <c r="W485" s="9"/>
      <c r="X485" s="9"/>
      <c r="Y485" s="9"/>
      <c r="Z485" s="9"/>
      <c r="AA485" s="9"/>
      <c r="AB485" s="9"/>
      <c r="AC485" s="9"/>
      <c r="AD485" s="9"/>
    </row>
    <row r="486" spans="1:30" ht="13.5" customHeight="1" x14ac:dyDescent="0.25">
      <c r="A486" s="2"/>
      <c r="B486" s="2"/>
      <c r="C486" s="2"/>
      <c r="D486" s="2"/>
      <c r="E486" s="2"/>
      <c r="F486" s="2"/>
      <c r="G486" s="2"/>
      <c r="H486" s="2"/>
      <c r="I486" s="2"/>
      <c r="J486" s="2"/>
      <c r="K486" s="2"/>
      <c r="L486" s="2"/>
      <c r="M486" s="2"/>
      <c r="N486" s="2"/>
      <c r="O486" s="2"/>
      <c r="P486" s="2"/>
      <c r="Q486" s="2"/>
      <c r="R486" s="9"/>
      <c r="S486" s="9"/>
      <c r="T486" s="9"/>
      <c r="U486" s="9"/>
      <c r="V486" s="9"/>
      <c r="W486" s="9"/>
      <c r="X486" s="9"/>
      <c r="Y486" s="9"/>
      <c r="Z486" s="9"/>
      <c r="AA486" s="9"/>
      <c r="AB486" s="9"/>
      <c r="AC486" s="9"/>
      <c r="AD486" s="9"/>
    </row>
    <row r="487" spans="1:30" ht="13.5" customHeight="1" x14ac:dyDescent="0.25">
      <c r="A487" s="2"/>
      <c r="B487" s="2"/>
      <c r="C487" s="2"/>
      <c r="D487" s="2"/>
      <c r="E487" s="2"/>
      <c r="F487" s="2"/>
      <c r="G487" s="2"/>
      <c r="H487" s="2"/>
      <c r="I487" s="2"/>
      <c r="J487" s="2"/>
      <c r="K487" s="2"/>
      <c r="L487" s="2"/>
      <c r="M487" s="2"/>
      <c r="N487" s="2"/>
      <c r="O487" s="2"/>
      <c r="P487" s="2"/>
      <c r="Q487" s="2"/>
      <c r="R487" s="9"/>
      <c r="S487" s="9"/>
      <c r="T487" s="9"/>
      <c r="U487" s="9"/>
      <c r="V487" s="9"/>
      <c r="W487" s="9"/>
      <c r="X487" s="9"/>
      <c r="Y487" s="9"/>
      <c r="Z487" s="9"/>
      <c r="AA487" s="9"/>
      <c r="AB487" s="9"/>
      <c r="AC487" s="9"/>
      <c r="AD487" s="9"/>
    </row>
    <row r="488" spans="1:30" ht="13.5" customHeight="1" x14ac:dyDescent="0.25">
      <c r="A488" s="2"/>
      <c r="B488" s="2"/>
      <c r="C488" s="2"/>
      <c r="D488" s="2"/>
      <c r="E488" s="2"/>
      <c r="F488" s="2"/>
      <c r="G488" s="2"/>
      <c r="H488" s="2"/>
      <c r="I488" s="2"/>
      <c r="J488" s="2"/>
      <c r="K488" s="2"/>
      <c r="L488" s="2"/>
      <c r="M488" s="2"/>
      <c r="N488" s="2"/>
      <c r="O488" s="2"/>
      <c r="P488" s="2"/>
      <c r="Q488" s="2"/>
      <c r="R488" s="9"/>
      <c r="S488" s="9"/>
      <c r="T488" s="9"/>
      <c r="U488" s="9"/>
      <c r="V488" s="9"/>
      <c r="W488" s="9"/>
      <c r="X488" s="9"/>
      <c r="Y488" s="9"/>
      <c r="Z488" s="9"/>
      <c r="AA488" s="9"/>
      <c r="AB488" s="9"/>
      <c r="AC488" s="9"/>
      <c r="AD488" s="9"/>
    </row>
    <row r="489" spans="1:30" ht="13.5" customHeight="1" x14ac:dyDescent="0.25">
      <c r="A489" s="2"/>
      <c r="B489" s="2"/>
      <c r="C489" s="2"/>
      <c r="D489" s="2"/>
      <c r="E489" s="2"/>
      <c r="F489" s="2"/>
      <c r="G489" s="2"/>
      <c r="H489" s="2"/>
      <c r="I489" s="2"/>
      <c r="J489" s="2"/>
      <c r="K489" s="2"/>
      <c r="L489" s="2"/>
      <c r="M489" s="2"/>
      <c r="N489" s="2"/>
      <c r="O489" s="2"/>
      <c r="P489" s="2"/>
      <c r="Q489" s="2"/>
      <c r="R489" s="9"/>
      <c r="S489" s="9"/>
      <c r="T489" s="9"/>
      <c r="U489" s="9"/>
      <c r="V489" s="9"/>
      <c r="W489" s="9"/>
      <c r="X489" s="9"/>
      <c r="Y489" s="9"/>
      <c r="Z489" s="9"/>
      <c r="AA489" s="9"/>
      <c r="AB489" s="9"/>
      <c r="AC489" s="9"/>
      <c r="AD489" s="9"/>
    </row>
    <row r="490" spans="1:30" ht="13.5" customHeight="1" x14ac:dyDescent="0.25">
      <c r="A490" s="2"/>
      <c r="B490" s="2"/>
      <c r="C490" s="2"/>
      <c r="D490" s="2"/>
      <c r="E490" s="2"/>
      <c r="F490" s="2"/>
      <c r="G490" s="2"/>
      <c r="H490" s="2"/>
      <c r="I490" s="2"/>
      <c r="J490" s="2"/>
      <c r="K490" s="2"/>
      <c r="L490" s="2"/>
      <c r="M490" s="2"/>
      <c r="N490" s="2"/>
      <c r="O490" s="2"/>
      <c r="P490" s="2"/>
      <c r="Q490" s="2"/>
      <c r="R490" s="9"/>
      <c r="S490" s="9"/>
      <c r="T490" s="9"/>
      <c r="U490" s="9"/>
      <c r="V490" s="9"/>
      <c r="W490" s="9"/>
      <c r="X490" s="9"/>
      <c r="Y490" s="9"/>
      <c r="Z490" s="9"/>
      <c r="AA490" s="9"/>
      <c r="AB490" s="9"/>
      <c r="AC490" s="9"/>
      <c r="AD490" s="9"/>
    </row>
    <row r="491" spans="1:30" ht="13.5" customHeight="1" x14ac:dyDescent="0.25">
      <c r="A491" s="2"/>
      <c r="B491" s="2"/>
      <c r="C491" s="2"/>
      <c r="D491" s="2"/>
      <c r="E491" s="2"/>
      <c r="F491" s="2"/>
      <c r="G491" s="2"/>
      <c r="H491" s="2"/>
      <c r="I491" s="2"/>
      <c r="J491" s="2"/>
      <c r="K491" s="2"/>
      <c r="L491" s="2"/>
      <c r="M491" s="2"/>
      <c r="N491" s="2"/>
      <c r="O491" s="2"/>
      <c r="P491" s="2"/>
      <c r="Q491" s="2"/>
      <c r="R491" s="9"/>
      <c r="S491" s="9"/>
      <c r="T491" s="9"/>
      <c r="U491" s="9"/>
      <c r="V491" s="9"/>
      <c r="W491" s="9"/>
      <c r="X491" s="9"/>
      <c r="Y491" s="9"/>
      <c r="Z491" s="9"/>
      <c r="AA491" s="9"/>
      <c r="AB491" s="9"/>
      <c r="AC491" s="9"/>
      <c r="AD491" s="9"/>
    </row>
    <row r="492" spans="1:30" ht="13.5" customHeight="1" x14ac:dyDescent="0.25">
      <c r="A492" s="2"/>
      <c r="B492" s="2"/>
      <c r="C492" s="2"/>
      <c r="D492" s="2"/>
      <c r="E492" s="2"/>
      <c r="F492" s="2"/>
      <c r="G492" s="2"/>
      <c r="H492" s="2"/>
      <c r="I492" s="2"/>
      <c r="J492" s="2"/>
      <c r="K492" s="2"/>
      <c r="L492" s="2"/>
      <c r="M492" s="2"/>
      <c r="N492" s="2"/>
      <c r="O492" s="2"/>
      <c r="P492" s="2"/>
      <c r="Q492" s="2"/>
      <c r="R492" s="9"/>
      <c r="S492" s="9"/>
      <c r="T492" s="9"/>
      <c r="U492" s="9"/>
      <c r="V492" s="9"/>
      <c r="W492" s="9"/>
      <c r="X492" s="9"/>
      <c r="Y492" s="9"/>
      <c r="Z492" s="9"/>
      <c r="AA492" s="9"/>
      <c r="AB492" s="9"/>
      <c r="AC492" s="9"/>
      <c r="AD492" s="9"/>
    </row>
    <row r="493" spans="1:30" ht="13.5" customHeight="1" x14ac:dyDescent="0.25">
      <c r="A493" s="2"/>
      <c r="B493" s="2"/>
      <c r="C493" s="2"/>
      <c r="D493" s="2"/>
      <c r="E493" s="2"/>
      <c r="F493" s="2"/>
      <c r="G493" s="2"/>
      <c r="H493" s="2"/>
      <c r="I493" s="2"/>
      <c r="J493" s="2"/>
      <c r="K493" s="2"/>
      <c r="L493" s="2"/>
      <c r="M493" s="2"/>
      <c r="N493" s="2"/>
      <c r="O493" s="2"/>
      <c r="P493" s="2"/>
      <c r="Q493" s="2"/>
      <c r="R493" s="9"/>
      <c r="S493" s="9"/>
      <c r="T493" s="9"/>
      <c r="U493" s="9"/>
      <c r="V493" s="9"/>
      <c r="W493" s="9"/>
      <c r="X493" s="9"/>
      <c r="Y493" s="9"/>
      <c r="Z493" s="9"/>
      <c r="AA493" s="9"/>
      <c r="AB493" s="9"/>
      <c r="AC493" s="9"/>
      <c r="AD493" s="9"/>
    </row>
    <row r="494" spans="1:30" ht="13.5" customHeight="1" x14ac:dyDescent="0.25">
      <c r="A494" s="2"/>
      <c r="B494" s="2"/>
      <c r="C494" s="2"/>
      <c r="D494" s="2"/>
      <c r="E494" s="2"/>
      <c r="F494" s="2"/>
      <c r="G494" s="2"/>
      <c r="H494" s="2"/>
      <c r="I494" s="2"/>
      <c r="J494" s="2"/>
      <c r="K494" s="2"/>
      <c r="L494" s="2"/>
      <c r="M494" s="2"/>
      <c r="N494" s="2"/>
      <c r="O494" s="2"/>
      <c r="P494" s="2"/>
      <c r="Q494" s="2"/>
      <c r="R494" s="9"/>
      <c r="S494" s="9"/>
      <c r="T494" s="9"/>
      <c r="U494" s="9"/>
      <c r="V494" s="9"/>
      <c r="W494" s="9"/>
      <c r="X494" s="9"/>
      <c r="Y494" s="9"/>
      <c r="Z494" s="9"/>
      <c r="AA494" s="9"/>
      <c r="AB494" s="9"/>
      <c r="AC494" s="9"/>
      <c r="AD494" s="9"/>
    </row>
    <row r="495" spans="1:30" ht="13.5" customHeight="1" x14ac:dyDescent="0.25">
      <c r="A495" s="2"/>
      <c r="B495" s="2"/>
      <c r="C495" s="2"/>
      <c r="D495" s="2"/>
      <c r="E495" s="2"/>
      <c r="F495" s="2"/>
      <c r="G495" s="2"/>
      <c r="H495" s="2"/>
      <c r="I495" s="2"/>
      <c r="J495" s="2"/>
      <c r="K495" s="2"/>
      <c r="L495" s="2"/>
      <c r="M495" s="2"/>
      <c r="N495" s="2"/>
      <c r="O495" s="2"/>
      <c r="P495" s="2"/>
      <c r="Q495" s="2"/>
      <c r="R495" s="9"/>
      <c r="S495" s="9"/>
      <c r="T495" s="9"/>
      <c r="U495" s="9"/>
      <c r="V495" s="9"/>
      <c r="W495" s="9"/>
      <c r="X495" s="9"/>
      <c r="Y495" s="9"/>
      <c r="Z495" s="9"/>
      <c r="AA495" s="9"/>
      <c r="AB495" s="9"/>
      <c r="AC495" s="9"/>
      <c r="AD495" s="9"/>
    </row>
    <row r="496" spans="1:30" ht="13.5" customHeight="1" x14ac:dyDescent="0.25">
      <c r="A496" s="2"/>
      <c r="B496" s="2"/>
      <c r="C496" s="2"/>
      <c r="D496" s="2"/>
      <c r="E496" s="2"/>
      <c r="F496" s="2"/>
      <c r="G496" s="2"/>
      <c r="H496" s="2"/>
      <c r="I496" s="2"/>
      <c r="J496" s="2"/>
      <c r="K496" s="2"/>
      <c r="L496" s="2"/>
      <c r="M496" s="2"/>
      <c r="N496" s="2"/>
      <c r="O496" s="2"/>
      <c r="P496" s="2"/>
      <c r="Q496" s="2"/>
      <c r="R496" s="9"/>
      <c r="S496" s="9"/>
      <c r="T496" s="9"/>
      <c r="U496" s="9"/>
      <c r="V496" s="9"/>
      <c r="W496" s="9"/>
      <c r="X496" s="9"/>
      <c r="Y496" s="9"/>
      <c r="Z496" s="9"/>
      <c r="AA496" s="9"/>
      <c r="AB496" s="9"/>
      <c r="AC496" s="9"/>
      <c r="AD496" s="9"/>
    </row>
    <row r="497" spans="1:30" ht="13.5" customHeight="1" x14ac:dyDescent="0.25">
      <c r="A497" s="2"/>
      <c r="B497" s="2"/>
      <c r="C497" s="2"/>
      <c r="D497" s="2"/>
      <c r="E497" s="2"/>
      <c r="F497" s="2"/>
      <c r="G497" s="2"/>
      <c r="H497" s="2"/>
      <c r="I497" s="2"/>
      <c r="J497" s="2"/>
      <c r="K497" s="2"/>
      <c r="L497" s="2"/>
      <c r="M497" s="2"/>
      <c r="N497" s="2"/>
      <c r="O497" s="2"/>
      <c r="P497" s="2"/>
      <c r="Q497" s="2"/>
      <c r="R497" s="9"/>
      <c r="S497" s="9"/>
      <c r="T497" s="9"/>
      <c r="U497" s="9"/>
      <c r="V497" s="9"/>
      <c r="W497" s="9"/>
      <c r="X497" s="9"/>
      <c r="Y497" s="9"/>
      <c r="Z497" s="9"/>
      <c r="AA497" s="9"/>
      <c r="AB497" s="9"/>
      <c r="AC497" s="9"/>
      <c r="AD497" s="9"/>
    </row>
    <row r="498" spans="1:30" ht="13.5" customHeight="1" x14ac:dyDescent="0.25">
      <c r="A498" s="2"/>
      <c r="B498" s="2"/>
      <c r="C498" s="2"/>
      <c r="D498" s="2"/>
      <c r="E498" s="2"/>
      <c r="F498" s="2"/>
      <c r="G498" s="2"/>
      <c r="H498" s="2"/>
      <c r="I498" s="2"/>
      <c r="J498" s="2"/>
      <c r="K498" s="2"/>
      <c r="L498" s="2"/>
      <c r="M498" s="2"/>
      <c r="N498" s="2"/>
      <c r="O498" s="2"/>
      <c r="P498" s="2"/>
      <c r="Q498" s="2"/>
      <c r="R498" s="9"/>
      <c r="S498" s="9"/>
      <c r="T498" s="9"/>
      <c r="U498" s="9"/>
      <c r="V498" s="9"/>
      <c r="W498" s="9"/>
      <c r="X498" s="9"/>
      <c r="Y498" s="9"/>
      <c r="Z498" s="9"/>
      <c r="AA498" s="9"/>
      <c r="AB498" s="9"/>
      <c r="AC498" s="9"/>
      <c r="AD498" s="9"/>
    </row>
    <row r="499" spans="1:30" ht="13.5" customHeight="1" x14ac:dyDescent="0.25">
      <c r="A499" s="2"/>
      <c r="B499" s="2"/>
      <c r="C499" s="2"/>
      <c r="D499" s="2"/>
      <c r="E499" s="2"/>
      <c r="F499" s="2"/>
      <c r="G499" s="2"/>
      <c r="H499" s="2"/>
      <c r="I499" s="2"/>
      <c r="J499" s="2"/>
      <c r="K499" s="2"/>
      <c r="L499" s="2"/>
      <c r="M499" s="2"/>
      <c r="N499" s="2"/>
      <c r="O499" s="2"/>
      <c r="P499" s="2"/>
      <c r="Q499" s="2"/>
      <c r="R499" s="9"/>
      <c r="S499" s="9"/>
      <c r="T499" s="9"/>
      <c r="U499" s="9"/>
      <c r="V499" s="9"/>
      <c r="W499" s="9"/>
      <c r="X499" s="9"/>
      <c r="Y499" s="9"/>
      <c r="Z499" s="9"/>
      <c r="AA499" s="9"/>
      <c r="AB499" s="9"/>
      <c r="AC499" s="9"/>
      <c r="AD499" s="9"/>
    </row>
    <row r="500" spans="1:30" ht="13.5" customHeight="1" x14ac:dyDescent="0.25">
      <c r="A500" s="2"/>
      <c r="B500" s="2"/>
      <c r="C500" s="2"/>
      <c r="D500" s="2"/>
      <c r="E500" s="2"/>
      <c r="F500" s="2"/>
      <c r="G500" s="2"/>
      <c r="H500" s="2"/>
      <c r="I500" s="2"/>
      <c r="J500" s="2"/>
      <c r="K500" s="2"/>
      <c r="L500" s="2"/>
      <c r="M500" s="2"/>
      <c r="N500" s="2"/>
      <c r="O500" s="2"/>
      <c r="P500" s="2"/>
      <c r="Q500" s="2"/>
      <c r="R500" s="9"/>
      <c r="S500" s="9"/>
      <c r="T500" s="9"/>
      <c r="U500" s="9"/>
      <c r="V500" s="9"/>
      <c r="W500" s="9"/>
      <c r="X500" s="9"/>
      <c r="Y500" s="9"/>
      <c r="Z500" s="9"/>
      <c r="AA500" s="9"/>
      <c r="AB500" s="9"/>
      <c r="AC500" s="9"/>
      <c r="AD500" s="9"/>
    </row>
    <row r="501" spans="1:30" ht="13.5" customHeight="1" x14ac:dyDescent="0.25">
      <c r="A501" s="2"/>
      <c r="B501" s="2"/>
      <c r="C501" s="2"/>
      <c r="D501" s="2"/>
      <c r="E501" s="2"/>
      <c r="F501" s="2"/>
      <c r="G501" s="2"/>
      <c r="H501" s="2"/>
      <c r="I501" s="2"/>
      <c r="J501" s="2"/>
      <c r="K501" s="2"/>
      <c r="L501" s="2"/>
      <c r="M501" s="2"/>
      <c r="N501" s="2"/>
      <c r="O501" s="2"/>
      <c r="P501" s="2"/>
      <c r="Q501" s="2"/>
      <c r="R501" s="9"/>
      <c r="S501" s="9"/>
      <c r="T501" s="9"/>
      <c r="U501" s="9"/>
      <c r="V501" s="9"/>
      <c r="W501" s="9"/>
      <c r="X501" s="9"/>
      <c r="Y501" s="9"/>
      <c r="Z501" s="9"/>
      <c r="AA501" s="9"/>
      <c r="AB501" s="9"/>
      <c r="AC501" s="9"/>
      <c r="AD501" s="9"/>
    </row>
    <row r="502" spans="1:30" ht="13.5" customHeight="1" x14ac:dyDescent="0.25">
      <c r="A502" s="2"/>
      <c r="B502" s="2"/>
      <c r="C502" s="2"/>
      <c r="D502" s="2"/>
      <c r="E502" s="2"/>
      <c r="F502" s="2"/>
      <c r="G502" s="2"/>
      <c r="H502" s="2"/>
      <c r="I502" s="2"/>
      <c r="J502" s="2"/>
      <c r="K502" s="2"/>
      <c r="L502" s="2"/>
      <c r="M502" s="2"/>
      <c r="N502" s="2"/>
      <c r="O502" s="2"/>
      <c r="P502" s="2"/>
      <c r="Q502" s="2"/>
      <c r="R502" s="9"/>
      <c r="S502" s="9"/>
      <c r="T502" s="9"/>
      <c r="U502" s="9"/>
      <c r="V502" s="9"/>
      <c r="W502" s="9"/>
      <c r="X502" s="9"/>
      <c r="Y502" s="9"/>
      <c r="Z502" s="9"/>
      <c r="AA502" s="9"/>
      <c r="AB502" s="9"/>
      <c r="AC502" s="9"/>
      <c r="AD502" s="9"/>
    </row>
    <row r="503" spans="1:30" ht="13.5" customHeight="1" x14ac:dyDescent="0.25">
      <c r="A503" s="2"/>
      <c r="B503" s="2"/>
      <c r="C503" s="2"/>
      <c r="D503" s="2"/>
      <c r="E503" s="2"/>
      <c r="F503" s="2"/>
      <c r="G503" s="2"/>
      <c r="H503" s="2"/>
      <c r="I503" s="2"/>
      <c r="J503" s="2"/>
      <c r="K503" s="2"/>
      <c r="L503" s="2"/>
      <c r="M503" s="2"/>
      <c r="N503" s="2"/>
      <c r="O503" s="2"/>
      <c r="P503" s="2"/>
      <c r="Q503" s="2"/>
      <c r="R503" s="9"/>
      <c r="S503" s="9"/>
      <c r="T503" s="9"/>
      <c r="U503" s="9"/>
      <c r="V503" s="9"/>
      <c r="W503" s="9"/>
      <c r="X503" s="9"/>
      <c r="Y503" s="9"/>
      <c r="Z503" s="9"/>
      <c r="AA503" s="9"/>
      <c r="AB503" s="9"/>
      <c r="AC503" s="9"/>
      <c r="AD503" s="9"/>
    </row>
    <row r="504" spans="1:30" ht="13.5" customHeight="1" x14ac:dyDescent="0.25">
      <c r="A504" s="2"/>
      <c r="B504" s="2"/>
      <c r="C504" s="2"/>
      <c r="D504" s="2"/>
      <c r="E504" s="2"/>
      <c r="F504" s="2"/>
      <c r="G504" s="2"/>
      <c r="H504" s="2"/>
      <c r="I504" s="2"/>
      <c r="J504" s="2"/>
      <c r="K504" s="2"/>
      <c r="L504" s="2"/>
      <c r="M504" s="2"/>
      <c r="N504" s="2"/>
      <c r="O504" s="2"/>
      <c r="P504" s="2"/>
      <c r="Q504" s="2"/>
      <c r="R504" s="9"/>
      <c r="S504" s="9"/>
      <c r="T504" s="9"/>
      <c r="U504" s="9"/>
      <c r="V504" s="9"/>
      <c r="W504" s="9"/>
      <c r="X504" s="9"/>
      <c r="Y504" s="9"/>
      <c r="Z504" s="9"/>
      <c r="AA504" s="9"/>
      <c r="AB504" s="9"/>
      <c r="AC504" s="9"/>
      <c r="AD504" s="9"/>
    </row>
    <row r="505" spans="1:30" ht="13.5" customHeight="1" x14ac:dyDescent="0.25">
      <c r="A505" s="2"/>
      <c r="B505" s="2"/>
      <c r="C505" s="2"/>
      <c r="D505" s="2"/>
      <c r="E505" s="2"/>
      <c r="F505" s="2"/>
      <c r="G505" s="2"/>
      <c r="H505" s="2"/>
      <c r="I505" s="2"/>
      <c r="J505" s="2"/>
      <c r="K505" s="2"/>
      <c r="L505" s="2"/>
      <c r="M505" s="2"/>
      <c r="N505" s="2"/>
      <c r="O505" s="2"/>
      <c r="P505" s="2"/>
      <c r="Q505" s="2"/>
      <c r="R505" s="9"/>
      <c r="S505" s="9"/>
      <c r="T505" s="9"/>
      <c r="U505" s="9"/>
      <c r="V505" s="9"/>
      <c r="W505" s="9"/>
      <c r="X505" s="9"/>
      <c r="Y505" s="9"/>
      <c r="Z505" s="9"/>
      <c r="AA505" s="9"/>
      <c r="AB505" s="9"/>
      <c r="AC505" s="9"/>
      <c r="AD505" s="9"/>
    </row>
    <row r="506" spans="1:30" ht="13.5" customHeight="1" x14ac:dyDescent="0.25">
      <c r="A506" s="2"/>
      <c r="B506" s="2"/>
      <c r="C506" s="2"/>
      <c r="D506" s="2"/>
      <c r="E506" s="2"/>
      <c r="F506" s="2"/>
      <c r="G506" s="2"/>
      <c r="H506" s="2"/>
      <c r="I506" s="2"/>
      <c r="J506" s="2"/>
      <c r="K506" s="2"/>
      <c r="L506" s="2"/>
      <c r="M506" s="2"/>
      <c r="N506" s="2"/>
      <c r="O506" s="2"/>
      <c r="P506" s="2"/>
      <c r="Q506" s="2"/>
      <c r="R506" s="9"/>
      <c r="S506" s="9"/>
      <c r="T506" s="9"/>
      <c r="U506" s="9"/>
      <c r="V506" s="9"/>
      <c r="W506" s="9"/>
      <c r="X506" s="9"/>
      <c r="Y506" s="9"/>
      <c r="Z506" s="9"/>
      <c r="AA506" s="9"/>
      <c r="AB506" s="9"/>
      <c r="AC506" s="9"/>
      <c r="AD506" s="9"/>
    </row>
    <row r="507" spans="1:30" ht="13.5" customHeight="1" x14ac:dyDescent="0.25">
      <c r="A507" s="2"/>
      <c r="B507" s="2"/>
      <c r="C507" s="2"/>
      <c r="D507" s="2"/>
      <c r="E507" s="2"/>
      <c r="F507" s="2"/>
      <c r="G507" s="2"/>
      <c r="H507" s="2"/>
      <c r="I507" s="2"/>
      <c r="J507" s="2"/>
      <c r="K507" s="2"/>
      <c r="L507" s="2"/>
      <c r="M507" s="2"/>
      <c r="N507" s="2"/>
      <c r="O507" s="2"/>
      <c r="P507" s="2"/>
      <c r="Q507" s="2"/>
      <c r="R507" s="9"/>
      <c r="S507" s="9"/>
      <c r="T507" s="9"/>
      <c r="U507" s="9"/>
      <c r="V507" s="9"/>
      <c r="W507" s="9"/>
      <c r="X507" s="9"/>
      <c r="Y507" s="9"/>
      <c r="Z507" s="9"/>
      <c r="AA507" s="9"/>
      <c r="AB507" s="9"/>
      <c r="AC507" s="9"/>
      <c r="AD507" s="9"/>
    </row>
    <row r="508" spans="1:30" ht="13.5" customHeight="1" x14ac:dyDescent="0.25">
      <c r="A508" s="2"/>
      <c r="B508" s="2"/>
      <c r="C508" s="2"/>
      <c r="D508" s="2"/>
      <c r="E508" s="2"/>
      <c r="F508" s="2"/>
      <c r="G508" s="2"/>
      <c r="H508" s="2"/>
      <c r="I508" s="2"/>
      <c r="J508" s="2"/>
      <c r="K508" s="2"/>
      <c r="L508" s="2"/>
      <c r="M508" s="2"/>
      <c r="N508" s="2"/>
      <c r="O508" s="2"/>
      <c r="P508" s="2"/>
      <c r="Q508" s="2"/>
      <c r="R508" s="9"/>
      <c r="S508" s="9"/>
      <c r="T508" s="9"/>
      <c r="U508" s="9"/>
      <c r="V508" s="9"/>
      <c r="W508" s="9"/>
      <c r="X508" s="9"/>
      <c r="Y508" s="9"/>
      <c r="Z508" s="9"/>
      <c r="AA508" s="9"/>
      <c r="AB508" s="9"/>
      <c r="AC508" s="9"/>
      <c r="AD508" s="9"/>
    </row>
    <row r="509" spans="1:30" ht="13.5" customHeight="1" x14ac:dyDescent="0.25">
      <c r="A509" s="2"/>
      <c r="B509" s="2"/>
      <c r="C509" s="2"/>
      <c r="D509" s="2"/>
      <c r="E509" s="2"/>
      <c r="F509" s="2"/>
      <c r="G509" s="2"/>
      <c r="H509" s="2"/>
      <c r="I509" s="2"/>
      <c r="J509" s="2"/>
      <c r="K509" s="2"/>
      <c r="L509" s="2"/>
      <c r="M509" s="2"/>
      <c r="N509" s="2"/>
      <c r="O509" s="2"/>
      <c r="P509" s="2"/>
      <c r="Q509" s="2"/>
      <c r="R509" s="9"/>
      <c r="S509" s="9"/>
      <c r="T509" s="9"/>
      <c r="U509" s="9"/>
      <c r="V509" s="9"/>
      <c r="W509" s="9"/>
      <c r="X509" s="9"/>
      <c r="Y509" s="9"/>
      <c r="Z509" s="9"/>
      <c r="AA509" s="9"/>
      <c r="AB509" s="9"/>
      <c r="AC509" s="9"/>
      <c r="AD509" s="9"/>
    </row>
    <row r="510" spans="1:30" ht="13.5" customHeight="1" x14ac:dyDescent="0.25">
      <c r="A510" s="2"/>
      <c r="B510" s="2"/>
      <c r="C510" s="2"/>
      <c r="D510" s="2"/>
      <c r="E510" s="2"/>
      <c r="F510" s="2"/>
      <c r="G510" s="2"/>
      <c r="H510" s="2"/>
      <c r="I510" s="2"/>
      <c r="J510" s="2"/>
      <c r="K510" s="2"/>
      <c r="L510" s="2"/>
      <c r="M510" s="2"/>
      <c r="N510" s="2"/>
      <c r="O510" s="2"/>
      <c r="P510" s="2"/>
      <c r="Q510" s="2"/>
      <c r="R510" s="9"/>
      <c r="S510" s="9"/>
      <c r="T510" s="9"/>
      <c r="U510" s="9"/>
      <c r="V510" s="9"/>
      <c r="W510" s="9"/>
      <c r="X510" s="9"/>
      <c r="Y510" s="9"/>
      <c r="Z510" s="9"/>
      <c r="AA510" s="9"/>
      <c r="AB510" s="9"/>
      <c r="AC510" s="9"/>
      <c r="AD510" s="9"/>
    </row>
    <row r="511" spans="1:30" ht="13.5" customHeight="1" x14ac:dyDescent="0.25">
      <c r="A511" s="2"/>
      <c r="B511" s="2"/>
      <c r="C511" s="2"/>
      <c r="D511" s="2"/>
      <c r="E511" s="2"/>
      <c r="F511" s="2"/>
      <c r="G511" s="2"/>
      <c r="H511" s="2"/>
      <c r="I511" s="2"/>
      <c r="J511" s="2"/>
      <c r="K511" s="2"/>
      <c r="L511" s="2"/>
      <c r="M511" s="2"/>
      <c r="N511" s="2"/>
      <c r="O511" s="2"/>
      <c r="P511" s="2"/>
      <c r="Q511" s="2"/>
      <c r="R511" s="9"/>
      <c r="S511" s="9"/>
      <c r="T511" s="9"/>
      <c r="U511" s="9"/>
      <c r="V511" s="9"/>
      <c r="W511" s="9"/>
      <c r="X511" s="9"/>
      <c r="Y511" s="9"/>
      <c r="Z511" s="9"/>
      <c r="AA511" s="9"/>
      <c r="AB511" s="9"/>
      <c r="AC511" s="9"/>
      <c r="AD511" s="9"/>
    </row>
    <row r="512" spans="1:30" ht="13.5" customHeight="1" x14ac:dyDescent="0.25">
      <c r="A512" s="2"/>
      <c r="B512" s="2"/>
      <c r="C512" s="2"/>
      <c r="D512" s="2"/>
      <c r="E512" s="2"/>
      <c r="F512" s="2"/>
      <c r="G512" s="2"/>
      <c r="H512" s="2"/>
      <c r="I512" s="2"/>
      <c r="J512" s="2"/>
      <c r="K512" s="2"/>
      <c r="L512" s="2"/>
      <c r="M512" s="2"/>
      <c r="N512" s="2"/>
      <c r="O512" s="2"/>
      <c r="P512" s="2"/>
      <c r="Q512" s="2"/>
      <c r="R512" s="9"/>
      <c r="S512" s="9"/>
      <c r="T512" s="9"/>
      <c r="U512" s="9"/>
      <c r="V512" s="9"/>
      <c r="W512" s="9"/>
      <c r="X512" s="9"/>
      <c r="Y512" s="9"/>
      <c r="Z512" s="9"/>
      <c r="AA512" s="9"/>
      <c r="AB512" s="9"/>
      <c r="AC512" s="9"/>
      <c r="AD512" s="9"/>
    </row>
    <row r="513" spans="1:30" ht="13.5" customHeight="1" x14ac:dyDescent="0.25">
      <c r="A513" s="2"/>
      <c r="B513" s="2"/>
      <c r="C513" s="2"/>
      <c r="D513" s="2"/>
      <c r="E513" s="2"/>
      <c r="F513" s="2"/>
      <c r="G513" s="2"/>
      <c r="H513" s="2"/>
      <c r="I513" s="2"/>
      <c r="J513" s="2"/>
      <c r="K513" s="2"/>
      <c r="L513" s="2"/>
      <c r="M513" s="2"/>
      <c r="N513" s="2"/>
      <c r="O513" s="2"/>
      <c r="P513" s="2"/>
      <c r="Q513" s="2"/>
      <c r="R513" s="9"/>
      <c r="S513" s="9"/>
      <c r="T513" s="9"/>
      <c r="U513" s="9"/>
      <c r="V513" s="9"/>
      <c r="W513" s="9"/>
      <c r="X513" s="9"/>
      <c r="Y513" s="9"/>
      <c r="Z513" s="9"/>
      <c r="AA513" s="9"/>
      <c r="AB513" s="9"/>
      <c r="AC513" s="9"/>
      <c r="AD513" s="9"/>
    </row>
    <row r="514" spans="1:30" ht="13.5" customHeight="1" x14ac:dyDescent="0.25">
      <c r="A514" s="2"/>
      <c r="B514" s="2"/>
      <c r="C514" s="2"/>
      <c r="D514" s="2"/>
      <c r="E514" s="2"/>
      <c r="F514" s="2"/>
      <c r="G514" s="2"/>
      <c r="H514" s="2"/>
      <c r="I514" s="2"/>
      <c r="J514" s="2"/>
      <c r="K514" s="2"/>
      <c r="L514" s="2"/>
      <c r="M514" s="2"/>
      <c r="N514" s="2"/>
      <c r="O514" s="2"/>
      <c r="P514" s="2"/>
      <c r="Q514" s="2"/>
      <c r="R514" s="9"/>
      <c r="S514" s="9"/>
      <c r="T514" s="9"/>
      <c r="U514" s="9"/>
      <c r="V514" s="9"/>
      <c r="W514" s="9"/>
      <c r="X514" s="9"/>
      <c r="Y514" s="9"/>
      <c r="Z514" s="9"/>
      <c r="AA514" s="9"/>
      <c r="AB514" s="9"/>
      <c r="AC514" s="9"/>
      <c r="AD514" s="9"/>
    </row>
    <row r="515" spans="1:30" ht="13.5" customHeight="1" x14ac:dyDescent="0.25">
      <c r="A515" s="2"/>
      <c r="B515" s="2"/>
      <c r="C515" s="2"/>
      <c r="D515" s="2"/>
      <c r="E515" s="2"/>
      <c r="F515" s="2"/>
      <c r="G515" s="2"/>
      <c r="H515" s="2"/>
      <c r="I515" s="2"/>
      <c r="J515" s="2"/>
      <c r="K515" s="2"/>
      <c r="L515" s="2"/>
      <c r="M515" s="2"/>
      <c r="N515" s="2"/>
      <c r="O515" s="2"/>
      <c r="P515" s="2"/>
      <c r="Q515" s="2"/>
      <c r="R515" s="9"/>
      <c r="S515" s="9"/>
      <c r="T515" s="9"/>
      <c r="U515" s="9"/>
      <c r="V515" s="9"/>
      <c r="W515" s="9"/>
      <c r="X515" s="9"/>
      <c r="Y515" s="9"/>
      <c r="Z515" s="9"/>
      <c r="AA515" s="9"/>
      <c r="AB515" s="9"/>
      <c r="AC515" s="9"/>
      <c r="AD515" s="9"/>
    </row>
    <row r="516" spans="1:30" ht="13.5" customHeight="1" x14ac:dyDescent="0.25">
      <c r="A516" s="2"/>
      <c r="B516" s="2"/>
      <c r="C516" s="2"/>
      <c r="D516" s="2"/>
      <c r="E516" s="2"/>
      <c r="F516" s="2"/>
      <c r="G516" s="2"/>
      <c r="H516" s="2"/>
      <c r="I516" s="2"/>
      <c r="J516" s="2"/>
      <c r="K516" s="2"/>
      <c r="L516" s="2"/>
      <c r="M516" s="2"/>
      <c r="N516" s="2"/>
      <c r="O516" s="2"/>
      <c r="P516" s="2"/>
      <c r="Q516" s="2"/>
      <c r="R516" s="9"/>
      <c r="S516" s="9"/>
      <c r="T516" s="9"/>
      <c r="U516" s="9"/>
      <c r="V516" s="9"/>
      <c r="W516" s="9"/>
      <c r="X516" s="9"/>
      <c r="Y516" s="9"/>
      <c r="Z516" s="9"/>
      <c r="AA516" s="9"/>
      <c r="AB516" s="9"/>
      <c r="AC516" s="9"/>
      <c r="AD516" s="9"/>
    </row>
    <row r="517" spans="1:30" ht="13.5" customHeight="1" x14ac:dyDescent="0.25">
      <c r="A517" s="2"/>
      <c r="B517" s="2"/>
      <c r="C517" s="2"/>
      <c r="D517" s="2"/>
      <c r="E517" s="2"/>
      <c r="F517" s="2"/>
      <c r="G517" s="2"/>
      <c r="H517" s="2"/>
      <c r="I517" s="2"/>
      <c r="J517" s="2"/>
      <c r="K517" s="2"/>
      <c r="L517" s="2"/>
      <c r="M517" s="2"/>
      <c r="N517" s="2"/>
      <c r="O517" s="2"/>
      <c r="P517" s="2"/>
      <c r="Q517" s="2"/>
      <c r="R517" s="9"/>
      <c r="S517" s="9"/>
      <c r="T517" s="9"/>
      <c r="U517" s="9"/>
      <c r="V517" s="9"/>
      <c r="W517" s="9"/>
      <c r="X517" s="9"/>
      <c r="Y517" s="9"/>
      <c r="Z517" s="9"/>
      <c r="AA517" s="9"/>
      <c r="AB517" s="9"/>
      <c r="AC517" s="9"/>
      <c r="AD517" s="9"/>
    </row>
    <row r="518" spans="1:30" ht="13.5" customHeight="1" x14ac:dyDescent="0.25">
      <c r="A518" s="2"/>
      <c r="B518" s="2"/>
      <c r="C518" s="2"/>
      <c r="D518" s="2"/>
      <c r="E518" s="2"/>
      <c r="F518" s="2"/>
      <c r="G518" s="2"/>
      <c r="H518" s="2"/>
      <c r="I518" s="2"/>
      <c r="J518" s="2"/>
      <c r="K518" s="2"/>
      <c r="L518" s="2"/>
      <c r="M518" s="2"/>
      <c r="N518" s="2"/>
      <c r="O518" s="2"/>
      <c r="P518" s="2"/>
      <c r="Q518" s="2"/>
      <c r="R518" s="9"/>
      <c r="S518" s="9"/>
      <c r="T518" s="9"/>
      <c r="U518" s="9"/>
      <c r="V518" s="9"/>
      <c r="W518" s="9"/>
      <c r="X518" s="9"/>
      <c r="Y518" s="9"/>
      <c r="Z518" s="9"/>
      <c r="AA518" s="9"/>
      <c r="AB518" s="9"/>
      <c r="AC518" s="9"/>
      <c r="AD518" s="9"/>
    </row>
    <row r="519" spans="1:30" ht="13.5" customHeight="1" x14ac:dyDescent="0.25">
      <c r="A519" s="2"/>
      <c r="B519" s="2"/>
      <c r="C519" s="2"/>
      <c r="D519" s="2"/>
      <c r="E519" s="2"/>
      <c r="F519" s="2"/>
      <c r="G519" s="2"/>
      <c r="H519" s="2"/>
      <c r="I519" s="2"/>
      <c r="J519" s="2"/>
      <c r="K519" s="2"/>
      <c r="L519" s="2"/>
      <c r="M519" s="2"/>
      <c r="N519" s="2"/>
      <c r="O519" s="2"/>
      <c r="P519" s="2"/>
      <c r="Q519" s="2"/>
      <c r="R519" s="9"/>
      <c r="S519" s="9"/>
      <c r="T519" s="9"/>
      <c r="U519" s="9"/>
      <c r="V519" s="9"/>
      <c r="W519" s="9"/>
      <c r="X519" s="9"/>
      <c r="Y519" s="9"/>
      <c r="Z519" s="9"/>
      <c r="AA519" s="9"/>
      <c r="AB519" s="9"/>
      <c r="AC519" s="9"/>
      <c r="AD519" s="9"/>
    </row>
    <row r="520" spans="1:30" ht="13.5" customHeight="1" x14ac:dyDescent="0.25">
      <c r="A520" s="2"/>
      <c r="B520" s="2"/>
      <c r="C520" s="2"/>
      <c r="D520" s="2"/>
      <c r="E520" s="2"/>
      <c r="F520" s="2"/>
      <c r="G520" s="2"/>
      <c r="H520" s="2"/>
      <c r="I520" s="2"/>
      <c r="J520" s="2"/>
      <c r="K520" s="2"/>
      <c r="L520" s="2"/>
      <c r="M520" s="2"/>
      <c r="N520" s="2"/>
      <c r="O520" s="2"/>
      <c r="P520" s="2"/>
      <c r="Q520" s="2"/>
      <c r="R520" s="9"/>
      <c r="S520" s="9"/>
      <c r="T520" s="9"/>
      <c r="U520" s="9"/>
      <c r="V520" s="9"/>
      <c r="W520" s="9"/>
      <c r="X520" s="9"/>
      <c r="Y520" s="9"/>
      <c r="Z520" s="9"/>
      <c r="AA520" s="9"/>
      <c r="AB520" s="9"/>
      <c r="AC520" s="9"/>
      <c r="AD520" s="9"/>
    </row>
    <row r="521" spans="1:30" ht="13.5" customHeight="1" x14ac:dyDescent="0.25">
      <c r="A521" s="2"/>
      <c r="B521" s="2"/>
      <c r="C521" s="2"/>
      <c r="D521" s="2"/>
      <c r="E521" s="2"/>
      <c r="F521" s="2"/>
      <c r="G521" s="2"/>
      <c r="H521" s="2"/>
      <c r="I521" s="2"/>
      <c r="J521" s="2"/>
      <c r="K521" s="2"/>
      <c r="L521" s="2"/>
      <c r="M521" s="2"/>
      <c r="N521" s="2"/>
      <c r="O521" s="2"/>
      <c r="P521" s="2"/>
      <c r="Q521" s="2"/>
      <c r="R521" s="9"/>
      <c r="S521" s="9"/>
      <c r="T521" s="9"/>
      <c r="U521" s="9"/>
      <c r="V521" s="9"/>
      <c r="W521" s="9"/>
      <c r="X521" s="9"/>
      <c r="Y521" s="9"/>
      <c r="Z521" s="9"/>
      <c r="AA521" s="9"/>
      <c r="AB521" s="9"/>
      <c r="AC521" s="9"/>
      <c r="AD521" s="9"/>
    </row>
    <row r="522" spans="1:30" ht="13.5" customHeight="1" x14ac:dyDescent="0.25">
      <c r="A522" s="2"/>
      <c r="B522" s="2"/>
      <c r="C522" s="2"/>
      <c r="D522" s="2"/>
      <c r="E522" s="2"/>
      <c r="F522" s="2"/>
      <c r="G522" s="2"/>
      <c r="H522" s="2"/>
      <c r="I522" s="2"/>
      <c r="J522" s="2"/>
      <c r="K522" s="2"/>
      <c r="L522" s="2"/>
      <c r="M522" s="2"/>
      <c r="N522" s="2"/>
      <c r="O522" s="2"/>
      <c r="P522" s="2"/>
      <c r="Q522" s="2"/>
      <c r="R522" s="9"/>
      <c r="S522" s="9"/>
      <c r="T522" s="9"/>
      <c r="U522" s="9"/>
      <c r="V522" s="9"/>
      <c r="W522" s="9"/>
      <c r="X522" s="9"/>
      <c r="Y522" s="9"/>
      <c r="Z522" s="9"/>
      <c r="AA522" s="9"/>
      <c r="AB522" s="9"/>
      <c r="AC522" s="9"/>
      <c r="AD522" s="9"/>
    </row>
    <row r="523" spans="1:30" ht="13.5" customHeight="1" x14ac:dyDescent="0.25">
      <c r="A523" s="2"/>
      <c r="B523" s="2"/>
      <c r="C523" s="2"/>
      <c r="D523" s="2"/>
      <c r="E523" s="2"/>
      <c r="F523" s="2"/>
      <c r="G523" s="2"/>
      <c r="H523" s="2"/>
      <c r="I523" s="2"/>
      <c r="J523" s="2"/>
      <c r="K523" s="2"/>
      <c r="L523" s="2"/>
      <c r="M523" s="2"/>
      <c r="N523" s="2"/>
      <c r="O523" s="2"/>
      <c r="P523" s="2"/>
      <c r="Q523" s="2"/>
      <c r="R523" s="9"/>
      <c r="S523" s="9"/>
      <c r="T523" s="9"/>
      <c r="U523" s="9"/>
      <c r="V523" s="9"/>
      <c r="W523" s="9"/>
      <c r="X523" s="9"/>
      <c r="Y523" s="9"/>
      <c r="Z523" s="9"/>
      <c r="AA523" s="9"/>
      <c r="AB523" s="9"/>
      <c r="AC523" s="9"/>
      <c r="AD523" s="9"/>
    </row>
    <row r="524" spans="1:30" ht="13.5" customHeight="1" x14ac:dyDescent="0.25">
      <c r="A524" s="2"/>
      <c r="B524" s="2"/>
      <c r="C524" s="2"/>
      <c r="D524" s="2"/>
      <c r="E524" s="2"/>
      <c r="F524" s="2"/>
      <c r="G524" s="2"/>
      <c r="H524" s="2"/>
      <c r="I524" s="2"/>
      <c r="J524" s="2"/>
      <c r="K524" s="2"/>
      <c r="L524" s="2"/>
      <c r="M524" s="2"/>
      <c r="N524" s="2"/>
      <c r="O524" s="2"/>
      <c r="P524" s="2"/>
      <c r="Q524" s="2"/>
      <c r="R524" s="9"/>
      <c r="S524" s="9"/>
      <c r="T524" s="9"/>
      <c r="U524" s="9"/>
      <c r="V524" s="9"/>
      <c r="W524" s="9"/>
      <c r="X524" s="9"/>
      <c r="Y524" s="9"/>
      <c r="Z524" s="9"/>
      <c r="AA524" s="9"/>
      <c r="AB524" s="9"/>
      <c r="AC524" s="9"/>
      <c r="AD524" s="9"/>
    </row>
    <row r="525" spans="1:30" ht="13.5" customHeight="1" x14ac:dyDescent="0.25">
      <c r="A525" s="2"/>
      <c r="B525" s="2"/>
      <c r="C525" s="2"/>
      <c r="D525" s="2"/>
      <c r="E525" s="2"/>
      <c r="F525" s="2"/>
      <c r="G525" s="2"/>
      <c r="H525" s="2"/>
      <c r="I525" s="2"/>
      <c r="J525" s="2"/>
      <c r="K525" s="2"/>
      <c r="L525" s="2"/>
      <c r="M525" s="2"/>
      <c r="N525" s="2"/>
      <c r="O525" s="2"/>
      <c r="P525" s="2"/>
      <c r="Q525" s="2"/>
      <c r="R525" s="9"/>
      <c r="S525" s="9"/>
      <c r="T525" s="9"/>
      <c r="U525" s="9"/>
      <c r="V525" s="9"/>
      <c r="W525" s="9"/>
      <c r="X525" s="9"/>
      <c r="Y525" s="9"/>
      <c r="Z525" s="9"/>
      <c r="AA525" s="9"/>
      <c r="AB525" s="9"/>
      <c r="AC525" s="9"/>
      <c r="AD525" s="9"/>
    </row>
    <row r="526" spans="1:30" ht="13.5" customHeight="1" x14ac:dyDescent="0.25">
      <c r="A526" s="2"/>
      <c r="B526" s="2"/>
      <c r="C526" s="2"/>
      <c r="D526" s="2"/>
      <c r="E526" s="2"/>
      <c r="F526" s="2"/>
      <c r="G526" s="2"/>
      <c r="H526" s="2"/>
      <c r="I526" s="2"/>
      <c r="J526" s="2"/>
      <c r="K526" s="2"/>
      <c r="L526" s="2"/>
      <c r="M526" s="2"/>
      <c r="N526" s="2"/>
      <c r="O526" s="2"/>
      <c r="P526" s="2"/>
      <c r="Q526" s="2"/>
      <c r="R526" s="9"/>
      <c r="S526" s="9"/>
      <c r="T526" s="9"/>
      <c r="U526" s="9"/>
      <c r="V526" s="9"/>
      <c r="W526" s="9"/>
      <c r="X526" s="9"/>
      <c r="Y526" s="9"/>
      <c r="Z526" s="9"/>
      <c r="AA526" s="9"/>
      <c r="AB526" s="9"/>
      <c r="AC526" s="9"/>
      <c r="AD526" s="9"/>
    </row>
    <row r="527" spans="1:30" ht="13.5" customHeight="1" x14ac:dyDescent="0.25">
      <c r="A527" s="2"/>
      <c r="B527" s="2"/>
      <c r="C527" s="2"/>
      <c r="D527" s="2"/>
      <c r="E527" s="2"/>
      <c r="F527" s="2"/>
      <c r="G527" s="2"/>
      <c r="H527" s="2"/>
      <c r="I527" s="2"/>
      <c r="J527" s="2"/>
      <c r="K527" s="2"/>
      <c r="L527" s="2"/>
      <c r="M527" s="2"/>
      <c r="N527" s="2"/>
      <c r="O527" s="2"/>
      <c r="P527" s="2"/>
      <c r="Q527" s="2"/>
      <c r="R527" s="9"/>
      <c r="S527" s="9"/>
      <c r="T527" s="9"/>
      <c r="U527" s="9"/>
      <c r="V527" s="9"/>
      <c r="W527" s="9"/>
      <c r="X527" s="9"/>
      <c r="Y527" s="9"/>
      <c r="Z527" s="9"/>
      <c r="AA527" s="9"/>
      <c r="AB527" s="9"/>
      <c r="AC527" s="9"/>
      <c r="AD527" s="9"/>
    </row>
    <row r="528" spans="1:30" ht="13.5" customHeight="1" x14ac:dyDescent="0.25">
      <c r="A528" s="2"/>
      <c r="B528" s="2"/>
      <c r="C528" s="2"/>
      <c r="D528" s="2"/>
      <c r="E528" s="2"/>
      <c r="F528" s="2"/>
      <c r="G528" s="2"/>
      <c r="H528" s="2"/>
      <c r="I528" s="2"/>
      <c r="J528" s="2"/>
      <c r="K528" s="2"/>
      <c r="L528" s="2"/>
      <c r="M528" s="2"/>
      <c r="N528" s="2"/>
      <c r="O528" s="2"/>
      <c r="P528" s="2"/>
      <c r="Q528" s="2"/>
      <c r="R528" s="9"/>
      <c r="S528" s="9"/>
      <c r="T528" s="9"/>
      <c r="U528" s="9"/>
      <c r="V528" s="9"/>
      <c r="W528" s="9"/>
      <c r="X528" s="9"/>
      <c r="Y528" s="9"/>
      <c r="Z528" s="9"/>
      <c r="AA528" s="9"/>
      <c r="AB528" s="9"/>
      <c r="AC528" s="9"/>
      <c r="AD528" s="9"/>
    </row>
    <row r="529" spans="1:30" ht="13.5" customHeight="1" x14ac:dyDescent="0.25">
      <c r="A529" s="2"/>
      <c r="B529" s="2"/>
      <c r="C529" s="2"/>
      <c r="D529" s="2"/>
      <c r="E529" s="2"/>
      <c r="F529" s="2"/>
      <c r="G529" s="2"/>
      <c r="H529" s="2"/>
      <c r="I529" s="2"/>
      <c r="J529" s="2"/>
      <c r="K529" s="2"/>
      <c r="L529" s="2"/>
      <c r="M529" s="2"/>
      <c r="N529" s="2"/>
      <c r="O529" s="2"/>
      <c r="P529" s="2"/>
      <c r="Q529" s="2"/>
      <c r="R529" s="9"/>
      <c r="S529" s="9"/>
      <c r="T529" s="9"/>
      <c r="U529" s="9"/>
      <c r="V529" s="9"/>
      <c r="W529" s="9"/>
      <c r="X529" s="9"/>
      <c r="Y529" s="9"/>
      <c r="Z529" s="9"/>
      <c r="AA529" s="9"/>
      <c r="AB529" s="9"/>
      <c r="AC529" s="9"/>
      <c r="AD529" s="9"/>
    </row>
    <row r="530" spans="1:30" ht="13.5" customHeight="1" x14ac:dyDescent="0.25">
      <c r="A530" s="2"/>
      <c r="B530" s="2"/>
      <c r="C530" s="2"/>
      <c r="D530" s="2"/>
      <c r="E530" s="2"/>
      <c r="F530" s="2"/>
      <c r="G530" s="2"/>
      <c r="H530" s="2"/>
      <c r="I530" s="2"/>
      <c r="J530" s="2"/>
      <c r="K530" s="2"/>
      <c r="L530" s="2"/>
      <c r="M530" s="2"/>
      <c r="N530" s="2"/>
      <c r="O530" s="2"/>
      <c r="P530" s="2"/>
      <c r="Q530" s="2"/>
      <c r="R530" s="9"/>
      <c r="S530" s="9"/>
      <c r="T530" s="9"/>
      <c r="U530" s="9"/>
      <c r="V530" s="9"/>
      <c r="W530" s="9"/>
      <c r="X530" s="9"/>
      <c r="Y530" s="9"/>
      <c r="Z530" s="9"/>
      <c r="AA530" s="9"/>
      <c r="AB530" s="9"/>
      <c r="AC530" s="9"/>
      <c r="AD530" s="9"/>
    </row>
    <row r="531" spans="1:30" ht="13.5" customHeight="1" x14ac:dyDescent="0.25">
      <c r="A531" s="2"/>
      <c r="B531" s="2"/>
      <c r="C531" s="2"/>
      <c r="D531" s="2"/>
      <c r="E531" s="2"/>
      <c r="F531" s="2"/>
      <c r="G531" s="2"/>
      <c r="H531" s="2"/>
      <c r="I531" s="2"/>
      <c r="J531" s="2"/>
      <c r="K531" s="2"/>
      <c r="L531" s="2"/>
      <c r="M531" s="2"/>
      <c r="N531" s="2"/>
      <c r="O531" s="2"/>
      <c r="P531" s="2"/>
      <c r="Q531" s="2"/>
      <c r="R531" s="9"/>
      <c r="S531" s="9"/>
      <c r="T531" s="9"/>
      <c r="U531" s="9"/>
      <c r="V531" s="9"/>
      <c r="W531" s="9"/>
      <c r="X531" s="9"/>
      <c r="Y531" s="9"/>
      <c r="Z531" s="9"/>
      <c r="AA531" s="9"/>
      <c r="AB531" s="9"/>
      <c r="AC531" s="9"/>
      <c r="AD531" s="9"/>
    </row>
    <row r="532" spans="1:30" ht="13.5" customHeight="1" x14ac:dyDescent="0.25">
      <c r="A532" s="2"/>
      <c r="B532" s="2"/>
      <c r="C532" s="2"/>
      <c r="D532" s="2"/>
      <c r="E532" s="2"/>
      <c r="F532" s="2"/>
      <c r="G532" s="2"/>
      <c r="H532" s="2"/>
      <c r="I532" s="2"/>
      <c r="J532" s="2"/>
      <c r="K532" s="2"/>
      <c r="L532" s="2"/>
      <c r="M532" s="2"/>
      <c r="N532" s="2"/>
      <c r="O532" s="2"/>
      <c r="P532" s="2"/>
      <c r="Q532" s="2"/>
      <c r="R532" s="9"/>
      <c r="S532" s="9"/>
      <c r="T532" s="9"/>
      <c r="U532" s="9"/>
      <c r="V532" s="9"/>
      <c r="W532" s="9"/>
      <c r="X532" s="9"/>
      <c r="Y532" s="9"/>
      <c r="Z532" s="9"/>
      <c r="AA532" s="9"/>
      <c r="AB532" s="9"/>
      <c r="AC532" s="9"/>
      <c r="AD532" s="9"/>
    </row>
    <row r="533" spans="1:30" ht="13.5" customHeight="1" x14ac:dyDescent="0.25">
      <c r="A533" s="2"/>
      <c r="B533" s="2"/>
      <c r="C533" s="2"/>
      <c r="D533" s="2"/>
      <c r="E533" s="2"/>
      <c r="F533" s="2"/>
      <c r="G533" s="2"/>
      <c r="H533" s="2"/>
      <c r="I533" s="2"/>
      <c r="J533" s="2"/>
      <c r="K533" s="2"/>
      <c r="L533" s="2"/>
      <c r="M533" s="2"/>
      <c r="N533" s="2"/>
      <c r="O533" s="2"/>
      <c r="P533" s="2"/>
      <c r="Q533" s="2"/>
      <c r="R533" s="9"/>
      <c r="S533" s="9"/>
      <c r="T533" s="9"/>
      <c r="U533" s="9"/>
      <c r="V533" s="9"/>
      <c r="W533" s="9"/>
      <c r="X533" s="9"/>
      <c r="Y533" s="9"/>
      <c r="Z533" s="9"/>
      <c r="AA533" s="9"/>
      <c r="AB533" s="9"/>
      <c r="AC533" s="9"/>
      <c r="AD533" s="9"/>
    </row>
    <row r="534" spans="1:30" ht="13.5" customHeight="1" x14ac:dyDescent="0.25">
      <c r="A534" s="2"/>
      <c r="B534" s="2"/>
      <c r="C534" s="2"/>
      <c r="D534" s="2"/>
      <c r="E534" s="2"/>
      <c r="F534" s="2"/>
      <c r="G534" s="2"/>
      <c r="H534" s="2"/>
      <c r="I534" s="2"/>
      <c r="J534" s="2"/>
      <c r="K534" s="2"/>
      <c r="L534" s="2"/>
      <c r="M534" s="2"/>
      <c r="N534" s="2"/>
      <c r="O534" s="2"/>
      <c r="P534" s="2"/>
      <c r="Q534" s="2"/>
      <c r="R534" s="9"/>
      <c r="S534" s="9"/>
      <c r="T534" s="9"/>
      <c r="U534" s="9"/>
      <c r="V534" s="9"/>
      <c r="W534" s="9"/>
      <c r="X534" s="9"/>
      <c r="Y534" s="9"/>
      <c r="Z534" s="9"/>
      <c r="AA534" s="9"/>
      <c r="AB534" s="9"/>
      <c r="AC534" s="9"/>
      <c r="AD534" s="9"/>
    </row>
    <row r="535" spans="1:30" ht="13.5" customHeight="1" x14ac:dyDescent="0.25">
      <c r="A535" s="2"/>
      <c r="B535" s="2"/>
      <c r="C535" s="2"/>
      <c r="D535" s="2"/>
      <c r="E535" s="2"/>
      <c r="F535" s="2"/>
      <c r="G535" s="2"/>
      <c r="H535" s="2"/>
      <c r="I535" s="2"/>
      <c r="J535" s="2"/>
      <c r="K535" s="2"/>
      <c r="L535" s="2"/>
      <c r="M535" s="2"/>
      <c r="N535" s="2"/>
      <c r="O535" s="2"/>
      <c r="P535" s="2"/>
      <c r="Q535" s="2"/>
      <c r="R535" s="9"/>
      <c r="S535" s="9"/>
      <c r="T535" s="9"/>
      <c r="U535" s="9"/>
      <c r="V535" s="9"/>
      <c r="W535" s="9"/>
      <c r="X535" s="9"/>
      <c r="Y535" s="9"/>
      <c r="Z535" s="9"/>
      <c r="AA535" s="9"/>
      <c r="AB535" s="9"/>
      <c r="AC535" s="9"/>
      <c r="AD535" s="9"/>
    </row>
    <row r="536" spans="1:30" ht="13.5" customHeight="1" x14ac:dyDescent="0.25">
      <c r="A536" s="2"/>
      <c r="B536" s="2"/>
      <c r="C536" s="2"/>
      <c r="D536" s="2"/>
      <c r="E536" s="2"/>
      <c r="F536" s="2"/>
      <c r="G536" s="2"/>
      <c r="H536" s="2"/>
      <c r="I536" s="2"/>
      <c r="J536" s="2"/>
      <c r="K536" s="2"/>
      <c r="L536" s="2"/>
      <c r="M536" s="2"/>
      <c r="N536" s="2"/>
      <c r="O536" s="2"/>
      <c r="P536" s="2"/>
      <c r="Q536" s="2"/>
      <c r="R536" s="9"/>
      <c r="S536" s="9"/>
      <c r="T536" s="9"/>
      <c r="U536" s="9"/>
      <c r="V536" s="9"/>
      <c r="W536" s="9"/>
      <c r="X536" s="9"/>
      <c r="Y536" s="9"/>
      <c r="Z536" s="9"/>
      <c r="AA536" s="9"/>
      <c r="AB536" s="9"/>
      <c r="AC536" s="9"/>
      <c r="AD536" s="9"/>
    </row>
    <row r="537" spans="1:30" ht="13.5" customHeight="1" x14ac:dyDescent="0.25">
      <c r="A537" s="2"/>
      <c r="B537" s="2"/>
      <c r="C537" s="2"/>
      <c r="D537" s="2"/>
      <c r="E537" s="2"/>
      <c r="F537" s="2"/>
      <c r="G537" s="2"/>
      <c r="H537" s="2"/>
      <c r="I537" s="2"/>
      <c r="J537" s="2"/>
      <c r="K537" s="2"/>
      <c r="L537" s="2"/>
      <c r="M537" s="2"/>
      <c r="N537" s="2"/>
      <c r="O537" s="2"/>
      <c r="P537" s="2"/>
      <c r="Q537" s="2"/>
      <c r="R537" s="9"/>
      <c r="S537" s="9"/>
      <c r="T537" s="9"/>
      <c r="U537" s="9"/>
      <c r="V537" s="9"/>
      <c r="W537" s="9"/>
      <c r="X537" s="9"/>
      <c r="Y537" s="9"/>
      <c r="Z537" s="9"/>
      <c r="AA537" s="9"/>
      <c r="AB537" s="9"/>
      <c r="AC537" s="9"/>
      <c r="AD537" s="9"/>
    </row>
    <row r="538" spans="1:30" ht="13.5" customHeight="1" x14ac:dyDescent="0.25">
      <c r="A538" s="2"/>
      <c r="B538" s="2"/>
      <c r="C538" s="2"/>
      <c r="D538" s="2"/>
      <c r="E538" s="2"/>
      <c r="F538" s="2"/>
      <c r="G538" s="2"/>
      <c r="H538" s="2"/>
      <c r="I538" s="2"/>
      <c r="J538" s="2"/>
      <c r="K538" s="2"/>
      <c r="L538" s="2"/>
      <c r="M538" s="2"/>
      <c r="N538" s="2"/>
      <c r="O538" s="2"/>
      <c r="P538" s="2"/>
      <c r="Q538" s="2"/>
      <c r="R538" s="9"/>
      <c r="S538" s="9"/>
      <c r="T538" s="9"/>
      <c r="U538" s="9"/>
      <c r="V538" s="9"/>
      <c r="W538" s="9"/>
      <c r="X538" s="9"/>
      <c r="Y538" s="9"/>
      <c r="Z538" s="9"/>
      <c r="AA538" s="9"/>
      <c r="AB538" s="9"/>
      <c r="AC538" s="9"/>
      <c r="AD538" s="9"/>
    </row>
    <row r="539" spans="1:30" ht="13.5" customHeight="1" x14ac:dyDescent="0.25">
      <c r="A539" s="2"/>
      <c r="B539" s="2"/>
      <c r="C539" s="2"/>
      <c r="D539" s="2"/>
      <c r="E539" s="2"/>
      <c r="F539" s="2"/>
      <c r="G539" s="2"/>
      <c r="H539" s="2"/>
      <c r="I539" s="2"/>
      <c r="J539" s="2"/>
      <c r="K539" s="2"/>
      <c r="L539" s="2"/>
      <c r="M539" s="2"/>
      <c r="N539" s="2"/>
      <c r="O539" s="2"/>
      <c r="P539" s="2"/>
      <c r="Q539" s="2"/>
      <c r="R539" s="9"/>
      <c r="S539" s="9"/>
      <c r="T539" s="9"/>
      <c r="U539" s="9"/>
      <c r="V539" s="9"/>
      <c r="W539" s="9"/>
      <c r="X539" s="9"/>
      <c r="Y539" s="9"/>
      <c r="Z539" s="9"/>
      <c r="AA539" s="9"/>
      <c r="AB539" s="9"/>
      <c r="AC539" s="9"/>
      <c r="AD539" s="9"/>
    </row>
    <row r="540" spans="1:30" ht="13.5" customHeight="1" x14ac:dyDescent="0.25">
      <c r="A540" s="2"/>
      <c r="B540" s="2"/>
      <c r="C540" s="2"/>
      <c r="D540" s="2"/>
      <c r="E540" s="2"/>
      <c r="F540" s="2"/>
      <c r="G540" s="2"/>
      <c r="H540" s="2"/>
      <c r="I540" s="2"/>
      <c r="J540" s="2"/>
      <c r="K540" s="2"/>
      <c r="L540" s="2"/>
      <c r="M540" s="2"/>
      <c r="N540" s="2"/>
      <c r="O540" s="2"/>
      <c r="P540" s="2"/>
      <c r="Q540" s="2"/>
      <c r="R540" s="9"/>
      <c r="S540" s="9"/>
      <c r="T540" s="9"/>
      <c r="U540" s="9"/>
      <c r="V540" s="9"/>
      <c r="W540" s="9"/>
      <c r="X540" s="9"/>
      <c r="Y540" s="9"/>
      <c r="Z540" s="9"/>
      <c r="AA540" s="9"/>
      <c r="AB540" s="9"/>
      <c r="AC540" s="9"/>
      <c r="AD540" s="9"/>
    </row>
    <row r="541" spans="1:30" ht="13.5" customHeight="1" x14ac:dyDescent="0.25">
      <c r="A541" s="2"/>
      <c r="B541" s="2"/>
      <c r="C541" s="2"/>
      <c r="D541" s="2"/>
      <c r="E541" s="2"/>
      <c r="F541" s="2"/>
      <c r="G541" s="2"/>
      <c r="H541" s="2"/>
      <c r="I541" s="2"/>
      <c r="J541" s="2"/>
      <c r="K541" s="2"/>
      <c r="L541" s="2"/>
      <c r="M541" s="2"/>
      <c r="N541" s="2"/>
      <c r="O541" s="2"/>
      <c r="P541" s="2"/>
      <c r="Q541" s="2"/>
      <c r="R541" s="9"/>
      <c r="S541" s="9"/>
      <c r="T541" s="9"/>
      <c r="U541" s="9"/>
      <c r="V541" s="9"/>
      <c r="W541" s="9"/>
      <c r="X541" s="9"/>
      <c r="Y541" s="9"/>
      <c r="Z541" s="9"/>
      <c r="AA541" s="9"/>
      <c r="AB541" s="9"/>
      <c r="AC541" s="9"/>
      <c r="AD541" s="9"/>
    </row>
    <row r="542" spans="1:30" ht="13.5" customHeight="1" x14ac:dyDescent="0.25">
      <c r="A542" s="2"/>
      <c r="B542" s="2"/>
      <c r="C542" s="2"/>
      <c r="D542" s="2"/>
      <c r="E542" s="2"/>
      <c r="F542" s="2"/>
      <c r="G542" s="2"/>
      <c r="H542" s="2"/>
      <c r="I542" s="2"/>
      <c r="J542" s="2"/>
      <c r="K542" s="2"/>
      <c r="L542" s="2"/>
      <c r="M542" s="2"/>
      <c r="N542" s="2"/>
      <c r="O542" s="2"/>
      <c r="P542" s="2"/>
      <c r="Q542" s="2"/>
      <c r="R542" s="9"/>
      <c r="S542" s="9"/>
      <c r="T542" s="9"/>
      <c r="U542" s="9"/>
      <c r="V542" s="9"/>
      <c r="W542" s="9"/>
      <c r="X542" s="9"/>
      <c r="Y542" s="9"/>
      <c r="Z542" s="9"/>
      <c r="AA542" s="9"/>
      <c r="AB542" s="9"/>
      <c r="AC542" s="9"/>
      <c r="AD542" s="9"/>
    </row>
    <row r="543" spans="1:30" ht="13.5" customHeight="1" x14ac:dyDescent="0.25">
      <c r="A543" s="2"/>
      <c r="B543" s="2"/>
      <c r="C543" s="2"/>
      <c r="D543" s="2"/>
      <c r="E543" s="2"/>
      <c r="F543" s="2"/>
      <c r="G543" s="2"/>
      <c r="H543" s="2"/>
      <c r="I543" s="2"/>
      <c r="J543" s="2"/>
      <c r="K543" s="2"/>
      <c r="L543" s="2"/>
      <c r="M543" s="2"/>
      <c r="N543" s="2"/>
      <c r="O543" s="2"/>
      <c r="P543" s="2"/>
      <c r="Q543" s="2"/>
      <c r="R543" s="9"/>
      <c r="S543" s="9"/>
      <c r="T543" s="9"/>
      <c r="U543" s="9"/>
      <c r="V543" s="9"/>
      <c r="W543" s="9"/>
      <c r="X543" s="9"/>
      <c r="Y543" s="9"/>
      <c r="Z543" s="9"/>
      <c r="AA543" s="9"/>
      <c r="AB543" s="9"/>
      <c r="AC543" s="9"/>
      <c r="AD543" s="9"/>
    </row>
    <row r="544" spans="1:30" ht="13.5" customHeight="1" x14ac:dyDescent="0.25">
      <c r="A544" s="2"/>
      <c r="B544" s="2"/>
      <c r="C544" s="2"/>
      <c r="D544" s="2"/>
      <c r="E544" s="2"/>
      <c r="F544" s="2"/>
      <c r="G544" s="2"/>
      <c r="H544" s="2"/>
      <c r="I544" s="2"/>
      <c r="J544" s="2"/>
      <c r="K544" s="2"/>
      <c r="L544" s="2"/>
      <c r="M544" s="2"/>
      <c r="N544" s="2"/>
      <c r="O544" s="2"/>
      <c r="P544" s="2"/>
      <c r="Q544" s="2"/>
      <c r="R544" s="9"/>
      <c r="S544" s="9"/>
      <c r="T544" s="9"/>
      <c r="U544" s="9"/>
      <c r="V544" s="9"/>
      <c r="W544" s="9"/>
      <c r="X544" s="9"/>
      <c r="Y544" s="9"/>
      <c r="Z544" s="9"/>
      <c r="AA544" s="9"/>
      <c r="AB544" s="9"/>
      <c r="AC544" s="9"/>
      <c r="AD544" s="9"/>
    </row>
    <row r="545" spans="1:30" ht="13.5" customHeight="1" x14ac:dyDescent="0.25">
      <c r="A545" s="2"/>
      <c r="B545" s="2"/>
      <c r="C545" s="2"/>
      <c r="D545" s="2"/>
      <c r="E545" s="2"/>
      <c r="F545" s="2"/>
      <c r="G545" s="2"/>
      <c r="H545" s="2"/>
      <c r="I545" s="2"/>
      <c r="J545" s="2"/>
      <c r="K545" s="2"/>
      <c r="L545" s="2"/>
      <c r="M545" s="2"/>
      <c r="N545" s="2"/>
      <c r="O545" s="2"/>
      <c r="P545" s="2"/>
      <c r="Q545" s="2"/>
      <c r="R545" s="9"/>
      <c r="S545" s="9"/>
      <c r="T545" s="9"/>
      <c r="U545" s="9"/>
      <c r="V545" s="9"/>
      <c r="W545" s="9"/>
      <c r="X545" s="9"/>
      <c r="Y545" s="9"/>
      <c r="Z545" s="9"/>
      <c r="AA545" s="9"/>
      <c r="AB545" s="9"/>
      <c r="AC545" s="9"/>
      <c r="AD545" s="9"/>
    </row>
    <row r="546" spans="1:30" ht="13.5" customHeight="1" x14ac:dyDescent="0.25">
      <c r="A546" s="2"/>
      <c r="B546" s="2"/>
      <c r="C546" s="2"/>
      <c r="D546" s="2"/>
      <c r="E546" s="2"/>
      <c r="F546" s="2"/>
      <c r="G546" s="2"/>
      <c r="H546" s="2"/>
      <c r="I546" s="2"/>
      <c r="J546" s="2"/>
      <c r="K546" s="2"/>
      <c r="L546" s="2"/>
      <c r="M546" s="2"/>
      <c r="N546" s="2"/>
      <c r="O546" s="2"/>
      <c r="P546" s="2"/>
      <c r="Q546" s="2"/>
      <c r="R546" s="9"/>
      <c r="S546" s="9"/>
      <c r="T546" s="9"/>
      <c r="U546" s="9"/>
      <c r="V546" s="9"/>
      <c r="W546" s="9"/>
      <c r="X546" s="9"/>
      <c r="Y546" s="9"/>
      <c r="Z546" s="9"/>
      <c r="AA546" s="9"/>
      <c r="AB546" s="9"/>
      <c r="AC546" s="9"/>
      <c r="AD546" s="9"/>
    </row>
    <row r="547" spans="1:30" ht="13.5" customHeight="1" x14ac:dyDescent="0.25">
      <c r="A547" s="2"/>
      <c r="B547" s="2"/>
      <c r="C547" s="2"/>
      <c r="D547" s="2"/>
      <c r="E547" s="2"/>
      <c r="F547" s="2"/>
      <c r="G547" s="2"/>
      <c r="H547" s="2"/>
      <c r="I547" s="2"/>
      <c r="J547" s="2"/>
      <c r="K547" s="2"/>
      <c r="L547" s="2"/>
      <c r="M547" s="2"/>
      <c r="N547" s="2"/>
      <c r="O547" s="2"/>
      <c r="P547" s="2"/>
      <c r="Q547" s="2"/>
      <c r="R547" s="9"/>
      <c r="S547" s="9"/>
      <c r="T547" s="9"/>
      <c r="U547" s="9"/>
      <c r="V547" s="9"/>
      <c r="W547" s="9"/>
      <c r="X547" s="9"/>
      <c r="Y547" s="9"/>
      <c r="Z547" s="9"/>
      <c r="AA547" s="9"/>
      <c r="AB547" s="9"/>
      <c r="AC547" s="9"/>
      <c r="AD547" s="9"/>
    </row>
    <row r="548" spans="1:30" ht="13.5" customHeight="1" x14ac:dyDescent="0.25">
      <c r="A548" s="2"/>
      <c r="B548" s="2"/>
      <c r="C548" s="2"/>
      <c r="D548" s="2"/>
      <c r="E548" s="2"/>
      <c r="F548" s="2"/>
      <c r="G548" s="2"/>
      <c r="H548" s="2"/>
      <c r="I548" s="2"/>
      <c r="J548" s="2"/>
      <c r="K548" s="2"/>
      <c r="L548" s="2"/>
      <c r="M548" s="2"/>
      <c r="N548" s="2"/>
      <c r="O548" s="2"/>
      <c r="P548" s="2"/>
      <c r="Q548" s="2"/>
      <c r="R548" s="9"/>
      <c r="S548" s="9"/>
      <c r="T548" s="9"/>
      <c r="U548" s="9"/>
      <c r="V548" s="9"/>
      <c r="W548" s="9"/>
      <c r="X548" s="9"/>
      <c r="Y548" s="9"/>
      <c r="Z548" s="9"/>
      <c r="AA548" s="9"/>
      <c r="AB548" s="9"/>
      <c r="AC548" s="9"/>
      <c r="AD548" s="9"/>
    </row>
    <row r="549" spans="1:30" ht="13.5" customHeight="1" x14ac:dyDescent="0.25">
      <c r="A549" s="2"/>
      <c r="B549" s="2"/>
      <c r="C549" s="2"/>
      <c r="D549" s="2"/>
      <c r="E549" s="2"/>
      <c r="F549" s="2"/>
      <c r="G549" s="2"/>
      <c r="H549" s="2"/>
      <c r="I549" s="2"/>
      <c r="J549" s="2"/>
      <c r="K549" s="2"/>
      <c r="L549" s="2"/>
      <c r="M549" s="2"/>
      <c r="N549" s="2"/>
      <c r="O549" s="2"/>
      <c r="P549" s="2"/>
      <c r="Q549" s="2"/>
      <c r="R549" s="9"/>
      <c r="S549" s="9"/>
      <c r="T549" s="9"/>
      <c r="U549" s="9"/>
      <c r="V549" s="9"/>
      <c r="W549" s="9"/>
      <c r="X549" s="9"/>
      <c r="Y549" s="9"/>
      <c r="Z549" s="9"/>
      <c r="AA549" s="9"/>
      <c r="AB549" s="9"/>
      <c r="AC549" s="9"/>
      <c r="AD549" s="9"/>
    </row>
    <row r="550" spans="1:30" ht="13.5" customHeight="1" x14ac:dyDescent="0.25">
      <c r="A550" s="2"/>
      <c r="B550" s="2"/>
      <c r="C550" s="2"/>
      <c r="D550" s="2"/>
      <c r="E550" s="2"/>
      <c r="F550" s="2"/>
      <c r="G550" s="2"/>
      <c r="H550" s="2"/>
      <c r="I550" s="2"/>
      <c r="J550" s="2"/>
      <c r="K550" s="2"/>
      <c r="L550" s="2"/>
      <c r="M550" s="2"/>
      <c r="N550" s="2"/>
      <c r="O550" s="2"/>
      <c r="P550" s="2"/>
      <c r="Q550" s="2"/>
      <c r="R550" s="9"/>
      <c r="S550" s="9"/>
      <c r="T550" s="9"/>
      <c r="U550" s="9"/>
      <c r="V550" s="9"/>
      <c r="W550" s="9"/>
      <c r="X550" s="9"/>
      <c r="Y550" s="9"/>
      <c r="Z550" s="9"/>
      <c r="AA550" s="9"/>
      <c r="AB550" s="9"/>
      <c r="AC550" s="9"/>
      <c r="AD550" s="9"/>
    </row>
    <row r="551" spans="1:30" ht="13.5" customHeight="1" x14ac:dyDescent="0.25">
      <c r="A551" s="2"/>
      <c r="B551" s="2"/>
      <c r="C551" s="2"/>
      <c r="D551" s="2"/>
      <c r="E551" s="2"/>
      <c r="F551" s="2"/>
      <c r="G551" s="2"/>
      <c r="H551" s="2"/>
      <c r="I551" s="2"/>
      <c r="J551" s="2"/>
      <c r="K551" s="2"/>
      <c r="L551" s="2"/>
      <c r="M551" s="2"/>
      <c r="N551" s="2"/>
      <c r="O551" s="2"/>
      <c r="P551" s="2"/>
      <c r="Q551" s="2"/>
      <c r="R551" s="9"/>
      <c r="S551" s="9"/>
      <c r="T551" s="9"/>
      <c r="U551" s="9"/>
      <c r="V551" s="9"/>
      <c r="W551" s="9"/>
      <c r="X551" s="9"/>
      <c r="Y551" s="9"/>
      <c r="Z551" s="9"/>
      <c r="AA551" s="9"/>
      <c r="AB551" s="9"/>
      <c r="AC551" s="9"/>
      <c r="AD551" s="9"/>
    </row>
    <row r="552" spans="1:30" ht="13.5" customHeight="1" x14ac:dyDescent="0.25">
      <c r="A552" s="2"/>
      <c r="B552" s="2"/>
      <c r="C552" s="2"/>
      <c r="D552" s="2"/>
      <c r="E552" s="2"/>
      <c r="F552" s="2"/>
      <c r="G552" s="2"/>
      <c r="H552" s="2"/>
      <c r="I552" s="2"/>
      <c r="J552" s="2"/>
      <c r="K552" s="2"/>
      <c r="L552" s="2"/>
      <c r="M552" s="2"/>
      <c r="N552" s="2"/>
      <c r="O552" s="2"/>
      <c r="P552" s="2"/>
      <c r="Q552" s="2"/>
      <c r="R552" s="9"/>
      <c r="S552" s="9"/>
      <c r="T552" s="9"/>
      <c r="U552" s="9"/>
      <c r="V552" s="9"/>
      <c r="W552" s="9"/>
      <c r="X552" s="9"/>
      <c r="Y552" s="9"/>
      <c r="Z552" s="9"/>
      <c r="AA552" s="9"/>
      <c r="AB552" s="9"/>
      <c r="AC552" s="9"/>
      <c r="AD552" s="9"/>
    </row>
    <row r="553" spans="1:30" ht="13.5" customHeight="1" x14ac:dyDescent="0.25">
      <c r="A553" s="2"/>
      <c r="B553" s="2"/>
      <c r="C553" s="2"/>
      <c r="D553" s="2"/>
      <c r="E553" s="2"/>
      <c r="F553" s="2"/>
      <c r="G553" s="2"/>
      <c r="H553" s="2"/>
      <c r="I553" s="2"/>
      <c r="J553" s="2"/>
      <c r="K553" s="2"/>
      <c r="L553" s="2"/>
      <c r="M553" s="2"/>
      <c r="N553" s="2"/>
      <c r="O553" s="2"/>
      <c r="P553" s="2"/>
      <c r="Q553" s="2"/>
      <c r="R553" s="9"/>
      <c r="S553" s="9"/>
      <c r="T553" s="9"/>
      <c r="U553" s="9"/>
      <c r="V553" s="9"/>
      <c r="W553" s="9"/>
      <c r="X553" s="9"/>
      <c r="Y553" s="9"/>
      <c r="Z553" s="9"/>
      <c r="AA553" s="9"/>
      <c r="AB553" s="9"/>
      <c r="AC553" s="9"/>
      <c r="AD553" s="9"/>
    </row>
    <row r="554" spans="1:30" ht="13.5" customHeight="1" x14ac:dyDescent="0.25">
      <c r="A554" s="2"/>
      <c r="B554" s="2"/>
      <c r="C554" s="2"/>
      <c r="D554" s="2"/>
      <c r="E554" s="2"/>
      <c r="F554" s="2"/>
      <c r="G554" s="2"/>
      <c r="H554" s="2"/>
      <c r="I554" s="2"/>
      <c r="J554" s="2"/>
      <c r="K554" s="2"/>
      <c r="L554" s="2"/>
      <c r="M554" s="2"/>
      <c r="N554" s="2"/>
      <c r="O554" s="2"/>
      <c r="P554" s="2"/>
      <c r="Q554" s="2"/>
      <c r="R554" s="9"/>
      <c r="S554" s="9"/>
      <c r="T554" s="9"/>
      <c r="U554" s="9"/>
      <c r="V554" s="9"/>
      <c r="W554" s="9"/>
      <c r="X554" s="9"/>
      <c r="Y554" s="9"/>
      <c r="Z554" s="9"/>
      <c r="AA554" s="9"/>
      <c r="AB554" s="9"/>
      <c r="AC554" s="9"/>
      <c r="AD554" s="9"/>
    </row>
    <row r="555" spans="1:30" ht="13.5" customHeight="1" x14ac:dyDescent="0.25">
      <c r="A555" s="2"/>
      <c r="B555" s="2"/>
      <c r="C555" s="2"/>
      <c r="D555" s="2"/>
      <c r="E555" s="2"/>
      <c r="F555" s="2"/>
      <c r="G555" s="2"/>
      <c r="H555" s="2"/>
      <c r="I555" s="2"/>
      <c r="J555" s="2"/>
      <c r="K555" s="2"/>
      <c r="L555" s="2"/>
      <c r="M555" s="2"/>
      <c r="N555" s="2"/>
      <c r="O555" s="2"/>
      <c r="P555" s="2"/>
      <c r="Q555" s="2"/>
      <c r="R555" s="9"/>
      <c r="S555" s="9"/>
      <c r="T555" s="9"/>
      <c r="U555" s="9"/>
      <c r="V555" s="9"/>
      <c r="W555" s="9"/>
      <c r="X555" s="9"/>
      <c r="Y555" s="9"/>
      <c r="Z555" s="9"/>
      <c r="AA555" s="9"/>
      <c r="AB555" s="9"/>
      <c r="AC555" s="9"/>
      <c r="AD555" s="9"/>
    </row>
    <row r="556" spans="1:30" ht="13.5" customHeight="1" x14ac:dyDescent="0.25">
      <c r="A556" s="2"/>
      <c r="B556" s="2"/>
      <c r="C556" s="2"/>
      <c r="D556" s="2"/>
      <c r="E556" s="2"/>
      <c r="F556" s="2"/>
      <c r="G556" s="2"/>
      <c r="H556" s="2"/>
      <c r="I556" s="2"/>
      <c r="J556" s="2"/>
      <c r="K556" s="2"/>
      <c r="L556" s="2"/>
      <c r="M556" s="2"/>
      <c r="N556" s="2"/>
      <c r="O556" s="2"/>
      <c r="P556" s="2"/>
      <c r="Q556" s="2"/>
      <c r="R556" s="9"/>
      <c r="S556" s="9"/>
      <c r="T556" s="9"/>
      <c r="U556" s="9"/>
      <c r="V556" s="9"/>
      <c r="W556" s="9"/>
      <c r="X556" s="9"/>
      <c r="Y556" s="9"/>
      <c r="Z556" s="9"/>
      <c r="AA556" s="9"/>
      <c r="AB556" s="9"/>
      <c r="AC556" s="9"/>
      <c r="AD556" s="9"/>
    </row>
    <row r="557" spans="1:30" ht="13.5" customHeight="1" x14ac:dyDescent="0.25">
      <c r="A557" s="2"/>
      <c r="B557" s="2"/>
      <c r="C557" s="2"/>
      <c r="D557" s="2"/>
      <c r="E557" s="2"/>
      <c r="F557" s="2"/>
      <c r="G557" s="2"/>
      <c r="H557" s="2"/>
      <c r="I557" s="2"/>
      <c r="J557" s="2"/>
      <c r="K557" s="2"/>
      <c r="L557" s="2"/>
      <c r="M557" s="2"/>
      <c r="N557" s="2"/>
      <c r="O557" s="2"/>
      <c r="P557" s="2"/>
      <c r="Q557" s="2"/>
      <c r="R557" s="9"/>
      <c r="S557" s="9"/>
      <c r="T557" s="9"/>
      <c r="U557" s="9"/>
      <c r="V557" s="9"/>
      <c r="W557" s="9"/>
      <c r="X557" s="9"/>
      <c r="Y557" s="9"/>
      <c r="Z557" s="9"/>
      <c r="AA557" s="9"/>
      <c r="AB557" s="9"/>
      <c r="AC557" s="9"/>
      <c r="AD557" s="9"/>
    </row>
    <row r="558" spans="1:30" ht="13.5" customHeight="1" x14ac:dyDescent="0.25">
      <c r="A558" s="2"/>
      <c r="B558" s="2"/>
      <c r="C558" s="2"/>
      <c r="D558" s="2"/>
      <c r="E558" s="2"/>
      <c r="F558" s="2"/>
      <c r="G558" s="2"/>
      <c r="H558" s="2"/>
      <c r="I558" s="2"/>
      <c r="J558" s="2"/>
      <c r="K558" s="2"/>
      <c r="L558" s="2"/>
      <c r="M558" s="2"/>
      <c r="N558" s="2"/>
      <c r="O558" s="2"/>
      <c r="P558" s="2"/>
      <c r="Q558" s="2"/>
      <c r="R558" s="9"/>
      <c r="S558" s="9"/>
      <c r="T558" s="9"/>
      <c r="U558" s="9"/>
      <c r="V558" s="9"/>
      <c r="W558" s="9"/>
      <c r="X558" s="9"/>
      <c r="Y558" s="9"/>
      <c r="Z558" s="9"/>
      <c r="AA558" s="9"/>
      <c r="AB558" s="9"/>
      <c r="AC558" s="9"/>
      <c r="AD558" s="9"/>
    </row>
    <row r="559" spans="1:30" ht="13.5" customHeight="1" x14ac:dyDescent="0.25">
      <c r="A559" s="2"/>
      <c r="B559" s="2"/>
      <c r="C559" s="2"/>
      <c r="D559" s="2"/>
      <c r="E559" s="2"/>
      <c r="F559" s="2"/>
      <c r="G559" s="2"/>
      <c r="H559" s="2"/>
      <c r="I559" s="2"/>
      <c r="J559" s="2"/>
      <c r="K559" s="2"/>
      <c r="L559" s="2"/>
      <c r="M559" s="2"/>
      <c r="N559" s="2"/>
      <c r="O559" s="2"/>
      <c r="P559" s="2"/>
      <c r="Q559" s="2"/>
      <c r="R559" s="9"/>
      <c r="S559" s="9"/>
      <c r="T559" s="9"/>
      <c r="U559" s="9"/>
      <c r="V559" s="9"/>
      <c r="W559" s="9"/>
      <c r="X559" s="9"/>
      <c r="Y559" s="9"/>
      <c r="Z559" s="9"/>
      <c r="AA559" s="9"/>
      <c r="AB559" s="9"/>
      <c r="AC559" s="9"/>
      <c r="AD559" s="9"/>
    </row>
    <row r="560" spans="1:30" ht="13.5" customHeight="1" x14ac:dyDescent="0.25">
      <c r="A560" s="2"/>
      <c r="B560" s="2"/>
      <c r="C560" s="2"/>
      <c r="D560" s="2"/>
      <c r="E560" s="2"/>
      <c r="F560" s="2"/>
      <c r="G560" s="2"/>
      <c r="H560" s="2"/>
      <c r="I560" s="2"/>
      <c r="J560" s="2"/>
      <c r="K560" s="2"/>
      <c r="L560" s="2"/>
      <c r="M560" s="2"/>
      <c r="N560" s="2"/>
      <c r="O560" s="2"/>
      <c r="P560" s="2"/>
      <c r="Q560" s="2"/>
      <c r="R560" s="9"/>
      <c r="S560" s="9"/>
      <c r="T560" s="9"/>
      <c r="U560" s="9"/>
      <c r="V560" s="9"/>
      <c r="W560" s="9"/>
      <c r="X560" s="9"/>
      <c r="Y560" s="9"/>
      <c r="Z560" s="9"/>
      <c r="AA560" s="9"/>
      <c r="AB560" s="9"/>
      <c r="AC560" s="9"/>
      <c r="AD560" s="9"/>
    </row>
    <row r="561" spans="1:30" ht="13.5" customHeight="1" x14ac:dyDescent="0.25">
      <c r="A561" s="2"/>
      <c r="B561" s="2"/>
      <c r="C561" s="2"/>
      <c r="D561" s="2"/>
      <c r="E561" s="2"/>
      <c r="F561" s="2"/>
      <c r="G561" s="2"/>
      <c r="H561" s="2"/>
      <c r="I561" s="2"/>
      <c r="J561" s="2"/>
      <c r="K561" s="2"/>
      <c r="L561" s="2"/>
      <c r="M561" s="2"/>
      <c r="N561" s="2"/>
      <c r="O561" s="2"/>
      <c r="P561" s="2"/>
      <c r="Q561" s="2"/>
      <c r="R561" s="9"/>
      <c r="S561" s="9"/>
      <c r="T561" s="9"/>
      <c r="U561" s="9"/>
      <c r="V561" s="9"/>
      <c r="W561" s="9"/>
      <c r="X561" s="9"/>
      <c r="Y561" s="9"/>
      <c r="Z561" s="9"/>
      <c r="AA561" s="9"/>
      <c r="AB561" s="9"/>
      <c r="AC561" s="9"/>
      <c r="AD561" s="9"/>
    </row>
    <row r="562" spans="1:30" ht="13.5" customHeight="1" x14ac:dyDescent="0.25">
      <c r="A562" s="2"/>
      <c r="B562" s="2"/>
      <c r="C562" s="2"/>
      <c r="D562" s="2"/>
      <c r="E562" s="2"/>
      <c r="F562" s="2"/>
      <c r="G562" s="2"/>
      <c r="H562" s="2"/>
      <c r="I562" s="2"/>
      <c r="J562" s="2"/>
      <c r="K562" s="2"/>
      <c r="L562" s="2"/>
      <c r="M562" s="2"/>
      <c r="N562" s="2"/>
      <c r="O562" s="2"/>
      <c r="P562" s="2"/>
      <c r="Q562" s="2"/>
      <c r="R562" s="9"/>
      <c r="S562" s="9"/>
      <c r="T562" s="9"/>
      <c r="U562" s="9"/>
      <c r="V562" s="9"/>
      <c r="W562" s="9"/>
      <c r="X562" s="9"/>
      <c r="Y562" s="9"/>
      <c r="Z562" s="9"/>
      <c r="AA562" s="9"/>
      <c r="AB562" s="9"/>
      <c r="AC562" s="9"/>
      <c r="AD562" s="9"/>
    </row>
    <row r="563" spans="1:30" ht="13.5" customHeight="1" x14ac:dyDescent="0.25">
      <c r="A563" s="2"/>
      <c r="B563" s="2"/>
      <c r="C563" s="2"/>
      <c r="D563" s="2"/>
      <c r="E563" s="2"/>
      <c r="F563" s="2"/>
      <c r="G563" s="2"/>
      <c r="H563" s="2"/>
      <c r="I563" s="2"/>
      <c r="J563" s="2"/>
      <c r="K563" s="2"/>
      <c r="L563" s="2"/>
      <c r="M563" s="2"/>
      <c r="N563" s="2"/>
      <c r="O563" s="2"/>
      <c r="P563" s="2"/>
      <c r="Q563" s="2"/>
      <c r="R563" s="9"/>
      <c r="S563" s="9"/>
      <c r="T563" s="9"/>
      <c r="U563" s="9"/>
      <c r="V563" s="9"/>
      <c r="W563" s="9"/>
      <c r="X563" s="9"/>
      <c r="Y563" s="9"/>
      <c r="Z563" s="9"/>
      <c r="AA563" s="9"/>
      <c r="AB563" s="9"/>
      <c r="AC563" s="9"/>
      <c r="AD563" s="9"/>
    </row>
    <row r="564" spans="1:30" ht="13.5" customHeight="1" x14ac:dyDescent="0.25">
      <c r="A564" s="2"/>
      <c r="B564" s="2"/>
      <c r="C564" s="2"/>
      <c r="D564" s="2"/>
      <c r="E564" s="2"/>
      <c r="F564" s="2"/>
      <c r="G564" s="2"/>
      <c r="H564" s="2"/>
      <c r="I564" s="2"/>
      <c r="J564" s="2"/>
      <c r="K564" s="2"/>
      <c r="L564" s="2"/>
      <c r="M564" s="2"/>
      <c r="N564" s="2"/>
      <c r="O564" s="2"/>
      <c r="P564" s="2"/>
      <c r="Q564" s="2"/>
      <c r="R564" s="9"/>
      <c r="S564" s="9"/>
      <c r="T564" s="9"/>
      <c r="U564" s="9"/>
      <c r="V564" s="9"/>
      <c r="W564" s="9"/>
      <c r="X564" s="9"/>
      <c r="Y564" s="9"/>
      <c r="Z564" s="9"/>
      <c r="AA564" s="9"/>
      <c r="AB564" s="9"/>
      <c r="AC564" s="9"/>
      <c r="AD564" s="9"/>
    </row>
    <row r="565" spans="1:30" ht="13.5" customHeight="1" x14ac:dyDescent="0.25">
      <c r="A565" s="2"/>
      <c r="B565" s="2"/>
      <c r="C565" s="2"/>
      <c r="D565" s="2"/>
      <c r="E565" s="2"/>
      <c r="F565" s="2"/>
      <c r="G565" s="2"/>
      <c r="H565" s="2"/>
      <c r="I565" s="2"/>
      <c r="J565" s="2"/>
      <c r="K565" s="2"/>
      <c r="L565" s="2"/>
      <c r="M565" s="2"/>
      <c r="N565" s="2"/>
      <c r="O565" s="2"/>
      <c r="P565" s="2"/>
      <c r="Q565" s="2"/>
      <c r="R565" s="9"/>
      <c r="S565" s="9"/>
      <c r="T565" s="9"/>
      <c r="U565" s="9"/>
      <c r="V565" s="9"/>
      <c r="W565" s="9"/>
      <c r="X565" s="9"/>
      <c r="Y565" s="9"/>
      <c r="Z565" s="9"/>
      <c r="AA565" s="9"/>
      <c r="AB565" s="9"/>
      <c r="AC565" s="9"/>
      <c r="AD565" s="9"/>
    </row>
    <row r="566" spans="1:30" ht="13.5" customHeight="1" x14ac:dyDescent="0.25">
      <c r="A566" s="2"/>
      <c r="B566" s="2"/>
      <c r="C566" s="2"/>
      <c r="D566" s="2"/>
      <c r="E566" s="2"/>
      <c r="F566" s="2"/>
      <c r="G566" s="2"/>
      <c r="H566" s="2"/>
      <c r="I566" s="2"/>
      <c r="J566" s="2"/>
      <c r="K566" s="2"/>
      <c r="L566" s="2"/>
      <c r="M566" s="2"/>
      <c r="N566" s="2"/>
      <c r="O566" s="2"/>
      <c r="P566" s="2"/>
      <c r="Q566" s="2"/>
      <c r="R566" s="9"/>
      <c r="S566" s="9"/>
      <c r="T566" s="9"/>
      <c r="U566" s="9"/>
      <c r="V566" s="9"/>
      <c r="W566" s="9"/>
      <c r="X566" s="9"/>
      <c r="Y566" s="9"/>
      <c r="Z566" s="9"/>
      <c r="AA566" s="9"/>
      <c r="AB566" s="9"/>
      <c r="AC566" s="9"/>
      <c r="AD566" s="9"/>
    </row>
    <row r="567" spans="1:30" ht="13.5" customHeight="1" x14ac:dyDescent="0.25">
      <c r="A567" s="2"/>
      <c r="B567" s="2"/>
      <c r="C567" s="2"/>
      <c r="D567" s="2"/>
      <c r="E567" s="2"/>
      <c r="F567" s="2"/>
      <c r="G567" s="2"/>
      <c r="H567" s="2"/>
      <c r="I567" s="2"/>
      <c r="J567" s="2"/>
      <c r="K567" s="2"/>
      <c r="L567" s="2"/>
      <c r="M567" s="2"/>
      <c r="N567" s="2"/>
      <c r="O567" s="2"/>
      <c r="P567" s="2"/>
      <c r="Q567" s="2"/>
      <c r="R567" s="9"/>
      <c r="S567" s="9"/>
      <c r="T567" s="9"/>
      <c r="U567" s="9"/>
      <c r="V567" s="9"/>
      <c r="W567" s="9"/>
      <c r="X567" s="9"/>
      <c r="Y567" s="9"/>
      <c r="Z567" s="9"/>
      <c r="AA567" s="9"/>
      <c r="AB567" s="9"/>
      <c r="AC567" s="9"/>
      <c r="AD567" s="9"/>
    </row>
    <row r="568" spans="1:30" ht="13.5" customHeight="1" x14ac:dyDescent="0.25">
      <c r="A568" s="2"/>
      <c r="B568" s="2"/>
      <c r="C568" s="2"/>
      <c r="D568" s="2"/>
      <c r="E568" s="2"/>
      <c r="F568" s="2"/>
      <c r="G568" s="2"/>
      <c r="H568" s="2"/>
      <c r="I568" s="2"/>
      <c r="J568" s="2"/>
      <c r="K568" s="2"/>
      <c r="L568" s="2"/>
      <c r="M568" s="2"/>
      <c r="N568" s="2"/>
      <c r="O568" s="2"/>
      <c r="P568" s="2"/>
      <c r="Q568" s="2"/>
      <c r="R568" s="9"/>
      <c r="S568" s="9"/>
      <c r="T568" s="9"/>
      <c r="U568" s="9"/>
      <c r="V568" s="9"/>
      <c r="W568" s="9"/>
      <c r="X568" s="9"/>
      <c r="Y568" s="9"/>
      <c r="Z568" s="9"/>
      <c r="AA568" s="9"/>
      <c r="AB568" s="9"/>
      <c r="AC568" s="9"/>
      <c r="AD568" s="9"/>
    </row>
    <row r="569" spans="1:30" ht="13.5" customHeight="1" x14ac:dyDescent="0.25">
      <c r="A569" s="2"/>
      <c r="B569" s="2"/>
      <c r="C569" s="2"/>
      <c r="D569" s="2"/>
      <c r="E569" s="2"/>
      <c r="F569" s="2"/>
      <c r="G569" s="2"/>
      <c r="H569" s="2"/>
      <c r="I569" s="2"/>
      <c r="J569" s="2"/>
      <c r="K569" s="2"/>
      <c r="L569" s="2"/>
      <c r="M569" s="2"/>
      <c r="N569" s="2"/>
      <c r="O569" s="2"/>
      <c r="P569" s="2"/>
      <c r="Q569" s="2"/>
      <c r="R569" s="9"/>
      <c r="S569" s="9"/>
      <c r="T569" s="9"/>
      <c r="U569" s="9"/>
      <c r="V569" s="9"/>
      <c r="W569" s="9"/>
      <c r="X569" s="9"/>
      <c r="Y569" s="9"/>
      <c r="Z569" s="9"/>
      <c r="AA569" s="9"/>
      <c r="AB569" s="9"/>
      <c r="AC569" s="9"/>
      <c r="AD569" s="9"/>
    </row>
    <row r="570" spans="1:30" ht="13.5" customHeight="1" x14ac:dyDescent="0.25">
      <c r="A570" s="2"/>
      <c r="B570" s="2"/>
      <c r="C570" s="2"/>
      <c r="D570" s="2"/>
      <c r="E570" s="2"/>
      <c r="F570" s="2"/>
      <c r="G570" s="2"/>
      <c r="H570" s="2"/>
      <c r="I570" s="2"/>
      <c r="J570" s="2"/>
      <c r="K570" s="2"/>
      <c r="L570" s="2"/>
      <c r="M570" s="2"/>
      <c r="N570" s="2"/>
      <c r="O570" s="2"/>
      <c r="P570" s="2"/>
      <c r="Q570" s="2"/>
      <c r="R570" s="9"/>
      <c r="S570" s="9"/>
      <c r="T570" s="9"/>
      <c r="U570" s="9"/>
      <c r="V570" s="9"/>
      <c r="W570" s="9"/>
      <c r="X570" s="9"/>
      <c r="Y570" s="9"/>
      <c r="Z570" s="9"/>
      <c r="AA570" s="9"/>
      <c r="AB570" s="9"/>
      <c r="AC570" s="9"/>
      <c r="AD570" s="9"/>
    </row>
    <row r="571" spans="1:30" ht="13.5" customHeight="1" x14ac:dyDescent="0.25">
      <c r="A571" s="2"/>
      <c r="B571" s="2"/>
      <c r="C571" s="2"/>
      <c r="D571" s="2"/>
      <c r="E571" s="2"/>
      <c r="F571" s="2"/>
      <c r="G571" s="2"/>
      <c r="H571" s="2"/>
      <c r="I571" s="2"/>
      <c r="J571" s="2"/>
      <c r="K571" s="2"/>
      <c r="L571" s="2"/>
      <c r="M571" s="2"/>
      <c r="N571" s="2"/>
      <c r="O571" s="2"/>
      <c r="P571" s="2"/>
      <c r="Q571" s="2"/>
      <c r="R571" s="9"/>
      <c r="S571" s="9"/>
      <c r="T571" s="9"/>
      <c r="U571" s="9"/>
      <c r="V571" s="9"/>
      <c r="W571" s="9"/>
      <c r="X571" s="9"/>
      <c r="Y571" s="9"/>
      <c r="Z571" s="9"/>
      <c r="AA571" s="9"/>
      <c r="AB571" s="9"/>
      <c r="AC571" s="9"/>
      <c r="AD571" s="9"/>
    </row>
    <row r="572" spans="1:30" ht="13.5" customHeight="1" x14ac:dyDescent="0.25">
      <c r="A572" s="2"/>
      <c r="B572" s="2"/>
      <c r="C572" s="2"/>
      <c r="D572" s="2"/>
      <c r="E572" s="2"/>
      <c r="F572" s="2"/>
      <c r="G572" s="2"/>
      <c r="H572" s="2"/>
      <c r="I572" s="2"/>
      <c r="J572" s="2"/>
      <c r="K572" s="2"/>
      <c r="L572" s="2"/>
      <c r="M572" s="2"/>
      <c r="N572" s="2"/>
      <c r="O572" s="2"/>
      <c r="P572" s="2"/>
      <c r="Q572" s="2"/>
      <c r="R572" s="9"/>
      <c r="S572" s="9"/>
      <c r="T572" s="9"/>
      <c r="U572" s="9"/>
      <c r="V572" s="9"/>
      <c r="W572" s="9"/>
      <c r="X572" s="9"/>
      <c r="Y572" s="9"/>
      <c r="Z572" s="9"/>
      <c r="AA572" s="9"/>
      <c r="AB572" s="9"/>
      <c r="AC572" s="9"/>
      <c r="AD572" s="9"/>
    </row>
    <row r="573" spans="1:30" ht="13.5" customHeight="1" x14ac:dyDescent="0.25">
      <c r="A573" s="2"/>
      <c r="B573" s="2"/>
      <c r="C573" s="2"/>
      <c r="D573" s="2"/>
      <c r="E573" s="2"/>
      <c r="F573" s="2"/>
      <c r="G573" s="2"/>
      <c r="H573" s="2"/>
      <c r="I573" s="2"/>
      <c r="J573" s="2"/>
      <c r="K573" s="2"/>
      <c r="L573" s="2"/>
      <c r="M573" s="2"/>
      <c r="N573" s="2"/>
      <c r="O573" s="2"/>
      <c r="P573" s="2"/>
      <c r="Q573" s="2"/>
      <c r="R573" s="9"/>
      <c r="S573" s="9"/>
      <c r="T573" s="9"/>
      <c r="U573" s="9"/>
      <c r="V573" s="9"/>
      <c r="W573" s="9"/>
      <c r="X573" s="9"/>
      <c r="Y573" s="9"/>
      <c r="Z573" s="9"/>
      <c r="AA573" s="9"/>
      <c r="AB573" s="9"/>
      <c r="AC573" s="9"/>
      <c r="AD573" s="9"/>
    </row>
    <row r="574" spans="1:30" ht="13.5" customHeight="1" x14ac:dyDescent="0.25">
      <c r="A574" s="2"/>
      <c r="B574" s="2"/>
      <c r="C574" s="2"/>
      <c r="D574" s="2"/>
      <c r="E574" s="2"/>
      <c r="F574" s="2"/>
      <c r="G574" s="2"/>
      <c r="H574" s="2"/>
      <c r="I574" s="2"/>
      <c r="J574" s="2"/>
      <c r="K574" s="2"/>
      <c r="L574" s="2"/>
      <c r="M574" s="2"/>
      <c r="N574" s="2"/>
      <c r="O574" s="2"/>
      <c r="P574" s="2"/>
      <c r="Q574" s="2"/>
      <c r="R574" s="9"/>
      <c r="S574" s="9"/>
      <c r="T574" s="9"/>
      <c r="U574" s="9"/>
      <c r="V574" s="9"/>
      <c r="W574" s="9"/>
      <c r="X574" s="9"/>
      <c r="Y574" s="9"/>
      <c r="Z574" s="9"/>
      <c r="AA574" s="9"/>
      <c r="AB574" s="9"/>
      <c r="AC574" s="9"/>
      <c r="AD574" s="9"/>
    </row>
    <row r="575" spans="1:30" ht="13.5" customHeight="1" x14ac:dyDescent="0.25">
      <c r="A575" s="2"/>
      <c r="B575" s="2"/>
      <c r="C575" s="2"/>
      <c r="D575" s="2"/>
      <c r="E575" s="2"/>
      <c r="F575" s="2"/>
      <c r="G575" s="2"/>
      <c r="H575" s="2"/>
      <c r="I575" s="2"/>
      <c r="J575" s="2"/>
      <c r="K575" s="2"/>
      <c r="L575" s="2"/>
      <c r="M575" s="2"/>
      <c r="N575" s="2"/>
      <c r="O575" s="2"/>
      <c r="P575" s="2"/>
      <c r="Q575" s="2"/>
      <c r="R575" s="9"/>
      <c r="S575" s="9"/>
      <c r="T575" s="9"/>
      <c r="U575" s="9"/>
      <c r="V575" s="9"/>
      <c r="W575" s="9"/>
      <c r="X575" s="9"/>
      <c r="Y575" s="9"/>
      <c r="Z575" s="9"/>
      <c r="AA575" s="9"/>
      <c r="AB575" s="9"/>
      <c r="AC575" s="9"/>
      <c r="AD575" s="9"/>
    </row>
    <row r="576" spans="1:30" ht="13.5" customHeight="1" x14ac:dyDescent="0.25">
      <c r="A576" s="2"/>
      <c r="B576" s="2"/>
      <c r="C576" s="2"/>
      <c r="D576" s="2"/>
      <c r="E576" s="2"/>
      <c r="F576" s="2"/>
      <c r="G576" s="2"/>
      <c r="H576" s="2"/>
      <c r="I576" s="2"/>
      <c r="J576" s="2"/>
      <c r="K576" s="2"/>
      <c r="L576" s="2"/>
      <c r="M576" s="2"/>
      <c r="N576" s="2"/>
      <c r="O576" s="2"/>
      <c r="P576" s="2"/>
      <c r="Q576" s="2"/>
      <c r="R576" s="9"/>
      <c r="S576" s="9"/>
      <c r="T576" s="9"/>
      <c r="U576" s="9"/>
      <c r="V576" s="9"/>
      <c r="W576" s="9"/>
      <c r="X576" s="9"/>
      <c r="Y576" s="9"/>
      <c r="Z576" s="9"/>
      <c r="AA576" s="9"/>
      <c r="AB576" s="9"/>
      <c r="AC576" s="9"/>
      <c r="AD576" s="9"/>
    </row>
    <row r="577" spans="1:30" ht="13.5" customHeight="1" x14ac:dyDescent="0.25">
      <c r="A577" s="2"/>
      <c r="B577" s="2"/>
      <c r="C577" s="2"/>
      <c r="D577" s="2"/>
      <c r="E577" s="2"/>
      <c r="F577" s="2"/>
      <c r="G577" s="2"/>
      <c r="H577" s="2"/>
      <c r="I577" s="2"/>
      <c r="J577" s="2"/>
      <c r="K577" s="2"/>
      <c r="L577" s="2"/>
      <c r="M577" s="2"/>
      <c r="N577" s="2"/>
      <c r="O577" s="2"/>
      <c r="P577" s="2"/>
      <c r="Q577" s="2"/>
      <c r="R577" s="9"/>
      <c r="S577" s="9"/>
      <c r="T577" s="9"/>
      <c r="U577" s="9"/>
      <c r="V577" s="9"/>
      <c r="W577" s="9"/>
      <c r="X577" s="9"/>
      <c r="Y577" s="9"/>
      <c r="Z577" s="9"/>
      <c r="AA577" s="9"/>
      <c r="AB577" s="9"/>
      <c r="AC577" s="9"/>
      <c r="AD577" s="9"/>
    </row>
    <row r="578" spans="1:30" ht="13.5" customHeight="1" x14ac:dyDescent="0.25">
      <c r="A578" s="2"/>
      <c r="B578" s="2"/>
      <c r="C578" s="2"/>
      <c r="D578" s="2"/>
      <c r="E578" s="2"/>
      <c r="F578" s="2"/>
      <c r="G578" s="2"/>
      <c r="H578" s="2"/>
      <c r="I578" s="2"/>
      <c r="J578" s="2"/>
      <c r="K578" s="2"/>
      <c r="L578" s="2"/>
      <c r="M578" s="2"/>
      <c r="N578" s="2"/>
      <c r="O578" s="2"/>
      <c r="P578" s="2"/>
      <c r="Q578" s="2"/>
      <c r="R578" s="9"/>
      <c r="S578" s="9"/>
      <c r="T578" s="9"/>
      <c r="U578" s="9"/>
      <c r="V578" s="9"/>
      <c r="W578" s="9"/>
      <c r="X578" s="9"/>
      <c r="Y578" s="9"/>
      <c r="Z578" s="9"/>
      <c r="AA578" s="9"/>
      <c r="AB578" s="9"/>
      <c r="AC578" s="9"/>
      <c r="AD578" s="9"/>
    </row>
    <row r="579" spans="1:30" ht="13.5" customHeight="1" x14ac:dyDescent="0.25">
      <c r="A579" s="2"/>
      <c r="B579" s="2"/>
      <c r="C579" s="2"/>
      <c r="D579" s="2"/>
      <c r="E579" s="2"/>
      <c r="F579" s="2"/>
      <c r="G579" s="2"/>
      <c r="H579" s="2"/>
      <c r="I579" s="2"/>
      <c r="J579" s="2"/>
      <c r="K579" s="2"/>
      <c r="L579" s="2"/>
      <c r="M579" s="2"/>
      <c r="N579" s="2"/>
      <c r="O579" s="2"/>
      <c r="P579" s="2"/>
      <c r="Q579" s="2"/>
      <c r="R579" s="9"/>
      <c r="S579" s="9"/>
      <c r="T579" s="9"/>
      <c r="U579" s="9"/>
      <c r="V579" s="9"/>
      <c r="W579" s="9"/>
      <c r="X579" s="9"/>
      <c r="Y579" s="9"/>
      <c r="Z579" s="9"/>
      <c r="AA579" s="9"/>
      <c r="AB579" s="9"/>
      <c r="AC579" s="9"/>
      <c r="AD579" s="9"/>
    </row>
    <row r="580" spans="1:30" ht="13.5" customHeight="1" x14ac:dyDescent="0.25">
      <c r="A580" s="2"/>
      <c r="B580" s="2"/>
      <c r="C580" s="2"/>
      <c r="D580" s="2"/>
      <c r="E580" s="2"/>
      <c r="F580" s="2"/>
      <c r="G580" s="2"/>
      <c r="H580" s="2"/>
      <c r="I580" s="2"/>
      <c r="J580" s="2"/>
      <c r="K580" s="2"/>
      <c r="L580" s="2"/>
      <c r="M580" s="2"/>
      <c r="N580" s="2"/>
      <c r="O580" s="2"/>
      <c r="P580" s="2"/>
      <c r="Q580" s="2"/>
      <c r="R580" s="9"/>
      <c r="S580" s="9"/>
      <c r="T580" s="9"/>
      <c r="U580" s="9"/>
      <c r="V580" s="9"/>
      <c r="W580" s="9"/>
      <c r="X580" s="9"/>
      <c r="Y580" s="9"/>
      <c r="Z580" s="9"/>
      <c r="AA580" s="9"/>
      <c r="AB580" s="9"/>
      <c r="AC580" s="9"/>
      <c r="AD580" s="9"/>
    </row>
    <row r="581" spans="1:30" ht="13.5" customHeight="1" x14ac:dyDescent="0.25">
      <c r="A581" s="2"/>
      <c r="B581" s="2"/>
      <c r="C581" s="2"/>
      <c r="D581" s="2"/>
      <c r="E581" s="2"/>
      <c r="F581" s="2"/>
      <c r="G581" s="2"/>
      <c r="H581" s="2"/>
      <c r="I581" s="2"/>
      <c r="J581" s="2"/>
      <c r="K581" s="2"/>
      <c r="L581" s="2"/>
      <c r="M581" s="2"/>
      <c r="N581" s="2"/>
      <c r="O581" s="2"/>
      <c r="P581" s="2"/>
      <c r="Q581" s="2"/>
      <c r="R581" s="9"/>
      <c r="S581" s="9"/>
      <c r="T581" s="9"/>
      <c r="U581" s="9"/>
      <c r="V581" s="9"/>
      <c r="W581" s="9"/>
      <c r="X581" s="9"/>
      <c r="Y581" s="9"/>
      <c r="Z581" s="9"/>
      <c r="AA581" s="9"/>
      <c r="AB581" s="9"/>
      <c r="AC581" s="9"/>
      <c r="AD581" s="9"/>
    </row>
    <row r="582" spans="1:30" ht="13.5" customHeight="1" x14ac:dyDescent="0.25">
      <c r="A582" s="2"/>
      <c r="B582" s="2"/>
      <c r="C582" s="2"/>
      <c r="D582" s="2"/>
      <c r="E582" s="2"/>
      <c r="F582" s="2"/>
      <c r="G582" s="2"/>
      <c r="H582" s="2"/>
      <c r="I582" s="2"/>
      <c r="J582" s="2"/>
      <c r="K582" s="2"/>
      <c r="L582" s="2"/>
      <c r="M582" s="2"/>
      <c r="N582" s="2"/>
      <c r="O582" s="2"/>
      <c r="P582" s="2"/>
      <c r="Q582" s="2"/>
      <c r="R582" s="9"/>
      <c r="S582" s="9"/>
      <c r="T582" s="9"/>
      <c r="U582" s="9"/>
      <c r="V582" s="9"/>
      <c r="W582" s="9"/>
      <c r="X582" s="9"/>
      <c r="Y582" s="9"/>
      <c r="Z582" s="9"/>
      <c r="AA582" s="9"/>
      <c r="AB582" s="9"/>
      <c r="AC582" s="9"/>
      <c r="AD582" s="9"/>
    </row>
    <row r="583" spans="1:30" ht="13.5" customHeight="1" x14ac:dyDescent="0.25">
      <c r="A583" s="2"/>
      <c r="B583" s="2"/>
      <c r="C583" s="2"/>
      <c r="D583" s="2"/>
      <c r="E583" s="2"/>
      <c r="F583" s="2"/>
      <c r="G583" s="2"/>
      <c r="H583" s="2"/>
      <c r="I583" s="2"/>
      <c r="J583" s="2"/>
      <c r="K583" s="2"/>
      <c r="L583" s="2"/>
      <c r="M583" s="2"/>
      <c r="N583" s="2"/>
      <c r="O583" s="2"/>
      <c r="P583" s="2"/>
      <c r="Q583" s="2"/>
      <c r="R583" s="9"/>
      <c r="S583" s="9"/>
      <c r="T583" s="9"/>
      <c r="U583" s="9"/>
      <c r="V583" s="9"/>
      <c r="W583" s="9"/>
      <c r="X583" s="9"/>
      <c r="Y583" s="9"/>
      <c r="Z583" s="9"/>
      <c r="AA583" s="9"/>
      <c r="AB583" s="9"/>
      <c r="AC583" s="9"/>
      <c r="AD583" s="9"/>
    </row>
    <row r="584" spans="1:30" ht="13.5" customHeight="1" x14ac:dyDescent="0.25">
      <c r="A584" s="2"/>
      <c r="B584" s="2"/>
      <c r="C584" s="2"/>
      <c r="D584" s="2"/>
      <c r="E584" s="2"/>
      <c r="F584" s="2"/>
      <c r="G584" s="2"/>
      <c r="H584" s="2"/>
      <c r="I584" s="2"/>
      <c r="J584" s="2"/>
      <c r="K584" s="2"/>
      <c r="L584" s="2"/>
      <c r="M584" s="2"/>
      <c r="N584" s="2"/>
      <c r="O584" s="2"/>
      <c r="P584" s="2"/>
      <c r="Q584" s="2"/>
      <c r="R584" s="9"/>
      <c r="S584" s="9"/>
      <c r="T584" s="9"/>
      <c r="U584" s="9"/>
      <c r="V584" s="9"/>
      <c r="W584" s="9"/>
      <c r="X584" s="9"/>
      <c r="Y584" s="9"/>
      <c r="Z584" s="9"/>
      <c r="AA584" s="9"/>
      <c r="AB584" s="9"/>
      <c r="AC584" s="9"/>
      <c r="AD584" s="9"/>
    </row>
    <row r="585" spans="1:30" ht="13.5" customHeight="1" x14ac:dyDescent="0.25">
      <c r="A585" s="2"/>
      <c r="B585" s="2"/>
      <c r="C585" s="2"/>
      <c r="D585" s="2"/>
      <c r="E585" s="2"/>
      <c r="F585" s="2"/>
      <c r="G585" s="2"/>
      <c r="H585" s="2"/>
      <c r="I585" s="2"/>
      <c r="J585" s="2"/>
      <c r="K585" s="2"/>
      <c r="L585" s="2"/>
      <c r="M585" s="2"/>
      <c r="N585" s="2"/>
      <c r="O585" s="2"/>
      <c r="P585" s="2"/>
      <c r="Q585" s="2"/>
      <c r="R585" s="9"/>
      <c r="S585" s="9"/>
      <c r="T585" s="9"/>
      <c r="U585" s="9"/>
      <c r="V585" s="9"/>
      <c r="W585" s="9"/>
      <c r="X585" s="9"/>
      <c r="Y585" s="9"/>
      <c r="Z585" s="9"/>
      <c r="AA585" s="9"/>
      <c r="AB585" s="9"/>
      <c r="AC585" s="9"/>
      <c r="AD585" s="9"/>
    </row>
    <row r="586" spans="1:30" ht="13.5" customHeight="1" x14ac:dyDescent="0.25">
      <c r="A586" s="2"/>
      <c r="B586" s="2"/>
      <c r="C586" s="2"/>
      <c r="D586" s="2"/>
      <c r="E586" s="2"/>
      <c r="F586" s="2"/>
      <c r="G586" s="2"/>
      <c r="H586" s="2"/>
      <c r="I586" s="2"/>
      <c r="J586" s="2"/>
      <c r="K586" s="2"/>
      <c r="L586" s="2"/>
      <c r="M586" s="2"/>
      <c r="N586" s="2"/>
      <c r="O586" s="2"/>
      <c r="P586" s="2"/>
      <c r="Q586" s="2"/>
      <c r="R586" s="9"/>
      <c r="S586" s="9"/>
      <c r="T586" s="9"/>
      <c r="U586" s="9"/>
      <c r="V586" s="9"/>
      <c r="W586" s="9"/>
      <c r="X586" s="9"/>
      <c r="Y586" s="9"/>
      <c r="Z586" s="9"/>
      <c r="AA586" s="9"/>
      <c r="AB586" s="9"/>
      <c r="AC586" s="9"/>
      <c r="AD586" s="9"/>
    </row>
    <row r="587" spans="1:30" ht="13.5" customHeight="1" x14ac:dyDescent="0.25">
      <c r="A587" s="2"/>
      <c r="B587" s="2"/>
      <c r="C587" s="2"/>
      <c r="D587" s="2"/>
      <c r="E587" s="2"/>
      <c r="F587" s="2"/>
      <c r="G587" s="2"/>
      <c r="H587" s="2"/>
      <c r="I587" s="2"/>
      <c r="J587" s="2"/>
      <c r="K587" s="2"/>
      <c r="L587" s="2"/>
      <c r="M587" s="2"/>
      <c r="N587" s="2"/>
      <c r="O587" s="2"/>
      <c r="P587" s="2"/>
      <c r="Q587" s="2"/>
      <c r="R587" s="9"/>
      <c r="S587" s="9"/>
      <c r="T587" s="9"/>
      <c r="U587" s="9"/>
      <c r="V587" s="9"/>
      <c r="W587" s="9"/>
      <c r="X587" s="9"/>
      <c r="Y587" s="9"/>
      <c r="Z587" s="9"/>
      <c r="AA587" s="9"/>
      <c r="AB587" s="9"/>
      <c r="AC587" s="9"/>
      <c r="AD587" s="9"/>
    </row>
    <row r="588" spans="1:30" ht="13.5" customHeight="1" x14ac:dyDescent="0.25">
      <c r="A588" s="2"/>
      <c r="B588" s="2"/>
      <c r="C588" s="2"/>
      <c r="D588" s="2"/>
      <c r="E588" s="2"/>
      <c r="F588" s="2"/>
      <c r="G588" s="2"/>
      <c r="H588" s="2"/>
      <c r="I588" s="2"/>
      <c r="J588" s="2"/>
      <c r="K588" s="2"/>
      <c r="L588" s="2"/>
      <c r="M588" s="2"/>
      <c r="N588" s="2"/>
      <c r="O588" s="2"/>
      <c r="P588" s="2"/>
      <c r="Q588" s="2"/>
      <c r="R588" s="9"/>
      <c r="S588" s="9"/>
      <c r="T588" s="9"/>
      <c r="U588" s="9"/>
      <c r="V588" s="9"/>
      <c r="W588" s="9"/>
      <c r="X588" s="9"/>
      <c r="Y588" s="9"/>
      <c r="Z588" s="9"/>
      <c r="AA588" s="9"/>
      <c r="AB588" s="9"/>
      <c r="AC588" s="9"/>
      <c r="AD588" s="9"/>
    </row>
    <row r="589" spans="1:30" ht="13.5" customHeight="1" x14ac:dyDescent="0.25">
      <c r="A589" s="2"/>
      <c r="B589" s="2"/>
      <c r="C589" s="2"/>
      <c r="D589" s="2"/>
      <c r="E589" s="2"/>
      <c r="F589" s="2"/>
      <c r="G589" s="2"/>
      <c r="H589" s="2"/>
      <c r="I589" s="2"/>
      <c r="J589" s="2"/>
      <c r="K589" s="2"/>
      <c r="L589" s="2"/>
      <c r="M589" s="2"/>
      <c r="N589" s="2"/>
      <c r="O589" s="2"/>
      <c r="P589" s="2"/>
      <c r="Q589" s="2"/>
      <c r="R589" s="9"/>
      <c r="S589" s="9"/>
      <c r="T589" s="9"/>
      <c r="U589" s="9"/>
      <c r="V589" s="9"/>
      <c r="W589" s="9"/>
      <c r="X589" s="9"/>
      <c r="Y589" s="9"/>
      <c r="Z589" s="9"/>
      <c r="AA589" s="9"/>
      <c r="AB589" s="9"/>
      <c r="AC589" s="9"/>
      <c r="AD589" s="9"/>
    </row>
    <row r="590" spans="1:30" ht="13.5" customHeight="1" x14ac:dyDescent="0.25">
      <c r="A590" s="2"/>
      <c r="B590" s="2"/>
      <c r="C590" s="2"/>
      <c r="D590" s="2"/>
      <c r="E590" s="2"/>
      <c r="F590" s="2"/>
      <c r="G590" s="2"/>
      <c r="H590" s="2"/>
      <c r="I590" s="2"/>
      <c r="J590" s="2"/>
      <c r="K590" s="2"/>
      <c r="L590" s="2"/>
      <c r="M590" s="2"/>
      <c r="N590" s="2"/>
      <c r="O590" s="2"/>
      <c r="P590" s="2"/>
      <c r="Q590" s="2"/>
      <c r="R590" s="9"/>
      <c r="S590" s="9"/>
      <c r="T590" s="9"/>
      <c r="U590" s="9"/>
      <c r="V590" s="9"/>
      <c r="W590" s="9"/>
      <c r="X590" s="9"/>
      <c r="Y590" s="9"/>
      <c r="Z590" s="9"/>
      <c r="AA590" s="9"/>
      <c r="AB590" s="9"/>
      <c r="AC590" s="9"/>
      <c r="AD590" s="9"/>
    </row>
    <row r="591" spans="1:30" ht="13.5" customHeight="1" x14ac:dyDescent="0.25">
      <c r="A591" s="2"/>
      <c r="B591" s="2"/>
      <c r="C591" s="2"/>
      <c r="D591" s="2"/>
      <c r="E591" s="2"/>
      <c r="F591" s="2"/>
      <c r="G591" s="2"/>
      <c r="H591" s="2"/>
      <c r="I591" s="2"/>
      <c r="J591" s="2"/>
      <c r="K591" s="2"/>
      <c r="L591" s="2"/>
      <c r="M591" s="2"/>
      <c r="N591" s="2"/>
      <c r="O591" s="2"/>
      <c r="P591" s="2"/>
      <c r="Q591" s="2"/>
      <c r="R591" s="9"/>
      <c r="S591" s="9"/>
      <c r="T591" s="9"/>
      <c r="U591" s="9"/>
      <c r="V591" s="9"/>
      <c r="W591" s="9"/>
      <c r="X591" s="9"/>
      <c r="Y591" s="9"/>
      <c r="Z591" s="9"/>
      <c r="AA591" s="9"/>
      <c r="AB591" s="9"/>
      <c r="AC591" s="9"/>
      <c r="AD591" s="9"/>
    </row>
    <row r="592" spans="1:30" ht="13.5" customHeight="1" x14ac:dyDescent="0.25">
      <c r="A592" s="2"/>
      <c r="B592" s="2"/>
      <c r="C592" s="2"/>
      <c r="D592" s="2"/>
      <c r="E592" s="2"/>
      <c r="F592" s="2"/>
      <c r="G592" s="2"/>
      <c r="H592" s="2"/>
      <c r="I592" s="2"/>
      <c r="J592" s="2"/>
      <c r="K592" s="2"/>
      <c r="L592" s="2"/>
      <c r="M592" s="2"/>
      <c r="N592" s="2"/>
      <c r="O592" s="2"/>
      <c r="P592" s="2"/>
      <c r="Q592" s="2"/>
      <c r="R592" s="9"/>
      <c r="S592" s="9"/>
      <c r="T592" s="9"/>
      <c r="U592" s="9"/>
      <c r="V592" s="9"/>
      <c r="W592" s="9"/>
      <c r="X592" s="9"/>
      <c r="Y592" s="9"/>
      <c r="Z592" s="9"/>
      <c r="AA592" s="9"/>
      <c r="AB592" s="9"/>
      <c r="AC592" s="9"/>
      <c r="AD592" s="9"/>
    </row>
    <row r="593" spans="1:30" ht="13.5" customHeight="1" x14ac:dyDescent="0.25">
      <c r="A593" s="2"/>
      <c r="B593" s="2"/>
      <c r="C593" s="2"/>
      <c r="D593" s="2"/>
      <c r="E593" s="2"/>
      <c r="F593" s="2"/>
      <c r="G593" s="2"/>
      <c r="H593" s="2"/>
      <c r="I593" s="2"/>
      <c r="J593" s="2"/>
      <c r="K593" s="2"/>
      <c r="L593" s="2"/>
      <c r="M593" s="2"/>
      <c r="N593" s="2"/>
      <c r="O593" s="2"/>
      <c r="P593" s="2"/>
      <c r="Q593" s="2"/>
      <c r="R593" s="9"/>
      <c r="S593" s="9"/>
      <c r="T593" s="9"/>
      <c r="U593" s="9"/>
      <c r="V593" s="9"/>
      <c r="W593" s="9"/>
      <c r="X593" s="9"/>
      <c r="Y593" s="9"/>
      <c r="Z593" s="9"/>
      <c r="AA593" s="9"/>
      <c r="AB593" s="9"/>
      <c r="AC593" s="9"/>
      <c r="AD593" s="9"/>
    </row>
    <row r="594" spans="1:30" ht="13.5" customHeight="1" x14ac:dyDescent="0.25">
      <c r="A594" s="2"/>
      <c r="B594" s="2"/>
      <c r="C594" s="2"/>
      <c r="D594" s="2"/>
      <c r="E594" s="2"/>
      <c r="F594" s="2"/>
      <c r="G594" s="2"/>
      <c r="H594" s="2"/>
      <c r="I594" s="2"/>
      <c r="J594" s="2"/>
      <c r="K594" s="2"/>
      <c r="L594" s="2"/>
      <c r="M594" s="2"/>
      <c r="N594" s="2"/>
      <c r="O594" s="2"/>
      <c r="P594" s="2"/>
      <c r="Q594" s="2"/>
      <c r="R594" s="9"/>
      <c r="S594" s="9"/>
      <c r="T594" s="9"/>
      <c r="U594" s="9"/>
      <c r="V594" s="9"/>
      <c r="W594" s="9"/>
      <c r="X594" s="9"/>
      <c r="Y594" s="9"/>
      <c r="Z594" s="9"/>
      <c r="AA594" s="9"/>
      <c r="AB594" s="9"/>
      <c r="AC594" s="9"/>
      <c r="AD594" s="9"/>
    </row>
    <row r="595" spans="1:30" ht="13.5" customHeight="1" x14ac:dyDescent="0.25">
      <c r="A595" s="2"/>
      <c r="B595" s="2"/>
      <c r="C595" s="2"/>
      <c r="D595" s="2"/>
      <c r="E595" s="2"/>
      <c r="F595" s="2"/>
      <c r="G595" s="2"/>
      <c r="H595" s="2"/>
      <c r="I595" s="2"/>
      <c r="J595" s="2"/>
      <c r="K595" s="2"/>
      <c r="L595" s="2"/>
      <c r="M595" s="2"/>
      <c r="N595" s="2"/>
      <c r="O595" s="2"/>
      <c r="P595" s="2"/>
      <c r="Q595" s="2"/>
      <c r="R595" s="9"/>
      <c r="S595" s="9"/>
      <c r="T595" s="9"/>
      <c r="U595" s="9"/>
      <c r="V595" s="9"/>
      <c r="W595" s="9"/>
      <c r="X595" s="9"/>
      <c r="Y595" s="9"/>
      <c r="Z595" s="9"/>
      <c r="AA595" s="9"/>
      <c r="AB595" s="9"/>
      <c r="AC595" s="9"/>
      <c r="AD595" s="9"/>
    </row>
    <row r="596" spans="1:30" ht="13.5" customHeight="1" x14ac:dyDescent="0.25">
      <c r="A596" s="2"/>
      <c r="B596" s="2"/>
      <c r="C596" s="2"/>
      <c r="D596" s="2"/>
      <c r="E596" s="2"/>
      <c r="F596" s="2"/>
      <c r="G596" s="2"/>
      <c r="H596" s="2"/>
      <c r="I596" s="2"/>
      <c r="J596" s="2"/>
      <c r="K596" s="2"/>
      <c r="L596" s="2"/>
      <c r="M596" s="2"/>
      <c r="N596" s="2"/>
      <c r="O596" s="2"/>
      <c r="P596" s="2"/>
      <c r="Q596" s="2"/>
      <c r="R596" s="9"/>
      <c r="S596" s="9"/>
      <c r="T596" s="9"/>
      <c r="U596" s="9"/>
      <c r="V596" s="9"/>
      <c r="W596" s="9"/>
      <c r="X596" s="9"/>
      <c r="Y596" s="9"/>
      <c r="Z596" s="9"/>
      <c r="AA596" s="9"/>
      <c r="AB596" s="9"/>
      <c r="AC596" s="9"/>
      <c r="AD596" s="9"/>
    </row>
    <row r="597" spans="1:30" ht="13.5" customHeight="1" x14ac:dyDescent="0.25">
      <c r="A597" s="2"/>
      <c r="B597" s="2"/>
      <c r="C597" s="2"/>
      <c r="D597" s="2"/>
      <c r="E597" s="2"/>
      <c r="F597" s="2"/>
      <c r="G597" s="2"/>
      <c r="H597" s="2"/>
      <c r="I597" s="2"/>
      <c r="J597" s="2"/>
      <c r="K597" s="2"/>
      <c r="L597" s="2"/>
      <c r="M597" s="2"/>
      <c r="N597" s="2"/>
      <c r="O597" s="2"/>
      <c r="P597" s="2"/>
      <c r="Q597" s="2"/>
      <c r="R597" s="9"/>
      <c r="S597" s="9"/>
      <c r="T597" s="9"/>
      <c r="U597" s="9"/>
      <c r="V597" s="9"/>
      <c r="W597" s="9"/>
      <c r="X597" s="9"/>
      <c r="Y597" s="9"/>
      <c r="Z597" s="9"/>
      <c r="AA597" s="9"/>
      <c r="AB597" s="9"/>
      <c r="AC597" s="9"/>
      <c r="AD597" s="9"/>
    </row>
    <row r="598" spans="1:30" ht="13.5" customHeight="1" x14ac:dyDescent="0.25">
      <c r="A598" s="2"/>
      <c r="B598" s="2"/>
      <c r="C598" s="2"/>
      <c r="D598" s="2"/>
      <c r="E598" s="2"/>
      <c r="F598" s="2"/>
      <c r="G598" s="2"/>
      <c r="H598" s="2"/>
      <c r="I598" s="2"/>
      <c r="J598" s="2"/>
      <c r="K598" s="2"/>
      <c r="L598" s="2"/>
      <c r="M598" s="2"/>
      <c r="N598" s="2"/>
      <c r="O598" s="2"/>
      <c r="P598" s="2"/>
      <c r="Q598" s="2"/>
      <c r="R598" s="9"/>
      <c r="S598" s="9"/>
      <c r="T598" s="9"/>
      <c r="U598" s="9"/>
      <c r="V598" s="9"/>
      <c r="W598" s="9"/>
      <c r="X598" s="9"/>
      <c r="Y598" s="9"/>
      <c r="Z598" s="9"/>
      <c r="AA598" s="9"/>
      <c r="AB598" s="9"/>
      <c r="AC598" s="9"/>
      <c r="AD598" s="9"/>
    </row>
    <row r="599" spans="1:30" ht="13.5" customHeight="1" x14ac:dyDescent="0.25">
      <c r="A599" s="2"/>
      <c r="B599" s="2"/>
      <c r="C599" s="2"/>
      <c r="D599" s="2"/>
      <c r="E599" s="2"/>
      <c r="F599" s="2"/>
      <c r="G599" s="2"/>
      <c r="H599" s="2"/>
      <c r="I599" s="2"/>
      <c r="J599" s="2"/>
      <c r="K599" s="2"/>
      <c r="L599" s="2"/>
      <c r="M599" s="2"/>
      <c r="N599" s="2"/>
      <c r="O599" s="2"/>
      <c r="P599" s="2"/>
      <c r="Q599" s="2"/>
      <c r="R599" s="9"/>
      <c r="S599" s="9"/>
      <c r="T599" s="9"/>
      <c r="U599" s="9"/>
      <c r="V599" s="9"/>
      <c r="W599" s="9"/>
      <c r="X599" s="9"/>
      <c r="Y599" s="9"/>
      <c r="Z599" s="9"/>
      <c r="AA599" s="9"/>
      <c r="AB599" s="9"/>
      <c r="AC599" s="9"/>
      <c r="AD599" s="9"/>
    </row>
    <row r="600" spans="1:30" ht="13.5" customHeight="1" x14ac:dyDescent="0.25">
      <c r="A600" s="2"/>
      <c r="B600" s="2"/>
      <c r="C600" s="2"/>
      <c r="D600" s="2"/>
      <c r="E600" s="2"/>
      <c r="F600" s="2"/>
      <c r="G600" s="2"/>
      <c r="H600" s="2"/>
      <c r="I600" s="2"/>
      <c r="J600" s="2"/>
      <c r="K600" s="2"/>
      <c r="L600" s="2"/>
      <c r="M600" s="2"/>
      <c r="N600" s="2"/>
      <c r="O600" s="2"/>
      <c r="P600" s="2"/>
      <c r="Q600" s="2"/>
      <c r="R600" s="9"/>
      <c r="S600" s="9"/>
      <c r="T600" s="9"/>
      <c r="U600" s="9"/>
      <c r="V600" s="9"/>
      <c r="W600" s="9"/>
      <c r="X600" s="9"/>
      <c r="Y600" s="9"/>
      <c r="Z600" s="9"/>
      <c r="AA600" s="9"/>
      <c r="AB600" s="9"/>
      <c r="AC600" s="9"/>
      <c r="AD600" s="9"/>
    </row>
    <row r="601" spans="1:30" ht="13.5" customHeight="1" x14ac:dyDescent="0.25">
      <c r="A601" s="2"/>
      <c r="B601" s="2"/>
      <c r="C601" s="2"/>
      <c r="D601" s="2"/>
      <c r="E601" s="2"/>
      <c r="F601" s="2"/>
      <c r="G601" s="2"/>
      <c r="H601" s="2"/>
      <c r="I601" s="2"/>
      <c r="J601" s="2"/>
      <c r="K601" s="2"/>
      <c r="L601" s="2"/>
      <c r="M601" s="2"/>
      <c r="N601" s="2"/>
      <c r="O601" s="2"/>
      <c r="P601" s="2"/>
      <c r="Q601" s="2"/>
      <c r="R601" s="9"/>
      <c r="S601" s="9"/>
      <c r="T601" s="9"/>
      <c r="U601" s="9"/>
      <c r="V601" s="9"/>
      <c r="W601" s="9"/>
      <c r="X601" s="9"/>
      <c r="Y601" s="9"/>
      <c r="Z601" s="9"/>
      <c r="AA601" s="9"/>
      <c r="AB601" s="9"/>
      <c r="AC601" s="9"/>
      <c r="AD601" s="9"/>
    </row>
    <row r="602" spans="1:30" ht="13.5" customHeight="1" x14ac:dyDescent="0.25">
      <c r="A602" s="2"/>
      <c r="B602" s="2"/>
      <c r="C602" s="2"/>
      <c r="D602" s="2"/>
      <c r="E602" s="2"/>
      <c r="F602" s="2"/>
      <c r="G602" s="2"/>
      <c r="H602" s="2"/>
      <c r="I602" s="2"/>
      <c r="J602" s="2"/>
      <c r="K602" s="2"/>
      <c r="L602" s="2"/>
      <c r="M602" s="2"/>
      <c r="N602" s="2"/>
      <c r="O602" s="2"/>
      <c r="P602" s="2"/>
      <c r="Q602" s="2"/>
      <c r="R602" s="9"/>
      <c r="S602" s="9"/>
      <c r="T602" s="9"/>
      <c r="U602" s="9"/>
      <c r="V602" s="9"/>
      <c r="W602" s="9"/>
      <c r="X602" s="9"/>
      <c r="Y602" s="9"/>
      <c r="Z602" s="9"/>
      <c r="AA602" s="9"/>
      <c r="AB602" s="9"/>
      <c r="AC602" s="9"/>
      <c r="AD602" s="9"/>
    </row>
    <row r="603" spans="1:30" ht="13.5" customHeight="1" x14ac:dyDescent="0.25">
      <c r="A603" s="2"/>
      <c r="B603" s="2"/>
      <c r="C603" s="2"/>
      <c r="D603" s="2"/>
      <c r="E603" s="2"/>
      <c r="F603" s="2"/>
      <c r="G603" s="2"/>
      <c r="H603" s="2"/>
      <c r="I603" s="2"/>
      <c r="J603" s="2"/>
      <c r="K603" s="2"/>
      <c r="L603" s="2"/>
      <c r="M603" s="2"/>
      <c r="N603" s="2"/>
      <c r="O603" s="2"/>
      <c r="P603" s="2"/>
      <c r="Q603" s="2"/>
      <c r="R603" s="9"/>
      <c r="S603" s="9"/>
      <c r="T603" s="9"/>
      <c r="U603" s="9"/>
      <c r="V603" s="9"/>
      <c r="W603" s="9"/>
      <c r="X603" s="9"/>
      <c r="Y603" s="9"/>
      <c r="Z603" s="9"/>
      <c r="AA603" s="9"/>
      <c r="AB603" s="9"/>
      <c r="AC603" s="9"/>
      <c r="AD603" s="9"/>
    </row>
    <row r="604" spans="1:30" ht="13.5" customHeight="1" x14ac:dyDescent="0.25">
      <c r="A604" s="2"/>
      <c r="B604" s="2"/>
      <c r="C604" s="2"/>
      <c r="D604" s="2"/>
      <c r="E604" s="2"/>
      <c r="F604" s="2"/>
      <c r="G604" s="2"/>
      <c r="H604" s="2"/>
      <c r="I604" s="2"/>
      <c r="J604" s="2"/>
      <c r="K604" s="2"/>
      <c r="L604" s="2"/>
      <c r="M604" s="2"/>
      <c r="N604" s="2"/>
      <c r="O604" s="2"/>
      <c r="P604" s="2"/>
      <c r="Q604" s="2"/>
      <c r="R604" s="9"/>
      <c r="S604" s="9"/>
      <c r="T604" s="9"/>
      <c r="U604" s="9"/>
      <c r="V604" s="9"/>
      <c r="W604" s="9"/>
      <c r="X604" s="9"/>
      <c r="Y604" s="9"/>
      <c r="Z604" s="9"/>
      <c r="AA604" s="9"/>
      <c r="AB604" s="9"/>
      <c r="AC604" s="9"/>
      <c r="AD604" s="9"/>
    </row>
    <row r="605" spans="1:30" ht="13.5" customHeight="1" x14ac:dyDescent="0.25">
      <c r="A605" s="2"/>
      <c r="B605" s="2"/>
      <c r="C605" s="2"/>
      <c r="D605" s="2"/>
      <c r="E605" s="2"/>
      <c r="F605" s="2"/>
      <c r="G605" s="2"/>
      <c r="H605" s="2"/>
      <c r="I605" s="2"/>
      <c r="J605" s="2"/>
      <c r="K605" s="2"/>
      <c r="L605" s="2"/>
      <c r="M605" s="2"/>
      <c r="N605" s="2"/>
      <c r="O605" s="2"/>
      <c r="P605" s="2"/>
      <c r="Q605" s="2"/>
      <c r="R605" s="9"/>
      <c r="S605" s="9"/>
      <c r="T605" s="9"/>
      <c r="U605" s="9"/>
      <c r="V605" s="9"/>
      <c r="W605" s="9"/>
      <c r="X605" s="9"/>
      <c r="Y605" s="9"/>
      <c r="Z605" s="9"/>
      <c r="AA605" s="9"/>
      <c r="AB605" s="9"/>
      <c r="AC605" s="9"/>
      <c r="AD605" s="9"/>
    </row>
    <row r="606" spans="1:30" ht="13.5" customHeight="1" x14ac:dyDescent="0.25">
      <c r="A606" s="2"/>
      <c r="B606" s="2"/>
      <c r="C606" s="2"/>
      <c r="D606" s="2"/>
      <c r="E606" s="2"/>
      <c r="F606" s="2"/>
      <c r="G606" s="2"/>
      <c r="H606" s="2"/>
      <c r="I606" s="2"/>
      <c r="J606" s="2"/>
      <c r="K606" s="2"/>
      <c r="L606" s="2"/>
      <c r="M606" s="2"/>
      <c r="N606" s="2"/>
      <c r="O606" s="2"/>
      <c r="P606" s="2"/>
      <c r="Q606" s="2"/>
      <c r="R606" s="9"/>
      <c r="S606" s="9"/>
      <c r="T606" s="9"/>
      <c r="U606" s="9"/>
      <c r="V606" s="9"/>
      <c r="W606" s="9"/>
      <c r="X606" s="9"/>
      <c r="Y606" s="9"/>
      <c r="Z606" s="9"/>
      <c r="AA606" s="9"/>
      <c r="AB606" s="9"/>
      <c r="AC606" s="9"/>
      <c r="AD606" s="9"/>
    </row>
    <row r="607" spans="1:30" ht="13.5" customHeight="1" x14ac:dyDescent="0.25">
      <c r="A607" s="2"/>
      <c r="B607" s="2"/>
      <c r="C607" s="2"/>
      <c r="D607" s="2"/>
      <c r="E607" s="2"/>
      <c r="F607" s="2"/>
      <c r="G607" s="2"/>
      <c r="H607" s="2"/>
      <c r="I607" s="2"/>
      <c r="J607" s="2"/>
      <c r="K607" s="2"/>
      <c r="L607" s="2"/>
      <c r="M607" s="2"/>
      <c r="N607" s="2"/>
      <c r="O607" s="2"/>
      <c r="P607" s="2"/>
      <c r="Q607" s="2"/>
      <c r="R607" s="9"/>
      <c r="S607" s="9"/>
      <c r="T607" s="9"/>
      <c r="U607" s="9"/>
      <c r="V607" s="9"/>
      <c r="W607" s="9"/>
      <c r="X607" s="9"/>
      <c r="Y607" s="9"/>
      <c r="Z607" s="9"/>
      <c r="AA607" s="9"/>
      <c r="AB607" s="9"/>
      <c r="AC607" s="9"/>
      <c r="AD607" s="9"/>
    </row>
    <row r="608" spans="1:30" ht="13.5" customHeight="1" x14ac:dyDescent="0.25">
      <c r="A608" s="2"/>
      <c r="B608" s="2"/>
      <c r="C608" s="2"/>
      <c r="D608" s="2"/>
      <c r="E608" s="2"/>
      <c r="F608" s="2"/>
      <c r="G608" s="2"/>
      <c r="H608" s="2"/>
      <c r="I608" s="2"/>
      <c r="J608" s="2"/>
      <c r="K608" s="2"/>
      <c r="L608" s="2"/>
      <c r="M608" s="2"/>
      <c r="N608" s="2"/>
      <c r="O608" s="2"/>
      <c r="P608" s="2"/>
      <c r="Q608" s="2"/>
      <c r="R608" s="9"/>
      <c r="S608" s="9"/>
      <c r="T608" s="9"/>
      <c r="U608" s="9"/>
      <c r="V608" s="9"/>
      <c r="W608" s="9"/>
      <c r="X608" s="9"/>
      <c r="Y608" s="9"/>
      <c r="Z608" s="9"/>
      <c r="AA608" s="9"/>
      <c r="AB608" s="9"/>
      <c r="AC608" s="9"/>
      <c r="AD608" s="9"/>
    </row>
    <row r="609" spans="1:30" ht="13.5" customHeight="1" x14ac:dyDescent="0.25">
      <c r="A609" s="2"/>
      <c r="B609" s="2"/>
      <c r="C609" s="2"/>
      <c r="D609" s="2"/>
      <c r="E609" s="2"/>
      <c r="F609" s="2"/>
      <c r="G609" s="2"/>
      <c r="H609" s="2"/>
      <c r="I609" s="2"/>
      <c r="J609" s="2"/>
      <c r="K609" s="2"/>
      <c r="L609" s="2"/>
      <c r="M609" s="2"/>
      <c r="N609" s="2"/>
      <c r="O609" s="2"/>
      <c r="P609" s="2"/>
      <c r="Q609" s="2"/>
      <c r="R609" s="9"/>
      <c r="S609" s="9"/>
      <c r="T609" s="9"/>
      <c r="U609" s="9"/>
      <c r="V609" s="9"/>
      <c r="W609" s="9"/>
      <c r="X609" s="9"/>
      <c r="Y609" s="9"/>
      <c r="Z609" s="9"/>
      <c r="AA609" s="9"/>
      <c r="AB609" s="9"/>
      <c r="AC609" s="9"/>
      <c r="AD609" s="9"/>
    </row>
    <row r="610" spans="1:30" ht="13.5" customHeight="1" x14ac:dyDescent="0.25">
      <c r="A610" s="2"/>
      <c r="B610" s="2"/>
      <c r="C610" s="2"/>
      <c r="D610" s="2"/>
      <c r="E610" s="2"/>
      <c r="F610" s="2"/>
      <c r="G610" s="2"/>
      <c r="H610" s="2"/>
      <c r="I610" s="2"/>
      <c r="J610" s="2"/>
      <c r="K610" s="2"/>
      <c r="L610" s="2"/>
      <c r="M610" s="2"/>
      <c r="N610" s="2"/>
      <c r="O610" s="2"/>
      <c r="P610" s="2"/>
      <c r="Q610" s="2"/>
      <c r="R610" s="9"/>
      <c r="S610" s="9"/>
      <c r="T610" s="9"/>
      <c r="U610" s="9"/>
      <c r="V610" s="9"/>
      <c r="W610" s="9"/>
      <c r="X610" s="9"/>
      <c r="Y610" s="9"/>
      <c r="Z610" s="9"/>
      <c r="AA610" s="9"/>
      <c r="AB610" s="9"/>
      <c r="AC610" s="9"/>
      <c r="AD610" s="9"/>
    </row>
    <row r="611" spans="1:30" ht="13.5" customHeight="1" x14ac:dyDescent="0.25">
      <c r="A611" s="2"/>
      <c r="B611" s="2"/>
      <c r="C611" s="2"/>
      <c r="D611" s="2"/>
      <c r="E611" s="2"/>
      <c r="F611" s="2"/>
      <c r="G611" s="2"/>
      <c r="H611" s="2"/>
      <c r="I611" s="2"/>
      <c r="J611" s="2"/>
      <c r="K611" s="2"/>
      <c r="L611" s="2"/>
      <c r="M611" s="2"/>
      <c r="N611" s="2"/>
      <c r="O611" s="2"/>
      <c r="P611" s="2"/>
      <c r="Q611" s="2"/>
      <c r="R611" s="9"/>
      <c r="S611" s="9"/>
      <c r="T611" s="9"/>
      <c r="U611" s="9"/>
      <c r="V611" s="9"/>
      <c r="W611" s="9"/>
      <c r="X611" s="9"/>
      <c r="Y611" s="9"/>
      <c r="Z611" s="9"/>
      <c r="AA611" s="9"/>
      <c r="AB611" s="9"/>
      <c r="AC611" s="9"/>
      <c r="AD611" s="9"/>
    </row>
    <row r="612" spans="1:30" ht="13.5" customHeight="1" x14ac:dyDescent="0.25">
      <c r="A612" s="2"/>
      <c r="B612" s="2"/>
      <c r="C612" s="2"/>
      <c r="D612" s="2"/>
      <c r="E612" s="2"/>
      <c r="F612" s="2"/>
      <c r="G612" s="2"/>
      <c r="H612" s="2"/>
      <c r="I612" s="2"/>
      <c r="J612" s="2"/>
      <c r="K612" s="2"/>
      <c r="L612" s="2"/>
      <c r="M612" s="2"/>
      <c r="N612" s="2"/>
      <c r="O612" s="2"/>
      <c r="P612" s="2"/>
      <c r="Q612" s="2"/>
      <c r="R612" s="9"/>
      <c r="S612" s="9"/>
      <c r="T612" s="9"/>
      <c r="U612" s="9"/>
      <c r="V612" s="9"/>
      <c r="W612" s="9"/>
      <c r="X612" s="9"/>
      <c r="Y612" s="9"/>
      <c r="Z612" s="9"/>
      <c r="AA612" s="9"/>
      <c r="AB612" s="9"/>
      <c r="AC612" s="9"/>
      <c r="AD612" s="9"/>
    </row>
    <row r="613" spans="1:30" ht="13.5" customHeight="1" x14ac:dyDescent="0.25">
      <c r="A613" s="2"/>
      <c r="B613" s="2"/>
      <c r="C613" s="2"/>
      <c r="D613" s="2"/>
      <c r="E613" s="2"/>
      <c r="F613" s="2"/>
      <c r="G613" s="2"/>
      <c r="H613" s="2"/>
      <c r="I613" s="2"/>
      <c r="J613" s="2"/>
      <c r="K613" s="2"/>
      <c r="L613" s="2"/>
      <c r="M613" s="2"/>
      <c r="N613" s="2"/>
      <c r="O613" s="2"/>
      <c r="P613" s="2"/>
      <c r="Q613" s="2"/>
      <c r="R613" s="9"/>
      <c r="S613" s="9"/>
      <c r="T613" s="9"/>
      <c r="U613" s="9"/>
      <c r="V613" s="9"/>
      <c r="W613" s="9"/>
      <c r="X613" s="9"/>
      <c r="Y613" s="9"/>
      <c r="Z613" s="9"/>
      <c r="AA613" s="9"/>
      <c r="AB613" s="9"/>
      <c r="AC613" s="9"/>
      <c r="AD613" s="9"/>
    </row>
    <row r="614" spans="1:30" ht="13.5" customHeight="1" x14ac:dyDescent="0.25">
      <c r="A614" s="2"/>
      <c r="B614" s="2"/>
      <c r="C614" s="2"/>
      <c r="D614" s="2"/>
      <c r="E614" s="2"/>
      <c r="F614" s="2"/>
      <c r="G614" s="2"/>
      <c r="H614" s="2"/>
      <c r="I614" s="2"/>
      <c r="J614" s="2"/>
      <c r="K614" s="2"/>
      <c r="L614" s="2"/>
      <c r="M614" s="2"/>
      <c r="N614" s="2"/>
      <c r="O614" s="2"/>
      <c r="P614" s="2"/>
      <c r="Q614" s="2"/>
      <c r="R614" s="9"/>
      <c r="S614" s="9"/>
      <c r="T614" s="9"/>
      <c r="U614" s="9"/>
      <c r="V614" s="9"/>
      <c r="W614" s="9"/>
      <c r="X614" s="9"/>
      <c r="Y614" s="9"/>
      <c r="Z614" s="9"/>
      <c r="AA614" s="9"/>
      <c r="AB614" s="9"/>
      <c r="AC614" s="9"/>
      <c r="AD614" s="9"/>
    </row>
    <row r="615" spans="1:30" ht="13.5" customHeight="1" x14ac:dyDescent="0.25">
      <c r="A615" s="2"/>
      <c r="B615" s="2"/>
      <c r="C615" s="2"/>
      <c r="D615" s="2"/>
      <c r="E615" s="2"/>
      <c r="F615" s="2"/>
      <c r="G615" s="2"/>
      <c r="H615" s="2"/>
      <c r="I615" s="2"/>
      <c r="J615" s="2"/>
      <c r="K615" s="2"/>
      <c r="L615" s="2"/>
      <c r="M615" s="2"/>
      <c r="N615" s="2"/>
      <c r="O615" s="2"/>
      <c r="P615" s="2"/>
      <c r="Q615" s="2"/>
      <c r="R615" s="9"/>
      <c r="S615" s="9"/>
      <c r="T615" s="9"/>
      <c r="U615" s="9"/>
      <c r="V615" s="9"/>
      <c r="W615" s="9"/>
      <c r="X615" s="9"/>
      <c r="Y615" s="9"/>
      <c r="Z615" s="9"/>
      <c r="AA615" s="9"/>
      <c r="AB615" s="9"/>
      <c r="AC615" s="9"/>
      <c r="AD615" s="9"/>
    </row>
    <row r="616" spans="1:30" ht="13.5" customHeight="1" x14ac:dyDescent="0.25">
      <c r="A616" s="2"/>
      <c r="B616" s="2"/>
      <c r="C616" s="2"/>
      <c r="D616" s="2"/>
      <c r="E616" s="2"/>
      <c r="F616" s="2"/>
      <c r="G616" s="2"/>
      <c r="H616" s="2"/>
      <c r="I616" s="2"/>
      <c r="J616" s="2"/>
      <c r="K616" s="2"/>
      <c r="L616" s="2"/>
      <c r="M616" s="2"/>
      <c r="N616" s="2"/>
      <c r="O616" s="2"/>
      <c r="P616" s="2"/>
      <c r="Q616" s="2"/>
      <c r="R616" s="9"/>
      <c r="S616" s="9"/>
      <c r="T616" s="9"/>
      <c r="U616" s="9"/>
      <c r="V616" s="9"/>
      <c r="W616" s="9"/>
      <c r="X616" s="9"/>
      <c r="Y616" s="9"/>
      <c r="Z616" s="9"/>
      <c r="AA616" s="9"/>
      <c r="AB616" s="9"/>
      <c r="AC616" s="9"/>
      <c r="AD616" s="9"/>
    </row>
    <row r="617" spans="1:30" ht="13.5" customHeight="1" x14ac:dyDescent="0.25">
      <c r="A617" s="2"/>
      <c r="B617" s="2"/>
      <c r="C617" s="2"/>
      <c r="D617" s="2"/>
      <c r="E617" s="2"/>
      <c r="F617" s="2"/>
      <c r="G617" s="2"/>
      <c r="H617" s="2"/>
      <c r="I617" s="2"/>
      <c r="J617" s="2"/>
      <c r="K617" s="2"/>
      <c r="L617" s="2"/>
      <c r="M617" s="2"/>
      <c r="N617" s="2"/>
      <c r="O617" s="2"/>
      <c r="P617" s="2"/>
      <c r="Q617" s="2"/>
      <c r="R617" s="9"/>
      <c r="S617" s="9"/>
      <c r="T617" s="9"/>
      <c r="U617" s="9"/>
      <c r="V617" s="9"/>
      <c r="W617" s="9"/>
      <c r="X617" s="9"/>
      <c r="Y617" s="9"/>
      <c r="Z617" s="9"/>
      <c r="AA617" s="9"/>
      <c r="AB617" s="9"/>
      <c r="AC617" s="9"/>
      <c r="AD617" s="9"/>
    </row>
    <row r="618" spans="1:30" ht="13.5" customHeight="1" x14ac:dyDescent="0.25">
      <c r="A618" s="2"/>
      <c r="B618" s="2"/>
      <c r="C618" s="2"/>
      <c r="D618" s="2"/>
      <c r="E618" s="2"/>
      <c r="F618" s="2"/>
      <c r="G618" s="2"/>
      <c r="H618" s="2"/>
      <c r="I618" s="2"/>
      <c r="J618" s="2"/>
      <c r="K618" s="2"/>
      <c r="L618" s="2"/>
      <c r="M618" s="2"/>
      <c r="N618" s="2"/>
      <c r="O618" s="2"/>
      <c r="P618" s="2"/>
      <c r="Q618" s="2"/>
      <c r="R618" s="9"/>
      <c r="S618" s="9"/>
      <c r="T618" s="9"/>
      <c r="U618" s="9"/>
      <c r="V618" s="9"/>
      <c r="W618" s="9"/>
      <c r="X618" s="9"/>
      <c r="Y618" s="9"/>
      <c r="Z618" s="9"/>
      <c r="AA618" s="9"/>
      <c r="AB618" s="9"/>
      <c r="AC618" s="9"/>
      <c r="AD618" s="9"/>
    </row>
    <row r="619" spans="1:30" ht="13.5" customHeight="1" x14ac:dyDescent="0.25">
      <c r="A619" s="2"/>
      <c r="B619" s="2"/>
      <c r="C619" s="2"/>
      <c r="D619" s="2"/>
      <c r="E619" s="2"/>
      <c r="F619" s="2"/>
      <c r="G619" s="2"/>
      <c r="H619" s="2"/>
      <c r="I619" s="2"/>
      <c r="J619" s="2"/>
      <c r="K619" s="2"/>
      <c r="L619" s="2"/>
      <c r="M619" s="2"/>
      <c r="N619" s="2"/>
      <c r="O619" s="2"/>
      <c r="P619" s="2"/>
      <c r="Q619" s="2"/>
      <c r="R619" s="9"/>
      <c r="S619" s="9"/>
      <c r="T619" s="9"/>
      <c r="U619" s="9"/>
      <c r="V619" s="9"/>
      <c r="W619" s="9"/>
      <c r="X619" s="9"/>
      <c r="Y619" s="9"/>
      <c r="Z619" s="9"/>
      <c r="AA619" s="9"/>
      <c r="AB619" s="9"/>
      <c r="AC619" s="9"/>
      <c r="AD619" s="9"/>
    </row>
    <row r="620" spans="1:30" ht="13.5" customHeight="1" x14ac:dyDescent="0.25">
      <c r="A620" s="2"/>
      <c r="B620" s="2"/>
      <c r="C620" s="2"/>
      <c r="D620" s="2"/>
      <c r="E620" s="2"/>
      <c r="F620" s="2"/>
      <c r="G620" s="2"/>
      <c r="H620" s="2"/>
      <c r="I620" s="2"/>
      <c r="J620" s="2"/>
      <c r="K620" s="2"/>
      <c r="L620" s="2"/>
      <c r="M620" s="2"/>
      <c r="N620" s="2"/>
      <c r="O620" s="2"/>
      <c r="P620" s="2"/>
      <c r="Q620" s="2"/>
      <c r="R620" s="9"/>
      <c r="S620" s="9"/>
      <c r="T620" s="9"/>
      <c r="U620" s="9"/>
      <c r="V620" s="9"/>
      <c r="W620" s="9"/>
      <c r="X620" s="9"/>
      <c r="Y620" s="9"/>
      <c r="Z620" s="9"/>
      <c r="AA620" s="9"/>
      <c r="AB620" s="9"/>
      <c r="AC620" s="9"/>
      <c r="AD620" s="9"/>
    </row>
    <row r="621" spans="1:30" ht="13.5" customHeight="1" x14ac:dyDescent="0.25">
      <c r="A621" s="2"/>
      <c r="B621" s="2"/>
      <c r="C621" s="2"/>
      <c r="D621" s="2"/>
      <c r="E621" s="2"/>
      <c r="F621" s="2"/>
      <c r="G621" s="2"/>
      <c r="H621" s="2"/>
      <c r="I621" s="2"/>
      <c r="J621" s="2"/>
      <c r="K621" s="2"/>
      <c r="L621" s="2"/>
      <c r="M621" s="2"/>
      <c r="N621" s="2"/>
      <c r="O621" s="2"/>
      <c r="P621" s="2"/>
      <c r="Q621" s="2"/>
      <c r="R621" s="9"/>
      <c r="S621" s="9"/>
      <c r="T621" s="9"/>
      <c r="U621" s="9"/>
      <c r="V621" s="9"/>
      <c r="W621" s="9"/>
      <c r="X621" s="9"/>
      <c r="Y621" s="9"/>
      <c r="Z621" s="9"/>
      <c r="AA621" s="9"/>
      <c r="AB621" s="9"/>
      <c r="AC621" s="9"/>
      <c r="AD621" s="9"/>
    </row>
    <row r="622" spans="1:30" ht="13.5" customHeight="1" x14ac:dyDescent="0.25">
      <c r="A622" s="2"/>
      <c r="B622" s="2"/>
      <c r="C622" s="2"/>
      <c r="D622" s="2"/>
      <c r="E622" s="2"/>
      <c r="F622" s="2"/>
      <c r="G622" s="2"/>
      <c r="H622" s="2"/>
      <c r="I622" s="2"/>
      <c r="J622" s="2"/>
      <c r="K622" s="2"/>
      <c r="L622" s="2"/>
      <c r="M622" s="2"/>
      <c r="N622" s="2"/>
      <c r="O622" s="2"/>
      <c r="P622" s="2"/>
      <c r="Q622" s="2"/>
      <c r="R622" s="9"/>
      <c r="S622" s="9"/>
      <c r="T622" s="9"/>
      <c r="U622" s="9"/>
      <c r="V622" s="9"/>
      <c r="W622" s="9"/>
      <c r="X622" s="9"/>
      <c r="Y622" s="9"/>
      <c r="Z622" s="9"/>
      <c r="AA622" s="9"/>
      <c r="AB622" s="9"/>
      <c r="AC622" s="9"/>
      <c r="AD622" s="9"/>
    </row>
    <row r="623" spans="1:30" ht="13.5" customHeight="1" x14ac:dyDescent="0.25">
      <c r="A623" s="2"/>
      <c r="B623" s="2"/>
      <c r="C623" s="2"/>
      <c r="D623" s="2"/>
      <c r="E623" s="2"/>
      <c r="F623" s="2"/>
      <c r="G623" s="2"/>
      <c r="H623" s="2"/>
      <c r="I623" s="2"/>
      <c r="J623" s="2"/>
      <c r="K623" s="2"/>
      <c r="L623" s="2"/>
      <c r="M623" s="2"/>
      <c r="N623" s="2"/>
      <c r="O623" s="2"/>
      <c r="P623" s="2"/>
      <c r="Q623" s="2"/>
      <c r="R623" s="9"/>
      <c r="S623" s="9"/>
      <c r="T623" s="9"/>
      <c r="U623" s="9"/>
      <c r="V623" s="9"/>
      <c r="W623" s="9"/>
      <c r="X623" s="9"/>
      <c r="Y623" s="9"/>
      <c r="Z623" s="9"/>
      <c r="AA623" s="9"/>
      <c r="AB623" s="9"/>
      <c r="AC623" s="9"/>
      <c r="AD623" s="9"/>
    </row>
    <row r="624" spans="1:30" ht="13.5" customHeight="1" x14ac:dyDescent="0.25">
      <c r="A624" s="2"/>
      <c r="B624" s="2"/>
      <c r="C624" s="2"/>
      <c r="D624" s="2"/>
      <c r="E624" s="2"/>
      <c r="F624" s="2"/>
      <c r="G624" s="2"/>
      <c r="H624" s="2"/>
      <c r="I624" s="2"/>
      <c r="J624" s="2"/>
      <c r="K624" s="2"/>
      <c r="L624" s="2"/>
      <c r="M624" s="2"/>
      <c r="N624" s="2"/>
      <c r="O624" s="2"/>
      <c r="P624" s="2"/>
      <c r="Q624" s="2"/>
      <c r="R624" s="9"/>
      <c r="S624" s="9"/>
      <c r="T624" s="9"/>
      <c r="U624" s="9"/>
      <c r="V624" s="9"/>
      <c r="W624" s="9"/>
      <c r="X624" s="9"/>
      <c r="Y624" s="9"/>
      <c r="Z624" s="9"/>
      <c r="AA624" s="9"/>
      <c r="AB624" s="9"/>
      <c r="AC624" s="9"/>
      <c r="AD624" s="9"/>
    </row>
    <row r="625" spans="1:30" ht="13.5" customHeight="1" x14ac:dyDescent="0.25">
      <c r="A625" s="2"/>
      <c r="B625" s="2"/>
      <c r="C625" s="2"/>
      <c r="D625" s="2"/>
      <c r="E625" s="2"/>
      <c r="F625" s="2"/>
      <c r="G625" s="2"/>
      <c r="H625" s="2"/>
      <c r="I625" s="2"/>
      <c r="J625" s="2"/>
      <c r="K625" s="2"/>
      <c r="L625" s="2"/>
      <c r="M625" s="2"/>
      <c r="N625" s="2"/>
      <c r="O625" s="2"/>
      <c r="P625" s="2"/>
      <c r="Q625" s="2"/>
      <c r="R625" s="9"/>
      <c r="S625" s="9"/>
      <c r="T625" s="9"/>
      <c r="U625" s="9"/>
      <c r="V625" s="9"/>
      <c r="W625" s="9"/>
      <c r="X625" s="9"/>
      <c r="Y625" s="9"/>
      <c r="Z625" s="9"/>
      <c r="AA625" s="9"/>
      <c r="AB625" s="9"/>
      <c r="AC625" s="9"/>
      <c r="AD625" s="9"/>
    </row>
    <row r="626" spans="1:30" ht="13.5" customHeight="1" x14ac:dyDescent="0.25">
      <c r="A626" s="2"/>
      <c r="B626" s="2"/>
      <c r="C626" s="2"/>
      <c r="D626" s="2"/>
      <c r="E626" s="2"/>
      <c r="F626" s="2"/>
      <c r="G626" s="2"/>
      <c r="H626" s="2"/>
      <c r="I626" s="2"/>
      <c r="J626" s="2"/>
      <c r="K626" s="2"/>
      <c r="L626" s="2"/>
      <c r="M626" s="2"/>
      <c r="N626" s="2"/>
      <c r="O626" s="2"/>
      <c r="P626" s="2"/>
      <c r="Q626" s="2"/>
      <c r="R626" s="9"/>
      <c r="S626" s="9"/>
      <c r="T626" s="9"/>
      <c r="U626" s="9"/>
      <c r="V626" s="9"/>
      <c r="W626" s="9"/>
      <c r="X626" s="9"/>
      <c r="Y626" s="9"/>
      <c r="Z626" s="9"/>
      <c r="AA626" s="9"/>
      <c r="AB626" s="9"/>
      <c r="AC626" s="9"/>
      <c r="AD626" s="9"/>
    </row>
    <row r="627" spans="1:30" ht="13.5" customHeight="1" x14ac:dyDescent="0.25">
      <c r="A627" s="2"/>
      <c r="B627" s="2"/>
      <c r="C627" s="2"/>
      <c r="D627" s="2"/>
      <c r="E627" s="2"/>
      <c r="F627" s="2"/>
      <c r="G627" s="2"/>
      <c r="H627" s="2"/>
      <c r="I627" s="2"/>
      <c r="J627" s="2"/>
      <c r="K627" s="2"/>
      <c r="L627" s="2"/>
      <c r="M627" s="2"/>
      <c r="N627" s="2"/>
      <c r="O627" s="2"/>
      <c r="P627" s="2"/>
      <c r="Q627" s="2"/>
      <c r="R627" s="9"/>
      <c r="S627" s="9"/>
      <c r="T627" s="9"/>
      <c r="U627" s="9"/>
      <c r="V627" s="9"/>
      <c r="W627" s="9"/>
      <c r="X627" s="9"/>
      <c r="Y627" s="9"/>
      <c r="Z627" s="9"/>
      <c r="AA627" s="9"/>
      <c r="AB627" s="9"/>
      <c r="AC627" s="9"/>
      <c r="AD627" s="9"/>
    </row>
    <row r="628" spans="1:30" ht="13.5" customHeight="1" x14ac:dyDescent="0.25">
      <c r="A628" s="2"/>
      <c r="B628" s="2"/>
      <c r="C628" s="2"/>
      <c r="D628" s="2"/>
      <c r="E628" s="2"/>
      <c r="F628" s="2"/>
      <c r="G628" s="2"/>
      <c r="H628" s="2"/>
      <c r="I628" s="2"/>
      <c r="J628" s="2"/>
      <c r="K628" s="2"/>
      <c r="L628" s="2"/>
      <c r="M628" s="2"/>
      <c r="N628" s="2"/>
      <c r="O628" s="2"/>
      <c r="P628" s="2"/>
      <c r="Q628" s="2"/>
      <c r="R628" s="9"/>
      <c r="S628" s="9"/>
      <c r="T628" s="9"/>
      <c r="U628" s="9"/>
      <c r="V628" s="9"/>
      <c r="W628" s="9"/>
      <c r="X628" s="9"/>
      <c r="Y628" s="9"/>
      <c r="Z628" s="9"/>
      <c r="AA628" s="9"/>
      <c r="AB628" s="9"/>
      <c r="AC628" s="9"/>
      <c r="AD628" s="9"/>
    </row>
    <row r="629" spans="1:30" ht="13.5" customHeight="1" x14ac:dyDescent="0.25">
      <c r="A629" s="2"/>
      <c r="B629" s="2"/>
      <c r="C629" s="2"/>
      <c r="D629" s="2"/>
      <c r="E629" s="2"/>
      <c r="F629" s="2"/>
      <c r="G629" s="2"/>
      <c r="H629" s="2"/>
      <c r="I629" s="2"/>
      <c r="J629" s="2"/>
      <c r="K629" s="2"/>
      <c r="L629" s="2"/>
      <c r="M629" s="2"/>
      <c r="N629" s="2"/>
      <c r="O629" s="2"/>
      <c r="P629" s="2"/>
      <c r="Q629" s="2"/>
      <c r="R629" s="9"/>
      <c r="S629" s="9"/>
      <c r="T629" s="9"/>
      <c r="U629" s="9"/>
      <c r="V629" s="9"/>
      <c r="W629" s="9"/>
      <c r="X629" s="9"/>
      <c r="Y629" s="9"/>
      <c r="Z629" s="9"/>
      <c r="AA629" s="9"/>
      <c r="AB629" s="9"/>
      <c r="AC629" s="9"/>
      <c r="AD629" s="9"/>
    </row>
    <row r="630" spans="1:30" ht="13.5" customHeight="1" x14ac:dyDescent="0.25">
      <c r="A630" s="2"/>
      <c r="B630" s="2"/>
      <c r="C630" s="2"/>
      <c r="D630" s="2"/>
      <c r="E630" s="2"/>
      <c r="F630" s="2"/>
      <c r="G630" s="2"/>
      <c r="H630" s="2"/>
      <c r="I630" s="2"/>
      <c r="J630" s="2"/>
      <c r="K630" s="2"/>
      <c r="L630" s="2"/>
      <c r="M630" s="2"/>
      <c r="N630" s="2"/>
      <c r="O630" s="2"/>
      <c r="P630" s="2"/>
      <c r="Q630" s="2"/>
      <c r="R630" s="9"/>
      <c r="S630" s="9"/>
      <c r="T630" s="9"/>
      <c r="U630" s="9"/>
      <c r="V630" s="9"/>
      <c r="W630" s="9"/>
      <c r="X630" s="9"/>
      <c r="Y630" s="9"/>
      <c r="Z630" s="9"/>
      <c r="AA630" s="9"/>
      <c r="AB630" s="9"/>
      <c r="AC630" s="9"/>
      <c r="AD630" s="9"/>
    </row>
    <row r="631" spans="1:30" ht="13.5" customHeight="1" x14ac:dyDescent="0.25">
      <c r="A631" s="2"/>
      <c r="B631" s="2"/>
      <c r="C631" s="2"/>
      <c r="D631" s="2"/>
      <c r="E631" s="2"/>
      <c r="F631" s="2"/>
      <c r="G631" s="2"/>
      <c r="H631" s="2"/>
      <c r="I631" s="2"/>
      <c r="J631" s="2"/>
      <c r="K631" s="2"/>
      <c r="L631" s="2"/>
      <c r="M631" s="2"/>
      <c r="N631" s="2"/>
      <c r="O631" s="2"/>
      <c r="P631" s="2"/>
      <c r="Q631" s="2"/>
      <c r="R631" s="9"/>
      <c r="S631" s="9"/>
      <c r="T631" s="9"/>
      <c r="U631" s="9"/>
      <c r="V631" s="9"/>
      <c r="W631" s="9"/>
      <c r="X631" s="9"/>
      <c r="Y631" s="9"/>
      <c r="Z631" s="9"/>
      <c r="AA631" s="9"/>
      <c r="AB631" s="9"/>
      <c r="AC631" s="9"/>
      <c r="AD631" s="9"/>
    </row>
    <row r="632" spans="1:30" ht="13.5" customHeight="1" x14ac:dyDescent="0.25">
      <c r="A632" s="2"/>
      <c r="B632" s="2"/>
      <c r="C632" s="2"/>
      <c r="D632" s="2"/>
      <c r="E632" s="2"/>
      <c r="F632" s="2"/>
      <c r="G632" s="2"/>
      <c r="H632" s="2"/>
      <c r="I632" s="2"/>
      <c r="J632" s="2"/>
      <c r="K632" s="2"/>
      <c r="L632" s="2"/>
      <c r="M632" s="2"/>
      <c r="N632" s="2"/>
      <c r="O632" s="2"/>
      <c r="P632" s="2"/>
      <c r="Q632" s="2"/>
      <c r="R632" s="9"/>
      <c r="S632" s="9"/>
      <c r="T632" s="9"/>
      <c r="U632" s="9"/>
      <c r="V632" s="9"/>
      <c r="W632" s="9"/>
      <c r="X632" s="9"/>
      <c r="Y632" s="9"/>
      <c r="Z632" s="9"/>
      <c r="AA632" s="9"/>
      <c r="AB632" s="9"/>
      <c r="AC632" s="9"/>
      <c r="AD632" s="9"/>
    </row>
    <row r="633" spans="1:30" ht="13.5" customHeight="1" x14ac:dyDescent="0.25">
      <c r="A633" s="2"/>
      <c r="B633" s="2"/>
      <c r="C633" s="2"/>
      <c r="D633" s="2"/>
      <c r="E633" s="2"/>
      <c r="F633" s="2"/>
      <c r="G633" s="2"/>
      <c r="H633" s="2"/>
      <c r="I633" s="2"/>
      <c r="J633" s="2"/>
      <c r="K633" s="2"/>
      <c r="L633" s="2"/>
      <c r="M633" s="2"/>
      <c r="N633" s="2"/>
      <c r="O633" s="2"/>
      <c r="P633" s="2"/>
      <c r="Q633" s="2"/>
      <c r="R633" s="9"/>
      <c r="S633" s="9"/>
      <c r="T633" s="9"/>
      <c r="U633" s="9"/>
      <c r="V633" s="9"/>
      <c r="W633" s="9"/>
      <c r="X633" s="9"/>
      <c r="Y633" s="9"/>
      <c r="Z633" s="9"/>
      <c r="AA633" s="9"/>
      <c r="AB633" s="9"/>
      <c r="AC633" s="9"/>
      <c r="AD633" s="9"/>
    </row>
    <row r="634" spans="1:30" ht="13.5" customHeight="1" x14ac:dyDescent="0.25">
      <c r="A634" s="2"/>
      <c r="B634" s="2"/>
      <c r="C634" s="2"/>
      <c r="D634" s="2"/>
      <c r="E634" s="2"/>
      <c r="F634" s="2"/>
      <c r="G634" s="2"/>
      <c r="H634" s="2"/>
      <c r="I634" s="2"/>
      <c r="J634" s="2"/>
      <c r="K634" s="2"/>
      <c r="L634" s="2"/>
      <c r="M634" s="2"/>
      <c r="N634" s="2"/>
      <c r="O634" s="2"/>
      <c r="P634" s="2"/>
      <c r="Q634" s="2"/>
      <c r="R634" s="9"/>
      <c r="S634" s="9"/>
      <c r="T634" s="9"/>
      <c r="U634" s="9"/>
      <c r="V634" s="9"/>
      <c r="W634" s="9"/>
      <c r="X634" s="9"/>
      <c r="Y634" s="9"/>
      <c r="Z634" s="9"/>
      <c r="AA634" s="9"/>
      <c r="AB634" s="9"/>
      <c r="AC634" s="9"/>
      <c r="AD634" s="9"/>
    </row>
    <row r="635" spans="1:30" ht="13.5" customHeight="1" x14ac:dyDescent="0.25">
      <c r="A635" s="2"/>
      <c r="B635" s="2"/>
      <c r="C635" s="2"/>
      <c r="D635" s="2"/>
      <c r="E635" s="2"/>
      <c r="F635" s="2"/>
      <c r="G635" s="2"/>
      <c r="H635" s="2"/>
      <c r="I635" s="2"/>
      <c r="J635" s="2"/>
      <c r="K635" s="2"/>
      <c r="L635" s="2"/>
      <c r="M635" s="2"/>
      <c r="N635" s="2"/>
      <c r="O635" s="2"/>
      <c r="P635" s="2"/>
      <c r="Q635" s="2"/>
      <c r="R635" s="9"/>
      <c r="S635" s="9"/>
      <c r="T635" s="9"/>
      <c r="U635" s="9"/>
      <c r="V635" s="9"/>
      <c r="W635" s="9"/>
      <c r="X635" s="9"/>
      <c r="Y635" s="9"/>
      <c r="Z635" s="9"/>
      <c r="AA635" s="9"/>
      <c r="AB635" s="9"/>
      <c r="AC635" s="9"/>
      <c r="AD635" s="9"/>
    </row>
    <row r="636" spans="1:30" ht="13.5" customHeight="1" x14ac:dyDescent="0.25">
      <c r="A636" s="2"/>
      <c r="B636" s="2"/>
      <c r="C636" s="2"/>
      <c r="D636" s="2"/>
      <c r="E636" s="2"/>
      <c r="F636" s="2"/>
      <c r="G636" s="2"/>
      <c r="H636" s="2"/>
      <c r="I636" s="2"/>
      <c r="J636" s="2"/>
      <c r="K636" s="2"/>
      <c r="L636" s="2"/>
      <c r="M636" s="2"/>
      <c r="N636" s="2"/>
      <c r="O636" s="2"/>
      <c r="P636" s="2"/>
      <c r="Q636" s="2"/>
      <c r="R636" s="9"/>
      <c r="S636" s="9"/>
      <c r="T636" s="9"/>
      <c r="U636" s="9"/>
      <c r="V636" s="9"/>
      <c r="W636" s="9"/>
      <c r="X636" s="9"/>
      <c r="Y636" s="9"/>
      <c r="Z636" s="9"/>
      <c r="AA636" s="9"/>
      <c r="AB636" s="9"/>
      <c r="AC636" s="9"/>
      <c r="AD636" s="9"/>
    </row>
    <row r="637" spans="1:30" ht="13.5" customHeight="1" x14ac:dyDescent="0.25">
      <c r="A637" s="2"/>
      <c r="B637" s="2"/>
      <c r="C637" s="2"/>
      <c r="D637" s="2"/>
      <c r="E637" s="2"/>
      <c r="F637" s="2"/>
      <c r="G637" s="2"/>
      <c r="H637" s="2"/>
      <c r="I637" s="2"/>
      <c r="J637" s="2"/>
      <c r="K637" s="2"/>
      <c r="L637" s="2"/>
      <c r="M637" s="2"/>
      <c r="N637" s="2"/>
      <c r="O637" s="2"/>
      <c r="P637" s="2"/>
      <c r="Q637" s="2"/>
      <c r="R637" s="9"/>
      <c r="S637" s="9"/>
      <c r="T637" s="9"/>
      <c r="U637" s="9"/>
      <c r="V637" s="9"/>
      <c r="W637" s="9"/>
      <c r="X637" s="9"/>
      <c r="Y637" s="9"/>
      <c r="Z637" s="9"/>
      <c r="AA637" s="9"/>
      <c r="AB637" s="9"/>
      <c r="AC637" s="9"/>
      <c r="AD637" s="9"/>
    </row>
    <row r="638" spans="1:30" ht="13.5" customHeight="1" x14ac:dyDescent="0.25">
      <c r="A638" s="2"/>
      <c r="B638" s="2"/>
      <c r="C638" s="2"/>
      <c r="D638" s="2"/>
      <c r="E638" s="2"/>
      <c r="F638" s="2"/>
      <c r="G638" s="2"/>
      <c r="H638" s="2"/>
      <c r="I638" s="2"/>
      <c r="J638" s="2"/>
      <c r="K638" s="2"/>
      <c r="L638" s="2"/>
      <c r="M638" s="2"/>
      <c r="N638" s="2"/>
      <c r="O638" s="2"/>
      <c r="P638" s="2"/>
      <c r="Q638" s="2"/>
      <c r="R638" s="9"/>
      <c r="S638" s="9"/>
      <c r="T638" s="9"/>
      <c r="U638" s="9"/>
      <c r="V638" s="9"/>
      <c r="W638" s="9"/>
      <c r="X638" s="9"/>
      <c r="Y638" s="9"/>
      <c r="Z638" s="9"/>
      <c r="AA638" s="9"/>
      <c r="AB638" s="9"/>
      <c r="AC638" s="9"/>
      <c r="AD638" s="9"/>
    </row>
    <row r="639" spans="1:30" ht="13.5" customHeight="1" x14ac:dyDescent="0.25">
      <c r="A639" s="2"/>
      <c r="B639" s="2"/>
      <c r="C639" s="2"/>
      <c r="D639" s="2"/>
      <c r="E639" s="2"/>
      <c r="F639" s="2"/>
      <c r="G639" s="2"/>
      <c r="H639" s="2"/>
      <c r="I639" s="2"/>
      <c r="J639" s="2"/>
      <c r="K639" s="2"/>
      <c r="L639" s="2"/>
      <c r="M639" s="2"/>
      <c r="N639" s="2"/>
      <c r="O639" s="2"/>
      <c r="P639" s="2"/>
      <c r="Q639" s="2"/>
      <c r="R639" s="9"/>
      <c r="S639" s="9"/>
      <c r="T639" s="9"/>
      <c r="U639" s="9"/>
      <c r="V639" s="9"/>
      <c r="W639" s="9"/>
      <c r="X639" s="9"/>
      <c r="Y639" s="9"/>
      <c r="Z639" s="9"/>
      <c r="AA639" s="9"/>
      <c r="AB639" s="9"/>
      <c r="AC639" s="9"/>
      <c r="AD639" s="9"/>
    </row>
    <row r="640" spans="1:30" ht="13.5" customHeight="1" x14ac:dyDescent="0.25">
      <c r="A640" s="2"/>
      <c r="B640" s="2"/>
      <c r="C640" s="2"/>
      <c r="D640" s="2"/>
      <c r="E640" s="2"/>
      <c r="F640" s="2"/>
      <c r="G640" s="2"/>
      <c r="H640" s="2"/>
      <c r="I640" s="2"/>
      <c r="J640" s="2"/>
      <c r="K640" s="2"/>
      <c r="L640" s="2"/>
      <c r="M640" s="2"/>
      <c r="N640" s="2"/>
      <c r="O640" s="2"/>
      <c r="P640" s="2"/>
      <c r="Q640" s="2"/>
      <c r="R640" s="9"/>
      <c r="S640" s="9"/>
      <c r="T640" s="9"/>
      <c r="U640" s="9"/>
      <c r="V640" s="9"/>
      <c r="W640" s="9"/>
      <c r="X640" s="9"/>
      <c r="Y640" s="9"/>
      <c r="Z640" s="9"/>
      <c r="AA640" s="9"/>
      <c r="AB640" s="9"/>
      <c r="AC640" s="9"/>
      <c r="AD640" s="9"/>
    </row>
    <row r="641" spans="1:30" ht="13.5" customHeight="1" x14ac:dyDescent="0.25">
      <c r="A641" s="2"/>
      <c r="B641" s="2"/>
      <c r="C641" s="2"/>
      <c r="D641" s="2"/>
      <c r="E641" s="2"/>
      <c r="F641" s="2"/>
      <c r="G641" s="2"/>
      <c r="H641" s="2"/>
      <c r="I641" s="2"/>
      <c r="J641" s="2"/>
      <c r="K641" s="2"/>
      <c r="L641" s="2"/>
      <c r="M641" s="2"/>
      <c r="N641" s="2"/>
      <c r="O641" s="2"/>
      <c r="P641" s="2"/>
      <c r="Q641" s="2"/>
      <c r="R641" s="9"/>
      <c r="S641" s="9"/>
      <c r="T641" s="9"/>
      <c r="U641" s="9"/>
      <c r="V641" s="9"/>
      <c r="W641" s="9"/>
      <c r="X641" s="9"/>
      <c r="Y641" s="9"/>
      <c r="Z641" s="9"/>
      <c r="AA641" s="9"/>
      <c r="AB641" s="9"/>
      <c r="AC641" s="9"/>
      <c r="AD641" s="9"/>
    </row>
    <row r="642" spans="1:30" ht="13.5" customHeight="1" x14ac:dyDescent="0.25">
      <c r="A642" s="2"/>
      <c r="B642" s="2"/>
      <c r="C642" s="2"/>
      <c r="D642" s="2"/>
      <c r="E642" s="2"/>
      <c r="F642" s="2"/>
      <c r="G642" s="2"/>
      <c r="H642" s="2"/>
      <c r="I642" s="2"/>
      <c r="J642" s="2"/>
      <c r="K642" s="2"/>
      <c r="L642" s="2"/>
      <c r="M642" s="2"/>
      <c r="N642" s="2"/>
      <c r="O642" s="2"/>
      <c r="P642" s="2"/>
      <c r="Q642" s="2"/>
      <c r="R642" s="9"/>
      <c r="S642" s="9"/>
      <c r="T642" s="9"/>
      <c r="U642" s="9"/>
      <c r="V642" s="9"/>
      <c r="W642" s="9"/>
      <c r="X642" s="9"/>
      <c r="Y642" s="9"/>
      <c r="Z642" s="9"/>
      <c r="AA642" s="9"/>
      <c r="AB642" s="9"/>
      <c r="AC642" s="9"/>
      <c r="AD642" s="9"/>
    </row>
    <row r="643" spans="1:30" ht="13.5" customHeight="1" x14ac:dyDescent="0.25">
      <c r="A643" s="2"/>
      <c r="B643" s="2"/>
      <c r="C643" s="2"/>
      <c r="D643" s="2"/>
      <c r="E643" s="2"/>
      <c r="F643" s="2"/>
      <c r="G643" s="2"/>
      <c r="H643" s="2"/>
      <c r="I643" s="2"/>
      <c r="J643" s="2"/>
      <c r="K643" s="2"/>
      <c r="L643" s="2"/>
      <c r="M643" s="2"/>
      <c r="N643" s="2"/>
      <c r="O643" s="2"/>
      <c r="P643" s="2"/>
      <c r="Q643" s="2"/>
      <c r="R643" s="9"/>
      <c r="S643" s="9"/>
      <c r="T643" s="9"/>
      <c r="U643" s="9"/>
      <c r="V643" s="9"/>
      <c r="W643" s="9"/>
      <c r="X643" s="9"/>
      <c r="Y643" s="9"/>
      <c r="Z643" s="9"/>
      <c r="AA643" s="9"/>
      <c r="AB643" s="9"/>
      <c r="AC643" s="9"/>
      <c r="AD643" s="9"/>
    </row>
    <row r="644" spans="1:30" ht="13.5" customHeight="1" x14ac:dyDescent="0.25">
      <c r="A644" s="2"/>
      <c r="B644" s="2"/>
      <c r="C644" s="2"/>
      <c r="D644" s="2"/>
      <c r="E644" s="2"/>
      <c r="F644" s="2"/>
      <c r="G644" s="2"/>
      <c r="H644" s="2"/>
      <c r="I644" s="2"/>
      <c r="J644" s="2"/>
      <c r="K644" s="2"/>
      <c r="L644" s="2"/>
      <c r="M644" s="2"/>
      <c r="N644" s="2"/>
      <c r="O644" s="2"/>
      <c r="P644" s="2"/>
      <c r="Q644" s="2"/>
      <c r="R644" s="9"/>
      <c r="S644" s="9"/>
      <c r="T644" s="9"/>
      <c r="U644" s="9"/>
      <c r="V644" s="9"/>
      <c r="W644" s="9"/>
      <c r="X644" s="9"/>
      <c r="Y644" s="9"/>
      <c r="Z644" s="9"/>
      <c r="AA644" s="9"/>
      <c r="AB644" s="9"/>
      <c r="AC644" s="9"/>
      <c r="AD644" s="9"/>
    </row>
    <row r="645" spans="1:30" ht="13.5" customHeight="1" x14ac:dyDescent="0.25">
      <c r="A645" s="2"/>
      <c r="B645" s="2"/>
      <c r="C645" s="2"/>
      <c r="D645" s="2"/>
      <c r="E645" s="2"/>
      <c r="F645" s="2"/>
      <c r="G645" s="2"/>
      <c r="H645" s="2"/>
      <c r="I645" s="2"/>
      <c r="J645" s="2"/>
      <c r="K645" s="2"/>
      <c r="L645" s="2"/>
      <c r="M645" s="2"/>
      <c r="N645" s="2"/>
      <c r="O645" s="2"/>
      <c r="P645" s="2"/>
      <c r="Q645" s="2"/>
      <c r="R645" s="9"/>
      <c r="S645" s="9"/>
      <c r="T645" s="9"/>
      <c r="U645" s="9"/>
      <c r="V645" s="9"/>
      <c r="W645" s="9"/>
      <c r="X645" s="9"/>
      <c r="Y645" s="9"/>
      <c r="Z645" s="9"/>
      <c r="AA645" s="9"/>
      <c r="AB645" s="9"/>
      <c r="AC645" s="9"/>
      <c r="AD645" s="9"/>
    </row>
    <row r="646" spans="1:30" ht="13.5" customHeight="1" x14ac:dyDescent="0.25">
      <c r="A646" s="2"/>
      <c r="B646" s="2"/>
      <c r="C646" s="2"/>
      <c r="D646" s="2"/>
      <c r="E646" s="2"/>
      <c r="F646" s="2"/>
      <c r="G646" s="2"/>
      <c r="H646" s="2"/>
      <c r="I646" s="2"/>
      <c r="J646" s="2"/>
      <c r="K646" s="2"/>
      <c r="L646" s="2"/>
      <c r="M646" s="2"/>
      <c r="N646" s="2"/>
      <c r="O646" s="2"/>
      <c r="P646" s="2"/>
      <c r="Q646" s="2"/>
      <c r="R646" s="9"/>
      <c r="S646" s="9"/>
      <c r="T646" s="9"/>
      <c r="U646" s="9"/>
      <c r="V646" s="9"/>
      <c r="W646" s="9"/>
      <c r="X646" s="9"/>
      <c r="Y646" s="9"/>
      <c r="Z646" s="9"/>
      <c r="AA646" s="9"/>
      <c r="AB646" s="9"/>
      <c r="AC646" s="9"/>
      <c r="AD646" s="9"/>
    </row>
    <row r="647" spans="1:30" ht="13.5" customHeight="1" x14ac:dyDescent="0.25">
      <c r="A647" s="2"/>
      <c r="B647" s="2"/>
      <c r="C647" s="2"/>
      <c r="D647" s="2"/>
      <c r="E647" s="2"/>
      <c r="F647" s="2"/>
      <c r="G647" s="2"/>
      <c r="H647" s="2"/>
      <c r="I647" s="2"/>
      <c r="J647" s="2"/>
      <c r="K647" s="2"/>
      <c r="L647" s="2"/>
      <c r="M647" s="2"/>
      <c r="N647" s="2"/>
      <c r="O647" s="2"/>
      <c r="P647" s="2"/>
      <c r="Q647" s="2"/>
      <c r="R647" s="9"/>
      <c r="S647" s="9"/>
      <c r="T647" s="9"/>
      <c r="U647" s="9"/>
      <c r="V647" s="9"/>
      <c r="W647" s="9"/>
      <c r="X647" s="9"/>
      <c r="Y647" s="9"/>
      <c r="Z647" s="9"/>
      <c r="AA647" s="9"/>
      <c r="AB647" s="9"/>
      <c r="AC647" s="9"/>
      <c r="AD647" s="9"/>
    </row>
    <row r="648" spans="1:30" ht="13.5" customHeight="1" x14ac:dyDescent="0.25">
      <c r="A648" s="2"/>
      <c r="B648" s="2"/>
      <c r="C648" s="2"/>
      <c r="D648" s="2"/>
      <c r="E648" s="2"/>
      <c r="F648" s="2"/>
      <c r="G648" s="2"/>
      <c r="H648" s="2"/>
      <c r="I648" s="2"/>
      <c r="J648" s="2"/>
      <c r="K648" s="2"/>
      <c r="L648" s="2"/>
      <c r="M648" s="2"/>
      <c r="N648" s="2"/>
      <c r="O648" s="2"/>
      <c r="P648" s="2"/>
      <c r="Q648" s="2"/>
      <c r="R648" s="9"/>
      <c r="S648" s="9"/>
      <c r="T648" s="9"/>
      <c r="U648" s="9"/>
      <c r="V648" s="9"/>
      <c r="W648" s="9"/>
      <c r="X648" s="9"/>
      <c r="Y648" s="9"/>
      <c r="Z648" s="9"/>
      <c r="AA648" s="9"/>
      <c r="AB648" s="9"/>
      <c r="AC648" s="9"/>
      <c r="AD648" s="9"/>
    </row>
    <row r="649" spans="1:30" ht="13.5" customHeight="1" x14ac:dyDescent="0.25">
      <c r="A649" s="2"/>
      <c r="B649" s="2"/>
      <c r="C649" s="2"/>
      <c r="D649" s="2"/>
      <c r="E649" s="2"/>
      <c r="F649" s="2"/>
      <c r="G649" s="2"/>
      <c r="H649" s="2"/>
      <c r="I649" s="2"/>
      <c r="J649" s="2"/>
      <c r="K649" s="2"/>
      <c r="L649" s="2"/>
      <c r="M649" s="2"/>
      <c r="N649" s="2"/>
      <c r="O649" s="2"/>
      <c r="P649" s="2"/>
      <c r="Q649" s="2"/>
      <c r="R649" s="9"/>
      <c r="S649" s="9"/>
      <c r="T649" s="9"/>
      <c r="U649" s="9"/>
      <c r="V649" s="9"/>
      <c r="W649" s="9"/>
      <c r="X649" s="9"/>
      <c r="Y649" s="9"/>
      <c r="Z649" s="9"/>
      <c r="AA649" s="9"/>
      <c r="AB649" s="9"/>
      <c r="AC649" s="9"/>
      <c r="AD649" s="9"/>
    </row>
    <row r="650" spans="1:30" ht="13.5" customHeight="1" x14ac:dyDescent="0.25">
      <c r="A650" s="2"/>
      <c r="B650" s="2"/>
      <c r="C650" s="2"/>
      <c r="D650" s="2"/>
      <c r="E650" s="2"/>
      <c r="F650" s="2"/>
      <c r="G650" s="2"/>
      <c r="H650" s="2"/>
      <c r="I650" s="2"/>
      <c r="J650" s="2"/>
      <c r="K650" s="2"/>
      <c r="L650" s="2"/>
      <c r="M650" s="2"/>
      <c r="N650" s="2"/>
      <c r="O650" s="2"/>
      <c r="P650" s="2"/>
      <c r="Q650" s="2"/>
      <c r="R650" s="9"/>
      <c r="S650" s="9"/>
      <c r="T650" s="9"/>
      <c r="U650" s="9"/>
      <c r="V650" s="9"/>
      <c r="W650" s="9"/>
      <c r="X650" s="9"/>
      <c r="Y650" s="9"/>
      <c r="Z650" s="9"/>
      <c r="AA650" s="9"/>
      <c r="AB650" s="9"/>
      <c r="AC650" s="9"/>
      <c r="AD650" s="9"/>
    </row>
    <row r="651" spans="1:30" ht="13.5" customHeight="1" x14ac:dyDescent="0.25">
      <c r="A651" s="2"/>
      <c r="B651" s="2"/>
      <c r="C651" s="2"/>
      <c r="D651" s="2"/>
      <c r="E651" s="2"/>
      <c r="F651" s="2"/>
      <c r="G651" s="2"/>
      <c r="H651" s="2"/>
      <c r="I651" s="2"/>
      <c r="J651" s="2"/>
      <c r="K651" s="2"/>
      <c r="L651" s="2"/>
      <c r="M651" s="2"/>
      <c r="N651" s="2"/>
      <c r="O651" s="2"/>
      <c r="P651" s="2"/>
      <c r="Q651" s="2"/>
      <c r="R651" s="9"/>
      <c r="S651" s="9"/>
      <c r="T651" s="9"/>
      <c r="U651" s="9"/>
      <c r="V651" s="9"/>
      <c r="W651" s="9"/>
      <c r="X651" s="9"/>
      <c r="Y651" s="9"/>
      <c r="Z651" s="9"/>
      <c r="AA651" s="9"/>
      <c r="AB651" s="9"/>
      <c r="AC651" s="9"/>
      <c r="AD651" s="9"/>
    </row>
    <row r="652" spans="1:30" ht="13.5" customHeight="1" x14ac:dyDescent="0.25">
      <c r="A652" s="2"/>
      <c r="B652" s="2"/>
      <c r="C652" s="2"/>
      <c r="D652" s="2"/>
      <c r="E652" s="2"/>
      <c r="F652" s="2"/>
      <c r="G652" s="2"/>
      <c r="H652" s="2"/>
      <c r="I652" s="2"/>
      <c r="J652" s="2"/>
      <c r="K652" s="2"/>
      <c r="L652" s="2"/>
      <c r="M652" s="2"/>
      <c r="N652" s="2"/>
      <c r="O652" s="2"/>
      <c r="P652" s="2"/>
      <c r="Q652" s="2"/>
      <c r="R652" s="9"/>
      <c r="S652" s="9"/>
      <c r="T652" s="9"/>
      <c r="U652" s="9"/>
      <c r="V652" s="9"/>
      <c r="W652" s="9"/>
      <c r="X652" s="9"/>
      <c r="Y652" s="9"/>
      <c r="Z652" s="9"/>
      <c r="AA652" s="9"/>
      <c r="AB652" s="9"/>
      <c r="AC652" s="9"/>
      <c r="AD652" s="9"/>
    </row>
    <row r="653" spans="1:30" ht="13.5" customHeight="1" x14ac:dyDescent="0.25">
      <c r="A653" s="2"/>
      <c r="B653" s="2"/>
      <c r="C653" s="2"/>
      <c r="D653" s="2"/>
      <c r="E653" s="2"/>
      <c r="F653" s="2"/>
      <c r="G653" s="2"/>
      <c r="H653" s="2"/>
      <c r="I653" s="2"/>
      <c r="J653" s="2"/>
      <c r="K653" s="2"/>
      <c r="L653" s="2"/>
      <c r="M653" s="2"/>
      <c r="N653" s="2"/>
      <c r="O653" s="2"/>
      <c r="P653" s="2"/>
      <c r="Q653" s="2"/>
      <c r="R653" s="9"/>
      <c r="S653" s="9"/>
      <c r="T653" s="9"/>
      <c r="U653" s="9"/>
      <c r="V653" s="9"/>
      <c r="W653" s="9"/>
      <c r="X653" s="9"/>
      <c r="Y653" s="9"/>
      <c r="Z653" s="9"/>
      <c r="AA653" s="9"/>
      <c r="AB653" s="9"/>
      <c r="AC653" s="9"/>
      <c r="AD653" s="9"/>
    </row>
    <row r="654" spans="1:30" ht="13.5" customHeight="1" x14ac:dyDescent="0.25">
      <c r="A654" s="2"/>
      <c r="B654" s="2"/>
      <c r="C654" s="2"/>
      <c r="D654" s="2"/>
      <c r="E654" s="2"/>
      <c r="F654" s="2"/>
      <c r="G654" s="2"/>
      <c r="H654" s="2"/>
      <c r="I654" s="2"/>
      <c r="J654" s="2"/>
      <c r="K654" s="2"/>
      <c r="L654" s="2"/>
      <c r="M654" s="2"/>
      <c r="N654" s="2"/>
      <c r="O654" s="2"/>
      <c r="P654" s="2"/>
      <c r="Q654" s="2"/>
      <c r="R654" s="9"/>
      <c r="S654" s="9"/>
      <c r="T654" s="9"/>
      <c r="U654" s="9"/>
      <c r="V654" s="9"/>
      <c r="W654" s="9"/>
      <c r="X654" s="9"/>
      <c r="Y654" s="9"/>
      <c r="Z654" s="9"/>
      <c r="AA654" s="9"/>
      <c r="AB654" s="9"/>
      <c r="AC654" s="9"/>
      <c r="AD654" s="9"/>
    </row>
    <row r="655" spans="1:30" ht="13.5" customHeight="1" x14ac:dyDescent="0.25">
      <c r="A655" s="2"/>
      <c r="B655" s="2"/>
      <c r="C655" s="2"/>
      <c r="D655" s="2"/>
      <c r="E655" s="2"/>
      <c r="F655" s="2"/>
      <c r="G655" s="2"/>
      <c r="H655" s="2"/>
      <c r="I655" s="2"/>
      <c r="J655" s="2"/>
      <c r="K655" s="2"/>
      <c r="L655" s="2"/>
      <c r="M655" s="2"/>
      <c r="N655" s="2"/>
      <c r="O655" s="2"/>
      <c r="P655" s="2"/>
      <c r="Q655" s="2"/>
      <c r="R655" s="9"/>
      <c r="S655" s="9"/>
      <c r="T655" s="9"/>
      <c r="U655" s="9"/>
      <c r="V655" s="9"/>
      <c r="W655" s="9"/>
      <c r="X655" s="9"/>
      <c r="Y655" s="9"/>
      <c r="Z655" s="9"/>
      <c r="AA655" s="9"/>
      <c r="AB655" s="9"/>
      <c r="AC655" s="9"/>
      <c r="AD655" s="9"/>
    </row>
    <row r="656" spans="1:30" ht="13.5" customHeight="1" x14ac:dyDescent="0.25">
      <c r="A656" s="2"/>
      <c r="B656" s="2"/>
      <c r="C656" s="2"/>
      <c r="D656" s="2"/>
      <c r="E656" s="2"/>
      <c r="F656" s="2"/>
      <c r="G656" s="2"/>
      <c r="H656" s="2"/>
      <c r="I656" s="2"/>
      <c r="J656" s="2"/>
      <c r="K656" s="2"/>
      <c r="L656" s="2"/>
      <c r="M656" s="2"/>
      <c r="N656" s="2"/>
      <c r="O656" s="2"/>
      <c r="P656" s="2"/>
      <c r="Q656" s="2"/>
      <c r="R656" s="9"/>
      <c r="S656" s="9"/>
      <c r="T656" s="9"/>
      <c r="U656" s="9"/>
      <c r="V656" s="9"/>
      <c r="W656" s="9"/>
      <c r="X656" s="9"/>
      <c r="Y656" s="9"/>
      <c r="Z656" s="9"/>
      <c r="AA656" s="9"/>
      <c r="AB656" s="9"/>
      <c r="AC656" s="9"/>
      <c r="AD656" s="9"/>
    </row>
    <row r="657" spans="1:30" ht="13.5" customHeight="1" x14ac:dyDescent="0.25">
      <c r="A657" s="2"/>
      <c r="B657" s="2"/>
      <c r="C657" s="2"/>
      <c r="D657" s="2"/>
      <c r="E657" s="2"/>
      <c r="F657" s="2"/>
      <c r="G657" s="2"/>
      <c r="H657" s="2"/>
      <c r="I657" s="2"/>
      <c r="J657" s="2"/>
      <c r="K657" s="2"/>
      <c r="L657" s="2"/>
      <c r="M657" s="2"/>
      <c r="N657" s="2"/>
      <c r="O657" s="2"/>
      <c r="P657" s="2"/>
      <c r="Q657" s="2"/>
      <c r="R657" s="9"/>
      <c r="S657" s="9"/>
      <c r="T657" s="9"/>
      <c r="U657" s="9"/>
      <c r="V657" s="9"/>
      <c r="W657" s="9"/>
      <c r="X657" s="9"/>
      <c r="Y657" s="9"/>
      <c r="Z657" s="9"/>
      <c r="AA657" s="9"/>
      <c r="AB657" s="9"/>
      <c r="AC657" s="9"/>
      <c r="AD657" s="9"/>
    </row>
    <row r="658" spans="1:30" ht="13.5" customHeight="1" x14ac:dyDescent="0.25">
      <c r="A658" s="2"/>
      <c r="B658" s="2"/>
      <c r="C658" s="2"/>
      <c r="D658" s="2"/>
      <c r="E658" s="2"/>
      <c r="F658" s="2"/>
      <c r="G658" s="2"/>
      <c r="H658" s="2"/>
      <c r="I658" s="2"/>
      <c r="J658" s="2"/>
      <c r="K658" s="2"/>
      <c r="L658" s="2"/>
      <c r="M658" s="2"/>
      <c r="N658" s="2"/>
      <c r="O658" s="2"/>
      <c r="P658" s="2"/>
      <c r="Q658" s="2"/>
      <c r="R658" s="9"/>
      <c r="S658" s="9"/>
      <c r="T658" s="9"/>
      <c r="U658" s="9"/>
      <c r="V658" s="9"/>
      <c r="W658" s="9"/>
      <c r="X658" s="9"/>
      <c r="Y658" s="9"/>
      <c r="Z658" s="9"/>
      <c r="AA658" s="9"/>
      <c r="AB658" s="9"/>
      <c r="AC658" s="9"/>
      <c r="AD658" s="9"/>
    </row>
    <row r="659" spans="1:30" ht="13.5" customHeight="1" x14ac:dyDescent="0.25">
      <c r="A659" s="2"/>
      <c r="B659" s="2"/>
      <c r="C659" s="2"/>
      <c r="D659" s="2"/>
      <c r="E659" s="2"/>
      <c r="F659" s="2"/>
      <c r="G659" s="2"/>
      <c r="H659" s="2"/>
      <c r="I659" s="2"/>
      <c r="J659" s="2"/>
      <c r="K659" s="2"/>
      <c r="L659" s="2"/>
      <c r="M659" s="2"/>
      <c r="N659" s="2"/>
      <c r="O659" s="2"/>
      <c r="P659" s="2"/>
      <c r="Q659" s="2"/>
      <c r="R659" s="9"/>
      <c r="S659" s="9"/>
      <c r="T659" s="9"/>
      <c r="U659" s="9"/>
      <c r="V659" s="9"/>
      <c r="W659" s="9"/>
      <c r="X659" s="9"/>
      <c r="Y659" s="9"/>
      <c r="Z659" s="9"/>
      <c r="AA659" s="9"/>
      <c r="AB659" s="9"/>
      <c r="AC659" s="9"/>
      <c r="AD659" s="9"/>
    </row>
    <row r="660" spans="1:30" ht="13.5" customHeight="1" x14ac:dyDescent="0.25">
      <c r="A660" s="2"/>
      <c r="B660" s="2"/>
      <c r="C660" s="2"/>
      <c r="D660" s="2"/>
      <c r="E660" s="2"/>
      <c r="F660" s="2"/>
      <c r="G660" s="2"/>
      <c r="H660" s="2"/>
      <c r="I660" s="2"/>
      <c r="J660" s="2"/>
      <c r="K660" s="2"/>
      <c r="L660" s="2"/>
      <c r="M660" s="2"/>
      <c r="N660" s="2"/>
      <c r="O660" s="2"/>
      <c r="P660" s="2"/>
      <c r="Q660" s="2"/>
      <c r="R660" s="9"/>
      <c r="S660" s="9"/>
      <c r="T660" s="9"/>
      <c r="U660" s="9"/>
      <c r="V660" s="9"/>
      <c r="W660" s="9"/>
      <c r="X660" s="9"/>
      <c r="Y660" s="9"/>
      <c r="Z660" s="9"/>
      <c r="AA660" s="9"/>
      <c r="AB660" s="9"/>
      <c r="AC660" s="9"/>
      <c r="AD660" s="9"/>
    </row>
    <row r="661" spans="1:30" ht="13.5" customHeight="1" x14ac:dyDescent="0.25">
      <c r="A661" s="2"/>
      <c r="B661" s="2"/>
      <c r="C661" s="2"/>
      <c r="D661" s="2"/>
      <c r="E661" s="2"/>
      <c r="F661" s="2"/>
      <c r="G661" s="2"/>
      <c r="H661" s="2"/>
      <c r="I661" s="2"/>
      <c r="J661" s="2"/>
      <c r="K661" s="2"/>
      <c r="L661" s="2"/>
      <c r="M661" s="2"/>
      <c r="N661" s="2"/>
      <c r="O661" s="2"/>
      <c r="P661" s="2"/>
      <c r="Q661" s="2"/>
      <c r="R661" s="9"/>
      <c r="S661" s="9"/>
      <c r="T661" s="9"/>
      <c r="U661" s="9"/>
      <c r="V661" s="9"/>
      <c r="W661" s="9"/>
      <c r="X661" s="9"/>
      <c r="Y661" s="9"/>
      <c r="Z661" s="9"/>
      <c r="AA661" s="9"/>
      <c r="AB661" s="9"/>
      <c r="AC661" s="9"/>
      <c r="AD661" s="9"/>
    </row>
    <row r="662" spans="1:30" ht="13.5" customHeight="1" x14ac:dyDescent="0.25">
      <c r="A662" s="2"/>
      <c r="B662" s="2"/>
      <c r="C662" s="2"/>
      <c r="D662" s="2"/>
      <c r="E662" s="2"/>
      <c r="F662" s="2"/>
      <c r="G662" s="2"/>
      <c r="H662" s="2"/>
      <c r="I662" s="2"/>
      <c r="J662" s="2"/>
      <c r="K662" s="2"/>
      <c r="L662" s="2"/>
      <c r="M662" s="2"/>
      <c r="N662" s="2"/>
      <c r="O662" s="2"/>
      <c r="P662" s="2"/>
      <c r="Q662" s="2"/>
      <c r="R662" s="9"/>
      <c r="S662" s="9"/>
      <c r="T662" s="9"/>
      <c r="U662" s="9"/>
      <c r="V662" s="9"/>
      <c r="W662" s="9"/>
      <c r="X662" s="9"/>
      <c r="Y662" s="9"/>
      <c r="Z662" s="9"/>
      <c r="AA662" s="9"/>
      <c r="AB662" s="9"/>
      <c r="AC662" s="9"/>
      <c r="AD662" s="9"/>
    </row>
    <row r="663" spans="1:30" ht="13.5" customHeight="1" x14ac:dyDescent="0.25">
      <c r="A663" s="2"/>
      <c r="B663" s="2"/>
      <c r="C663" s="2"/>
      <c r="D663" s="2"/>
      <c r="E663" s="2"/>
      <c r="F663" s="2"/>
      <c r="G663" s="2"/>
      <c r="H663" s="2"/>
      <c r="I663" s="2"/>
      <c r="J663" s="2"/>
      <c r="K663" s="2"/>
      <c r="L663" s="2"/>
      <c r="M663" s="2"/>
      <c r="N663" s="2"/>
      <c r="O663" s="2"/>
      <c r="P663" s="2"/>
      <c r="Q663" s="2"/>
      <c r="R663" s="9"/>
      <c r="S663" s="9"/>
      <c r="T663" s="9"/>
      <c r="U663" s="9"/>
      <c r="V663" s="9"/>
      <c r="W663" s="9"/>
      <c r="X663" s="9"/>
      <c r="Y663" s="9"/>
      <c r="Z663" s="9"/>
      <c r="AA663" s="9"/>
      <c r="AB663" s="9"/>
      <c r="AC663" s="9"/>
      <c r="AD663" s="9"/>
    </row>
    <row r="664" spans="1:30" ht="13.5" customHeight="1" x14ac:dyDescent="0.25">
      <c r="A664" s="2"/>
      <c r="B664" s="2"/>
      <c r="C664" s="2"/>
      <c r="D664" s="2"/>
      <c r="E664" s="2"/>
      <c r="F664" s="2"/>
      <c r="G664" s="2"/>
      <c r="H664" s="2"/>
      <c r="I664" s="2"/>
      <c r="J664" s="2"/>
      <c r="K664" s="2"/>
      <c r="L664" s="2"/>
      <c r="M664" s="2"/>
      <c r="N664" s="2"/>
      <c r="O664" s="2"/>
      <c r="P664" s="2"/>
      <c r="Q664" s="2"/>
      <c r="R664" s="9"/>
      <c r="S664" s="9"/>
      <c r="T664" s="9"/>
      <c r="U664" s="9"/>
      <c r="V664" s="9"/>
      <c r="W664" s="9"/>
      <c r="X664" s="9"/>
      <c r="Y664" s="9"/>
      <c r="Z664" s="9"/>
      <c r="AA664" s="9"/>
      <c r="AB664" s="9"/>
      <c r="AC664" s="9"/>
      <c r="AD664" s="9"/>
    </row>
    <row r="665" spans="1:30" ht="13.5" customHeight="1" x14ac:dyDescent="0.25">
      <c r="A665" s="2"/>
      <c r="B665" s="2"/>
      <c r="C665" s="2"/>
      <c r="D665" s="2"/>
      <c r="E665" s="2"/>
      <c r="F665" s="2"/>
      <c r="G665" s="2"/>
      <c r="H665" s="2"/>
      <c r="I665" s="2"/>
      <c r="J665" s="2"/>
      <c r="K665" s="2"/>
      <c r="L665" s="2"/>
      <c r="M665" s="2"/>
      <c r="N665" s="2"/>
      <c r="O665" s="2"/>
      <c r="P665" s="2"/>
      <c r="Q665" s="2"/>
      <c r="R665" s="9"/>
      <c r="S665" s="9"/>
      <c r="T665" s="9"/>
      <c r="U665" s="9"/>
      <c r="V665" s="9"/>
      <c r="W665" s="9"/>
      <c r="X665" s="9"/>
      <c r="Y665" s="9"/>
      <c r="Z665" s="9"/>
      <c r="AA665" s="9"/>
      <c r="AB665" s="9"/>
      <c r="AC665" s="9"/>
      <c r="AD665" s="9"/>
    </row>
    <row r="666" spans="1:30" ht="13.5" customHeight="1" x14ac:dyDescent="0.25">
      <c r="A666" s="2"/>
      <c r="B666" s="2"/>
      <c r="C666" s="2"/>
      <c r="D666" s="2"/>
      <c r="E666" s="2"/>
      <c r="F666" s="2"/>
      <c r="G666" s="2"/>
      <c r="H666" s="2"/>
      <c r="I666" s="2"/>
      <c r="J666" s="2"/>
      <c r="K666" s="2"/>
      <c r="L666" s="2"/>
      <c r="M666" s="2"/>
      <c r="N666" s="2"/>
      <c r="O666" s="2"/>
      <c r="P666" s="2"/>
      <c r="Q666" s="2"/>
      <c r="R666" s="9"/>
      <c r="S666" s="9"/>
      <c r="T666" s="9"/>
      <c r="U666" s="9"/>
      <c r="V666" s="9"/>
      <c r="W666" s="9"/>
      <c r="X666" s="9"/>
      <c r="Y666" s="9"/>
      <c r="Z666" s="9"/>
      <c r="AA666" s="9"/>
      <c r="AB666" s="9"/>
      <c r="AC666" s="9"/>
      <c r="AD666" s="9"/>
    </row>
    <row r="667" spans="1:30" ht="13.5" customHeight="1" x14ac:dyDescent="0.25">
      <c r="A667" s="2"/>
      <c r="B667" s="2"/>
      <c r="C667" s="2"/>
      <c r="D667" s="2"/>
      <c r="E667" s="2"/>
      <c r="F667" s="2"/>
      <c r="G667" s="2"/>
      <c r="H667" s="2"/>
      <c r="I667" s="2"/>
      <c r="J667" s="2"/>
      <c r="K667" s="2"/>
      <c r="L667" s="2"/>
      <c r="M667" s="2"/>
      <c r="N667" s="2"/>
      <c r="O667" s="2"/>
      <c r="P667" s="2"/>
      <c r="Q667" s="2"/>
      <c r="R667" s="9"/>
      <c r="S667" s="9"/>
      <c r="T667" s="9"/>
      <c r="U667" s="9"/>
      <c r="V667" s="9"/>
      <c r="W667" s="9"/>
      <c r="X667" s="9"/>
      <c r="Y667" s="9"/>
      <c r="Z667" s="9"/>
      <c r="AA667" s="9"/>
      <c r="AB667" s="9"/>
      <c r="AC667" s="9"/>
      <c r="AD667" s="9"/>
    </row>
    <row r="668" spans="1:30" ht="13.5" customHeight="1" x14ac:dyDescent="0.25">
      <c r="A668" s="2"/>
      <c r="B668" s="2"/>
      <c r="C668" s="2"/>
      <c r="D668" s="2"/>
      <c r="E668" s="2"/>
      <c r="F668" s="2"/>
      <c r="G668" s="2"/>
      <c r="H668" s="2"/>
      <c r="I668" s="2"/>
      <c r="J668" s="2"/>
      <c r="K668" s="2"/>
      <c r="L668" s="2"/>
      <c r="M668" s="2"/>
      <c r="N668" s="2"/>
      <c r="O668" s="2"/>
      <c r="P668" s="2"/>
      <c r="Q668" s="2"/>
      <c r="R668" s="9"/>
      <c r="S668" s="9"/>
      <c r="T668" s="9"/>
      <c r="U668" s="9"/>
      <c r="V668" s="9"/>
      <c r="W668" s="9"/>
      <c r="X668" s="9"/>
      <c r="Y668" s="9"/>
      <c r="Z668" s="9"/>
      <c r="AA668" s="9"/>
      <c r="AB668" s="9"/>
      <c r="AC668" s="9"/>
      <c r="AD668" s="9"/>
    </row>
    <row r="669" spans="1:30" ht="13.5" customHeight="1" x14ac:dyDescent="0.25">
      <c r="A669" s="2"/>
      <c r="B669" s="2"/>
      <c r="C669" s="2"/>
      <c r="D669" s="2"/>
      <c r="E669" s="2"/>
      <c r="F669" s="2"/>
      <c r="G669" s="2"/>
      <c r="H669" s="2"/>
      <c r="I669" s="2"/>
      <c r="J669" s="2"/>
      <c r="K669" s="2"/>
      <c r="L669" s="2"/>
      <c r="M669" s="2"/>
      <c r="N669" s="2"/>
      <c r="O669" s="2"/>
      <c r="P669" s="2"/>
      <c r="Q669" s="2"/>
      <c r="R669" s="9"/>
      <c r="S669" s="9"/>
      <c r="T669" s="9"/>
      <c r="U669" s="9"/>
      <c r="V669" s="9"/>
      <c r="W669" s="9"/>
      <c r="X669" s="9"/>
      <c r="Y669" s="9"/>
      <c r="Z669" s="9"/>
      <c r="AA669" s="9"/>
      <c r="AB669" s="9"/>
      <c r="AC669" s="9"/>
      <c r="AD669" s="9"/>
    </row>
    <row r="670" spans="1:30" ht="13.5" customHeight="1" x14ac:dyDescent="0.25">
      <c r="A670" s="2"/>
      <c r="B670" s="2"/>
      <c r="C670" s="2"/>
      <c r="D670" s="2"/>
      <c r="E670" s="2"/>
      <c r="F670" s="2"/>
      <c r="G670" s="2"/>
      <c r="H670" s="2"/>
      <c r="I670" s="2"/>
      <c r="J670" s="2"/>
      <c r="K670" s="2"/>
      <c r="L670" s="2"/>
      <c r="M670" s="2"/>
      <c r="N670" s="2"/>
      <c r="O670" s="2"/>
      <c r="P670" s="2"/>
      <c r="Q670" s="2"/>
      <c r="R670" s="9"/>
      <c r="S670" s="9"/>
      <c r="T670" s="9"/>
      <c r="U670" s="9"/>
      <c r="V670" s="9"/>
      <c r="W670" s="9"/>
      <c r="X670" s="9"/>
      <c r="Y670" s="9"/>
      <c r="Z670" s="9"/>
      <c r="AA670" s="9"/>
      <c r="AB670" s="9"/>
      <c r="AC670" s="9"/>
      <c r="AD670" s="9"/>
    </row>
    <row r="671" spans="1:30" ht="13.5" customHeight="1" x14ac:dyDescent="0.25">
      <c r="A671" s="2"/>
      <c r="B671" s="2"/>
      <c r="C671" s="2"/>
      <c r="D671" s="2"/>
      <c r="E671" s="2"/>
      <c r="F671" s="2"/>
      <c r="G671" s="2"/>
      <c r="H671" s="2"/>
      <c r="I671" s="2"/>
      <c r="J671" s="2"/>
      <c r="K671" s="2"/>
      <c r="L671" s="2"/>
      <c r="M671" s="2"/>
      <c r="N671" s="2"/>
      <c r="O671" s="2"/>
      <c r="P671" s="2"/>
      <c r="Q671" s="2"/>
      <c r="R671" s="9"/>
      <c r="S671" s="9"/>
      <c r="T671" s="9"/>
      <c r="U671" s="9"/>
      <c r="V671" s="9"/>
      <c r="W671" s="9"/>
      <c r="X671" s="9"/>
      <c r="Y671" s="9"/>
      <c r="Z671" s="9"/>
      <c r="AA671" s="9"/>
      <c r="AB671" s="9"/>
      <c r="AC671" s="9"/>
      <c r="AD671" s="9"/>
    </row>
    <row r="672" spans="1:30" ht="13.5" customHeight="1" x14ac:dyDescent="0.25">
      <c r="A672" s="2"/>
      <c r="B672" s="2"/>
      <c r="C672" s="2"/>
      <c r="D672" s="2"/>
      <c r="E672" s="2"/>
      <c r="F672" s="2"/>
      <c r="G672" s="2"/>
      <c r="H672" s="2"/>
      <c r="I672" s="2"/>
      <c r="J672" s="2"/>
      <c r="K672" s="2"/>
      <c r="L672" s="2"/>
      <c r="M672" s="2"/>
      <c r="N672" s="2"/>
      <c r="O672" s="2"/>
      <c r="P672" s="2"/>
      <c r="Q672" s="2"/>
      <c r="R672" s="9"/>
      <c r="S672" s="9"/>
      <c r="T672" s="9"/>
      <c r="U672" s="9"/>
      <c r="V672" s="9"/>
      <c r="W672" s="9"/>
      <c r="X672" s="9"/>
      <c r="Y672" s="9"/>
      <c r="Z672" s="9"/>
      <c r="AA672" s="9"/>
      <c r="AB672" s="9"/>
      <c r="AC672" s="9"/>
      <c r="AD672" s="9"/>
    </row>
    <row r="673" spans="1:30" ht="13.5" customHeight="1" x14ac:dyDescent="0.25">
      <c r="A673" s="2"/>
      <c r="B673" s="2"/>
      <c r="C673" s="2"/>
      <c r="D673" s="2"/>
      <c r="E673" s="2"/>
      <c r="F673" s="2"/>
      <c r="G673" s="2"/>
      <c r="H673" s="2"/>
      <c r="I673" s="2"/>
      <c r="J673" s="2"/>
      <c r="K673" s="2"/>
      <c r="L673" s="2"/>
      <c r="M673" s="2"/>
      <c r="N673" s="2"/>
      <c r="O673" s="2"/>
      <c r="P673" s="2"/>
      <c r="Q673" s="2"/>
      <c r="R673" s="9"/>
      <c r="S673" s="9"/>
      <c r="T673" s="9"/>
      <c r="U673" s="9"/>
      <c r="V673" s="9"/>
      <c r="W673" s="9"/>
      <c r="X673" s="9"/>
      <c r="Y673" s="9"/>
      <c r="Z673" s="9"/>
      <c r="AA673" s="9"/>
      <c r="AB673" s="9"/>
      <c r="AC673" s="9"/>
      <c r="AD673" s="9"/>
    </row>
    <row r="674" spans="1:30" ht="13.5" customHeight="1" x14ac:dyDescent="0.25">
      <c r="A674" s="2"/>
      <c r="B674" s="2"/>
      <c r="C674" s="2"/>
      <c r="D674" s="2"/>
      <c r="E674" s="2"/>
      <c r="F674" s="2"/>
      <c r="G674" s="2"/>
      <c r="H674" s="2"/>
      <c r="I674" s="2"/>
      <c r="J674" s="2"/>
      <c r="K674" s="2"/>
      <c r="L674" s="2"/>
      <c r="M674" s="2"/>
      <c r="N674" s="2"/>
      <c r="O674" s="2"/>
      <c r="P674" s="2"/>
      <c r="Q674" s="2"/>
      <c r="R674" s="9"/>
      <c r="S674" s="9"/>
      <c r="T674" s="9"/>
      <c r="U674" s="9"/>
      <c r="V674" s="9"/>
      <c r="W674" s="9"/>
      <c r="X674" s="9"/>
      <c r="Y674" s="9"/>
      <c r="Z674" s="9"/>
      <c r="AA674" s="9"/>
      <c r="AB674" s="9"/>
      <c r="AC674" s="9"/>
      <c r="AD674" s="9"/>
    </row>
    <row r="675" spans="1:30" ht="13.5" customHeight="1" x14ac:dyDescent="0.25">
      <c r="A675" s="2"/>
      <c r="B675" s="2"/>
      <c r="C675" s="2"/>
      <c r="D675" s="2"/>
      <c r="E675" s="2"/>
      <c r="F675" s="2"/>
      <c r="G675" s="2"/>
      <c r="H675" s="2"/>
      <c r="I675" s="2"/>
      <c r="J675" s="2"/>
      <c r="K675" s="2"/>
      <c r="L675" s="2"/>
      <c r="M675" s="2"/>
      <c r="N675" s="2"/>
      <c r="O675" s="2"/>
      <c r="P675" s="2"/>
      <c r="Q675" s="2"/>
      <c r="R675" s="9"/>
      <c r="S675" s="9"/>
      <c r="T675" s="9"/>
      <c r="U675" s="9"/>
      <c r="V675" s="9"/>
      <c r="W675" s="9"/>
      <c r="X675" s="9"/>
      <c r="Y675" s="9"/>
      <c r="Z675" s="9"/>
      <c r="AA675" s="9"/>
      <c r="AB675" s="9"/>
      <c r="AC675" s="9"/>
      <c r="AD675" s="9"/>
    </row>
    <row r="676" spans="1:30" ht="13.5" customHeight="1" x14ac:dyDescent="0.25">
      <c r="A676" s="2"/>
      <c r="B676" s="2"/>
      <c r="C676" s="2"/>
      <c r="D676" s="2"/>
      <c r="E676" s="2"/>
      <c r="F676" s="2"/>
      <c r="G676" s="2"/>
      <c r="H676" s="2"/>
      <c r="I676" s="2"/>
      <c r="J676" s="2"/>
      <c r="K676" s="2"/>
      <c r="L676" s="2"/>
      <c r="M676" s="2"/>
      <c r="N676" s="2"/>
      <c r="O676" s="2"/>
      <c r="P676" s="2"/>
      <c r="Q676" s="2"/>
      <c r="R676" s="9"/>
      <c r="S676" s="9"/>
      <c r="T676" s="9"/>
      <c r="U676" s="9"/>
      <c r="V676" s="9"/>
      <c r="W676" s="9"/>
      <c r="X676" s="9"/>
      <c r="Y676" s="9"/>
      <c r="Z676" s="9"/>
      <c r="AA676" s="9"/>
      <c r="AB676" s="9"/>
      <c r="AC676" s="9"/>
      <c r="AD676" s="9"/>
    </row>
    <row r="677" spans="1:30" ht="13.5" customHeight="1" x14ac:dyDescent="0.25">
      <c r="A677" s="2"/>
      <c r="B677" s="2"/>
      <c r="C677" s="2"/>
      <c r="D677" s="2"/>
      <c r="E677" s="2"/>
      <c r="F677" s="2"/>
      <c r="G677" s="2"/>
      <c r="H677" s="2"/>
      <c r="I677" s="2"/>
      <c r="J677" s="2"/>
      <c r="K677" s="2"/>
      <c r="L677" s="2"/>
      <c r="M677" s="2"/>
      <c r="N677" s="2"/>
      <c r="O677" s="2"/>
      <c r="P677" s="2"/>
      <c r="Q677" s="2"/>
      <c r="R677" s="9"/>
      <c r="S677" s="9"/>
      <c r="T677" s="9"/>
      <c r="U677" s="9"/>
      <c r="V677" s="9"/>
      <c r="W677" s="9"/>
      <c r="X677" s="9"/>
      <c r="Y677" s="9"/>
      <c r="Z677" s="9"/>
      <c r="AA677" s="9"/>
      <c r="AB677" s="9"/>
      <c r="AC677" s="9"/>
      <c r="AD677" s="9"/>
    </row>
    <row r="678" spans="1:30" ht="13.5" customHeight="1" x14ac:dyDescent="0.25">
      <c r="A678" s="2"/>
      <c r="B678" s="2"/>
      <c r="C678" s="2"/>
      <c r="D678" s="2"/>
      <c r="E678" s="2"/>
      <c r="F678" s="2"/>
      <c r="G678" s="2"/>
      <c r="H678" s="2"/>
      <c r="I678" s="2"/>
      <c r="J678" s="2"/>
      <c r="K678" s="2"/>
      <c r="L678" s="2"/>
      <c r="M678" s="2"/>
      <c r="N678" s="2"/>
      <c r="O678" s="2"/>
      <c r="P678" s="2"/>
      <c r="Q678" s="2"/>
      <c r="R678" s="9"/>
      <c r="S678" s="9"/>
      <c r="T678" s="9"/>
      <c r="U678" s="9"/>
      <c r="V678" s="9"/>
      <c r="W678" s="9"/>
      <c r="X678" s="9"/>
      <c r="Y678" s="9"/>
      <c r="Z678" s="9"/>
      <c r="AA678" s="9"/>
      <c r="AB678" s="9"/>
      <c r="AC678" s="9"/>
      <c r="AD678" s="9"/>
    </row>
    <row r="679" spans="1:30" ht="13.5" customHeight="1" x14ac:dyDescent="0.25">
      <c r="A679" s="2"/>
      <c r="B679" s="2"/>
      <c r="C679" s="2"/>
      <c r="D679" s="2"/>
      <c r="E679" s="2"/>
      <c r="F679" s="2"/>
      <c r="G679" s="2"/>
      <c r="H679" s="2"/>
      <c r="I679" s="2"/>
      <c r="J679" s="2"/>
      <c r="K679" s="2"/>
      <c r="L679" s="2"/>
      <c r="M679" s="2"/>
      <c r="N679" s="2"/>
      <c r="O679" s="2"/>
      <c r="P679" s="2"/>
      <c r="Q679" s="2"/>
      <c r="R679" s="9"/>
      <c r="S679" s="9"/>
      <c r="T679" s="9"/>
      <c r="U679" s="9"/>
      <c r="V679" s="9"/>
      <c r="W679" s="9"/>
      <c r="X679" s="9"/>
      <c r="Y679" s="9"/>
      <c r="Z679" s="9"/>
      <c r="AA679" s="9"/>
      <c r="AB679" s="9"/>
      <c r="AC679" s="9"/>
      <c r="AD679" s="9"/>
    </row>
    <row r="680" spans="1:30" ht="13.5" customHeight="1" x14ac:dyDescent="0.25">
      <c r="A680" s="2"/>
      <c r="B680" s="2"/>
      <c r="C680" s="2"/>
      <c r="D680" s="2"/>
      <c r="E680" s="2"/>
      <c r="F680" s="2"/>
      <c r="G680" s="2"/>
      <c r="H680" s="2"/>
      <c r="I680" s="2"/>
      <c r="J680" s="2"/>
      <c r="K680" s="2"/>
      <c r="L680" s="2"/>
      <c r="M680" s="2"/>
      <c r="N680" s="2"/>
      <c r="O680" s="2"/>
      <c r="P680" s="2"/>
      <c r="Q680" s="2"/>
      <c r="R680" s="9"/>
      <c r="S680" s="9"/>
      <c r="T680" s="9"/>
      <c r="U680" s="9"/>
      <c r="V680" s="9"/>
      <c r="W680" s="9"/>
      <c r="X680" s="9"/>
      <c r="Y680" s="9"/>
      <c r="Z680" s="9"/>
      <c r="AA680" s="9"/>
      <c r="AB680" s="9"/>
      <c r="AC680" s="9"/>
      <c r="AD680" s="9"/>
    </row>
    <row r="681" spans="1:30" ht="13.5" customHeight="1" x14ac:dyDescent="0.25">
      <c r="A681" s="2"/>
      <c r="B681" s="2"/>
      <c r="C681" s="2"/>
      <c r="D681" s="2"/>
      <c r="E681" s="2"/>
      <c r="F681" s="2"/>
      <c r="G681" s="2"/>
      <c r="H681" s="2"/>
      <c r="I681" s="2"/>
      <c r="J681" s="2"/>
      <c r="K681" s="2"/>
      <c r="L681" s="2"/>
      <c r="M681" s="2"/>
      <c r="N681" s="2"/>
      <c r="O681" s="2"/>
      <c r="P681" s="2"/>
      <c r="Q681" s="2"/>
      <c r="R681" s="9"/>
      <c r="S681" s="9"/>
      <c r="T681" s="9"/>
      <c r="U681" s="9"/>
      <c r="V681" s="9"/>
      <c r="W681" s="9"/>
      <c r="X681" s="9"/>
      <c r="Y681" s="9"/>
      <c r="Z681" s="9"/>
      <c r="AA681" s="9"/>
      <c r="AB681" s="9"/>
      <c r="AC681" s="9"/>
      <c r="AD681" s="9"/>
    </row>
    <row r="682" spans="1:30" ht="13.5" customHeight="1" x14ac:dyDescent="0.25">
      <c r="A682" s="2"/>
      <c r="B682" s="2"/>
      <c r="C682" s="2"/>
      <c r="D682" s="2"/>
      <c r="E682" s="2"/>
      <c r="F682" s="2"/>
      <c r="G682" s="2"/>
      <c r="H682" s="2"/>
      <c r="I682" s="2"/>
      <c r="J682" s="2"/>
      <c r="K682" s="2"/>
      <c r="L682" s="2"/>
      <c r="M682" s="2"/>
      <c r="N682" s="2"/>
      <c r="O682" s="2"/>
      <c r="P682" s="2"/>
      <c r="Q682" s="2"/>
      <c r="R682" s="9"/>
      <c r="S682" s="9"/>
      <c r="T682" s="9"/>
      <c r="U682" s="9"/>
      <c r="V682" s="9"/>
      <c r="W682" s="9"/>
      <c r="X682" s="9"/>
      <c r="Y682" s="9"/>
      <c r="Z682" s="9"/>
      <c r="AA682" s="9"/>
      <c r="AB682" s="9"/>
      <c r="AC682" s="9"/>
      <c r="AD682" s="9"/>
    </row>
    <row r="683" spans="1:30" ht="13.5" customHeight="1" x14ac:dyDescent="0.25">
      <c r="A683" s="2"/>
      <c r="B683" s="2"/>
      <c r="C683" s="2"/>
      <c r="D683" s="2"/>
      <c r="E683" s="2"/>
      <c r="F683" s="2"/>
      <c r="G683" s="2"/>
      <c r="H683" s="2"/>
      <c r="I683" s="2"/>
      <c r="J683" s="2"/>
      <c r="K683" s="2"/>
      <c r="L683" s="2"/>
      <c r="M683" s="2"/>
      <c r="N683" s="2"/>
      <c r="O683" s="2"/>
      <c r="P683" s="2"/>
      <c r="Q683" s="2"/>
      <c r="R683" s="9"/>
      <c r="S683" s="9"/>
      <c r="T683" s="9"/>
      <c r="U683" s="9"/>
      <c r="V683" s="9"/>
      <c r="W683" s="9"/>
      <c r="X683" s="9"/>
      <c r="Y683" s="9"/>
      <c r="Z683" s="9"/>
      <c r="AA683" s="9"/>
      <c r="AB683" s="9"/>
      <c r="AC683" s="9"/>
      <c r="AD683" s="9"/>
    </row>
    <row r="684" spans="1:30" ht="13.5" customHeight="1" x14ac:dyDescent="0.25">
      <c r="A684" s="2"/>
      <c r="B684" s="2"/>
      <c r="C684" s="2"/>
      <c r="D684" s="2"/>
      <c r="E684" s="2"/>
      <c r="F684" s="2"/>
      <c r="G684" s="2"/>
      <c r="H684" s="2"/>
      <c r="I684" s="2"/>
      <c r="J684" s="2"/>
      <c r="K684" s="2"/>
      <c r="L684" s="2"/>
      <c r="M684" s="2"/>
      <c r="N684" s="2"/>
      <c r="O684" s="2"/>
      <c r="P684" s="2"/>
      <c r="Q684" s="2"/>
      <c r="R684" s="9"/>
      <c r="S684" s="9"/>
      <c r="T684" s="9"/>
      <c r="U684" s="9"/>
      <c r="V684" s="9"/>
      <c r="W684" s="9"/>
      <c r="X684" s="9"/>
      <c r="Y684" s="9"/>
      <c r="Z684" s="9"/>
      <c r="AA684" s="9"/>
      <c r="AB684" s="9"/>
      <c r="AC684" s="9"/>
      <c r="AD684" s="9"/>
    </row>
    <row r="685" spans="1:30" ht="13.5" customHeight="1" x14ac:dyDescent="0.25">
      <c r="A685" s="2"/>
      <c r="B685" s="2"/>
      <c r="C685" s="2"/>
      <c r="D685" s="2"/>
      <c r="E685" s="2"/>
      <c r="F685" s="2"/>
      <c r="G685" s="2"/>
      <c r="H685" s="2"/>
      <c r="I685" s="2"/>
      <c r="J685" s="2"/>
      <c r="K685" s="2"/>
      <c r="L685" s="2"/>
      <c r="M685" s="2"/>
      <c r="N685" s="2"/>
      <c r="O685" s="2"/>
      <c r="P685" s="2"/>
      <c r="Q685" s="2"/>
      <c r="R685" s="9"/>
      <c r="S685" s="9"/>
      <c r="T685" s="9"/>
      <c r="U685" s="9"/>
      <c r="V685" s="9"/>
      <c r="W685" s="9"/>
      <c r="X685" s="9"/>
      <c r="Y685" s="9"/>
      <c r="Z685" s="9"/>
      <c r="AA685" s="9"/>
      <c r="AB685" s="9"/>
      <c r="AC685" s="9"/>
      <c r="AD685" s="9"/>
    </row>
    <row r="686" spans="1:30" ht="13.5" customHeight="1" x14ac:dyDescent="0.25">
      <c r="A686" s="2"/>
      <c r="B686" s="2"/>
      <c r="C686" s="2"/>
      <c r="D686" s="2"/>
      <c r="E686" s="2"/>
      <c r="F686" s="2"/>
      <c r="G686" s="2"/>
      <c r="H686" s="2"/>
      <c r="I686" s="2"/>
      <c r="J686" s="2"/>
      <c r="K686" s="2"/>
      <c r="L686" s="2"/>
      <c r="M686" s="2"/>
      <c r="N686" s="2"/>
      <c r="O686" s="2"/>
      <c r="P686" s="2"/>
      <c r="Q686" s="2"/>
      <c r="R686" s="9"/>
      <c r="S686" s="9"/>
      <c r="T686" s="9"/>
      <c r="U686" s="9"/>
      <c r="V686" s="9"/>
      <c r="W686" s="9"/>
      <c r="X686" s="9"/>
      <c r="Y686" s="9"/>
      <c r="Z686" s="9"/>
      <c r="AA686" s="9"/>
      <c r="AB686" s="9"/>
      <c r="AC686" s="9"/>
      <c r="AD686" s="9"/>
    </row>
    <row r="687" spans="1:30" ht="13.5" customHeight="1" x14ac:dyDescent="0.25">
      <c r="A687" s="2"/>
      <c r="B687" s="2"/>
      <c r="C687" s="2"/>
      <c r="D687" s="2"/>
      <c r="E687" s="2"/>
      <c r="F687" s="2"/>
      <c r="G687" s="2"/>
      <c r="H687" s="2"/>
      <c r="I687" s="2"/>
      <c r="J687" s="2"/>
      <c r="K687" s="2"/>
      <c r="L687" s="2"/>
      <c r="M687" s="2"/>
      <c r="N687" s="2"/>
      <c r="O687" s="2"/>
      <c r="P687" s="2"/>
      <c r="Q687" s="2"/>
      <c r="R687" s="9"/>
      <c r="S687" s="9"/>
      <c r="T687" s="9"/>
      <c r="U687" s="9"/>
      <c r="V687" s="9"/>
      <c r="W687" s="9"/>
      <c r="X687" s="9"/>
      <c r="Y687" s="9"/>
      <c r="Z687" s="9"/>
      <c r="AA687" s="9"/>
      <c r="AB687" s="9"/>
      <c r="AC687" s="9"/>
      <c r="AD687" s="9"/>
    </row>
    <row r="688" spans="1:30" ht="13.5" customHeight="1" x14ac:dyDescent="0.25">
      <c r="A688" s="2"/>
      <c r="B688" s="2"/>
      <c r="C688" s="2"/>
      <c r="D688" s="2"/>
      <c r="E688" s="2"/>
      <c r="F688" s="2"/>
      <c r="G688" s="2"/>
      <c r="H688" s="2"/>
      <c r="I688" s="2"/>
      <c r="J688" s="2"/>
      <c r="K688" s="2"/>
      <c r="L688" s="2"/>
      <c r="M688" s="2"/>
      <c r="N688" s="2"/>
      <c r="O688" s="2"/>
      <c r="P688" s="2"/>
      <c r="Q688" s="2"/>
      <c r="R688" s="9"/>
      <c r="S688" s="9"/>
      <c r="T688" s="9"/>
      <c r="U688" s="9"/>
      <c r="V688" s="9"/>
      <c r="W688" s="9"/>
      <c r="X688" s="9"/>
      <c r="Y688" s="9"/>
      <c r="Z688" s="9"/>
      <c r="AA688" s="9"/>
      <c r="AB688" s="9"/>
      <c r="AC688" s="9"/>
      <c r="AD688" s="9"/>
    </row>
    <row r="689" spans="1:30" ht="13.5" customHeight="1" x14ac:dyDescent="0.25">
      <c r="A689" s="2"/>
      <c r="B689" s="2"/>
      <c r="C689" s="2"/>
      <c r="D689" s="2"/>
      <c r="E689" s="2"/>
      <c r="F689" s="2"/>
      <c r="G689" s="2"/>
      <c r="H689" s="2"/>
      <c r="I689" s="2"/>
      <c r="J689" s="2"/>
      <c r="K689" s="2"/>
      <c r="L689" s="2"/>
      <c r="M689" s="2"/>
      <c r="N689" s="2"/>
      <c r="O689" s="2"/>
      <c r="P689" s="2"/>
      <c r="Q689" s="2"/>
      <c r="R689" s="9"/>
      <c r="S689" s="9"/>
      <c r="T689" s="9"/>
      <c r="U689" s="9"/>
      <c r="V689" s="9"/>
      <c r="W689" s="9"/>
      <c r="X689" s="9"/>
      <c r="Y689" s="9"/>
      <c r="Z689" s="9"/>
      <c r="AA689" s="9"/>
      <c r="AB689" s="9"/>
      <c r="AC689" s="9"/>
      <c r="AD689" s="9"/>
    </row>
    <row r="690" spans="1:30" ht="13.5" customHeight="1" x14ac:dyDescent="0.25">
      <c r="A690" s="2"/>
      <c r="B690" s="2"/>
      <c r="C690" s="2"/>
      <c r="D690" s="2"/>
      <c r="E690" s="2"/>
      <c r="F690" s="2"/>
      <c r="G690" s="2"/>
      <c r="H690" s="2"/>
      <c r="I690" s="2"/>
      <c r="J690" s="2"/>
      <c r="K690" s="2"/>
      <c r="L690" s="2"/>
      <c r="M690" s="2"/>
      <c r="N690" s="2"/>
      <c r="O690" s="2"/>
      <c r="P690" s="2"/>
      <c r="Q690" s="2"/>
      <c r="R690" s="9"/>
      <c r="S690" s="9"/>
      <c r="T690" s="9"/>
      <c r="U690" s="9"/>
      <c r="V690" s="9"/>
      <c r="W690" s="9"/>
      <c r="X690" s="9"/>
      <c r="Y690" s="9"/>
      <c r="Z690" s="9"/>
      <c r="AA690" s="9"/>
      <c r="AB690" s="9"/>
      <c r="AC690" s="9"/>
      <c r="AD690" s="9"/>
    </row>
    <row r="691" spans="1:30" ht="13.5" customHeight="1" x14ac:dyDescent="0.25">
      <c r="A691" s="2"/>
      <c r="B691" s="2"/>
      <c r="C691" s="2"/>
      <c r="D691" s="2"/>
      <c r="E691" s="2"/>
      <c r="F691" s="2"/>
      <c r="G691" s="2"/>
      <c r="H691" s="2"/>
      <c r="I691" s="2"/>
      <c r="J691" s="2"/>
      <c r="K691" s="2"/>
      <c r="L691" s="2"/>
      <c r="M691" s="2"/>
      <c r="N691" s="2"/>
      <c r="O691" s="2"/>
      <c r="P691" s="2"/>
      <c r="Q691" s="2"/>
      <c r="R691" s="9"/>
      <c r="S691" s="9"/>
      <c r="T691" s="9"/>
      <c r="U691" s="9"/>
      <c r="V691" s="9"/>
      <c r="W691" s="9"/>
      <c r="X691" s="9"/>
      <c r="Y691" s="9"/>
      <c r="Z691" s="9"/>
      <c r="AA691" s="9"/>
      <c r="AB691" s="9"/>
      <c r="AC691" s="9"/>
      <c r="AD691" s="9"/>
    </row>
    <row r="692" spans="1:30" ht="13.5" customHeight="1" x14ac:dyDescent="0.25">
      <c r="A692" s="2"/>
      <c r="B692" s="2"/>
      <c r="C692" s="2"/>
      <c r="D692" s="2"/>
      <c r="E692" s="2"/>
      <c r="F692" s="2"/>
      <c r="G692" s="2"/>
      <c r="H692" s="2"/>
      <c r="I692" s="2"/>
      <c r="J692" s="2"/>
      <c r="K692" s="2"/>
      <c r="L692" s="2"/>
      <c r="M692" s="2"/>
      <c r="N692" s="2"/>
      <c r="O692" s="2"/>
      <c r="P692" s="2"/>
      <c r="Q692" s="2"/>
      <c r="R692" s="9"/>
      <c r="S692" s="9"/>
      <c r="T692" s="9"/>
      <c r="U692" s="9"/>
      <c r="V692" s="9"/>
      <c r="W692" s="9"/>
      <c r="X692" s="9"/>
      <c r="Y692" s="9"/>
      <c r="Z692" s="9"/>
      <c r="AA692" s="9"/>
      <c r="AB692" s="9"/>
      <c r="AC692" s="9"/>
      <c r="AD692" s="9"/>
    </row>
    <row r="693" spans="1:30" ht="13.5" customHeight="1" x14ac:dyDescent="0.25">
      <c r="A693" s="2"/>
      <c r="B693" s="2"/>
      <c r="C693" s="2"/>
      <c r="D693" s="2"/>
      <c r="E693" s="2"/>
      <c r="F693" s="2"/>
      <c r="G693" s="2"/>
      <c r="H693" s="2"/>
      <c r="I693" s="2"/>
      <c r="J693" s="2"/>
      <c r="K693" s="2"/>
      <c r="L693" s="2"/>
      <c r="M693" s="2"/>
      <c r="N693" s="2"/>
      <c r="O693" s="2"/>
      <c r="P693" s="2"/>
      <c r="Q693" s="2"/>
      <c r="R693" s="9"/>
      <c r="S693" s="9"/>
      <c r="T693" s="9"/>
      <c r="U693" s="9"/>
      <c r="V693" s="9"/>
      <c r="W693" s="9"/>
      <c r="X693" s="9"/>
      <c r="Y693" s="9"/>
      <c r="Z693" s="9"/>
      <c r="AA693" s="9"/>
      <c r="AB693" s="9"/>
      <c r="AC693" s="9"/>
      <c r="AD693" s="9"/>
    </row>
    <row r="694" spans="1:30" ht="13.5" customHeight="1" x14ac:dyDescent="0.25">
      <c r="A694" s="2"/>
      <c r="B694" s="2"/>
      <c r="C694" s="2"/>
      <c r="D694" s="2"/>
      <c r="E694" s="2"/>
      <c r="F694" s="2"/>
      <c r="G694" s="2"/>
      <c r="H694" s="2"/>
      <c r="I694" s="2"/>
      <c r="J694" s="2"/>
      <c r="K694" s="2"/>
      <c r="L694" s="2"/>
      <c r="M694" s="2"/>
      <c r="N694" s="2"/>
      <c r="O694" s="2"/>
      <c r="P694" s="2"/>
      <c r="Q694" s="2"/>
      <c r="R694" s="9"/>
      <c r="S694" s="9"/>
      <c r="T694" s="9"/>
      <c r="U694" s="9"/>
      <c r="V694" s="9"/>
      <c r="W694" s="9"/>
      <c r="X694" s="9"/>
      <c r="Y694" s="9"/>
      <c r="Z694" s="9"/>
      <c r="AA694" s="9"/>
      <c r="AB694" s="9"/>
      <c r="AC694" s="9"/>
      <c r="AD694" s="9"/>
    </row>
    <row r="695" spans="1:30" ht="13.5" customHeight="1" x14ac:dyDescent="0.25">
      <c r="A695" s="2"/>
      <c r="B695" s="2"/>
      <c r="C695" s="2"/>
      <c r="D695" s="2"/>
      <c r="E695" s="2"/>
      <c r="F695" s="2"/>
      <c r="G695" s="2"/>
      <c r="H695" s="2"/>
      <c r="I695" s="2"/>
      <c r="J695" s="2"/>
      <c r="K695" s="2"/>
      <c r="L695" s="2"/>
      <c r="M695" s="2"/>
      <c r="N695" s="2"/>
      <c r="O695" s="2"/>
      <c r="P695" s="2"/>
      <c r="Q695" s="2"/>
      <c r="R695" s="9"/>
      <c r="S695" s="9"/>
      <c r="T695" s="9"/>
      <c r="U695" s="9"/>
      <c r="V695" s="9"/>
      <c r="W695" s="9"/>
      <c r="X695" s="9"/>
      <c r="Y695" s="9"/>
      <c r="Z695" s="9"/>
      <c r="AA695" s="9"/>
      <c r="AB695" s="9"/>
      <c r="AC695" s="9"/>
      <c r="AD695" s="9"/>
    </row>
    <row r="696" spans="1:30" ht="13.5" customHeight="1" x14ac:dyDescent="0.25">
      <c r="A696" s="2"/>
      <c r="B696" s="2"/>
      <c r="C696" s="2"/>
      <c r="D696" s="2"/>
      <c r="E696" s="2"/>
      <c r="F696" s="2"/>
      <c r="G696" s="2"/>
      <c r="H696" s="2"/>
      <c r="I696" s="2"/>
      <c r="J696" s="2"/>
      <c r="K696" s="2"/>
      <c r="L696" s="2"/>
      <c r="M696" s="2"/>
      <c r="N696" s="2"/>
      <c r="O696" s="2"/>
      <c r="P696" s="2"/>
      <c r="Q696" s="2"/>
      <c r="R696" s="9"/>
      <c r="S696" s="9"/>
      <c r="T696" s="9"/>
      <c r="U696" s="9"/>
      <c r="V696" s="9"/>
      <c r="W696" s="9"/>
      <c r="X696" s="9"/>
      <c r="Y696" s="9"/>
      <c r="Z696" s="9"/>
      <c r="AA696" s="9"/>
      <c r="AB696" s="9"/>
      <c r="AC696" s="9"/>
      <c r="AD696" s="9"/>
    </row>
    <row r="697" spans="1:30" ht="13.5" customHeight="1" x14ac:dyDescent="0.25">
      <c r="A697" s="2"/>
      <c r="B697" s="2"/>
      <c r="C697" s="2"/>
      <c r="D697" s="2"/>
      <c r="E697" s="2"/>
      <c r="F697" s="2"/>
      <c r="G697" s="2"/>
      <c r="H697" s="2"/>
      <c r="I697" s="2"/>
      <c r="J697" s="2"/>
      <c r="K697" s="2"/>
      <c r="L697" s="2"/>
      <c r="M697" s="2"/>
      <c r="N697" s="2"/>
      <c r="O697" s="2"/>
      <c r="P697" s="2"/>
      <c r="Q697" s="2"/>
      <c r="R697" s="9"/>
      <c r="S697" s="9"/>
      <c r="T697" s="9"/>
      <c r="U697" s="9"/>
      <c r="V697" s="9"/>
      <c r="W697" s="9"/>
      <c r="X697" s="9"/>
      <c r="Y697" s="9"/>
      <c r="Z697" s="9"/>
      <c r="AA697" s="9"/>
      <c r="AB697" s="9"/>
      <c r="AC697" s="9"/>
      <c r="AD697" s="9"/>
    </row>
    <row r="698" spans="1:30" ht="13.5" customHeight="1" x14ac:dyDescent="0.25">
      <c r="A698" s="2"/>
      <c r="B698" s="2"/>
      <c r="C698" s="2"/>
      <c r="D698" s="2"/>
      <c r="E698" s="2"/>
      <c r="F698" s="2"/>
      <c r="G698" s="2"/>
      <c r="H698" s="2"/>
      <c r="I698" s="2"/>
      <c r="J698" s="2"/>
      <c r="K698" s="2"/>
      <c r="L698" s="2"/>
      <c r="M698" s="2"/>
      <c r="N698" s="2"/>
      <c r="O698" s="2"/>
      <c r="P698" s="2"/>
      <c r="Q698" s="2"/>
      <c r="R698" s="9"/>
      <c r="S698" s="9"/>
      <c r="T698" s="9"/>
      <c r="U698" s="9"/>
      <c r="V698" s="9"/>
      <c r="W698" s="9"/>
      <c r="X698" s="9"/>
      <c r="Y698" s="9"/>
      <c r="Z698" s="9"/>
      <c r="AA698" s="9"/>
      <c r="AB698" s="9"/>
      <c r="AC698" s="9"/>
      <c r="AD698" s="9"/>
    </row>
    <row r="699" spans="1:30" ht="13.5" customHeight="1" x14ac:dyDescent="0.25">
      <c r="A699" s="2"/>
      <c r="B699" s="2"/>
      <c r="C699" s="2"/>
      <c r="D699" s="2"/>
      <c r="E699" s="2"/>
      <c r="F699" s="2"/>
      <c r="G699" s="2"/>
      <c r="H699" s="2"/>
      <c r="I699" s="2"/>
      <c r="J699" s="2"/>
      <c r="K699" s="2"/>
      <c r="L699" s="2"/>
      <c r="M699" s="2"/>
      <c r="N699" s="2"/>
      <c r="O699" s="2"/>
      <c r="P699" s="2"/>
      <c r="Q699" s="2"/>
      <c r="R699" s="9"/>
      <c r="S699" s="9"/>
      <c r="T699" s="9"/>
      <c r="U699" s="9"/>
      <c r="V699" s="9"/>
      <c r="W699" s="9"/>
      <c r="X699" s="9"/>
      <c r="Y699" s="9"/>
      <c r="Z699" s="9"/>
      <c r="AA699" s="9"/>
      <c r="AB699" s="9"/>
      <c r="AC699" s="9"/>
      <c r="AD699" s="9"/>
    </row>
    <row r="700" spans="1:30" ht="13.5" customHeight="1" x14ac:dyDescent="0.25">
      <c r="A700" s="2"/>
      <c r="B700" s="2"/>
      <c r="C700" s="2"/>
      <c r="D700" s="2"/>
      <c r="E700" s="2"/>
      <c r="F700" s="2"/>
      <c r="G700" s="2"/>
      <c r="H700" s="2"/>
      <c r="I700" s="2"/>
      <c r="J700" s="2"/>
      <c r="K700" s="2"/>
      <c r="L700" s="2"/>
      <c r="M700" s="2"/>
      <c r="N700" s="2"/>
      <c r="O700" s="2"/>
      <c r="P700" s="2"/>
      <c r="Q700" s="2"/>
      <c r="R700" s="9"/>
      <c r="S700" s="9"/>
      <c r="T700" s="9"/>
      <c r="U700" s="9"/>
      <c r="V700" s="9"/>
      <c r="W700" s="9"/>
      <c r="X700" s="9"/>
      <c r="Y700" s="9"/>
      <c r="Z700" s="9"/>
      <c r="AA700" s="9"/>
      <c r="AB700" s="9"/>
      <c r="AC700" s="9"/>
      <c r="AD700" s="9"/>
    </row>
    <row r="701" spans="1:30" ht="13.5" customHeight="1" x14ac:dyDescent="0.25">
      <c r="A701" s="2"/>
      <c r="B701" s="2"/>
      <c r="C701" s="2"/>
      <c r="D701" s="2"/>
      <c r="E701" s="2"/>
      <c r="F701" s="2"/>
      <c r="G701" s="2"/>
      <c r="H701" s="2"/>
      <c r="I701" s="2"/>
      <c r="J701" s="2"/>
      <c r="K701" s="2"/>
      <c r="L701" s="2"/>
      <c r="M701" s="2"/>
      <c r="N701" s="2"/>
      <c r="O701" s="2"/>
      <c r="P701" s="2"/>
      <c r="Q701" s="2"/>
      <c r="R701" s="9"/>
      <c r="S701" s="9"/>
      <c r="T701" s="9"/>
      <c r="U701" s="9"/>
      <c r="V701" s="9"/>
      <c r="W701" s="9"/>
      <c r="X701" s="9"/>
      <c r="Y701" s="9"/>
      <c r="Z701" s="9"/>
      <c r="AA701" s="9"/>
      <c r="AB701" s="9"/>
      <c r="AC701" s="9"/>
      <c r="AD701" s="9"/>
    </row>
    <row r="702" spans="1:30" ht="13.5" customHeight="1" x14ac:dyDescent="0.25">
      <c r="A702" s="2"/>
      <c r="B702" s="2"/>
      <c r="C702" s="2"/>
      <c r="D702" s="2"/>
      <c r="E702" s="2"/>
      <c r="F702" s="2"/>
      <c r="G702" s="2"/>
      <c r="H702" s="2"/>
      <c r="I702" s="2"/>
      <c r="J702" s="2"/>
      <c r="K702" s="2"/>
      <c r="L702" s="2"/>
      <c r="M702" s="2"/>
      <c r="N702" s="2"/>
      <c r="O702" s="2"/>
      <c r="P702" s="2"/>
      <c r="Q702" s="2"/>
      <c r="R702" s="9"/>
      <c r="S702" s="9"/>
      <c r="T702" s="9"/>
      <c r="U702" s="9"/>
      <c r="V702" s="9"/>
      <c r="W702" s="9"/>
      <c r="X702" s="9"/>
      <c r="Y702" s="9"/>
      <c r="Z702" s="9"/>
      <c r="AA702" s="9"/>
      <c r="AB702" s="9"/>
      <c r="AC702" s="9"/>
      <c r="AD702" s="9"/>
    </row>
    <row r="703" spans="1:30" ht="13.5" customHeight="1" x14ac:dyDescent="0.25">
      <c r="A703" s="2"/>
      <c r="B703" s="2"/>
      <c r="C703" s="2"/>
      <c r="D703" s="2"/>
      <c r="E703" s="2"/>
      <c r="F703" s="2"/>
      <c r="G703" s="2"/>
      <c r="H703" s="2"/>
      <c r="I703" s="2"/>
      <c r="J703" s="2"/>
      <c r="K703" s="2"/>
      <c r="L703" s="2"/>
      <c r="M703" s="2"/>
      <c r="N703" s="2"/>
      <c r="O703" s="2"/>
      <c r="P703" s="2"/>
      <c r="Q703" s="2"/>
      <c r="R703" s="9"/>
      <c r="S703" s="9"/>
      <c r="T703" s="9"/>
      <c r="U703" s="9"/>
      <c r="V703" s="9"/>
      <c r="W703" s="9"/>
      <c r="X703" s="9"/>
      <c r="Y703" s="9"/>
      <c r="Z703" s="9"/>
      <c r="AA703" s="9"/>
      <c r="AB703" s="9"/>
      <c r="AC703" s="9"/>
      <c r="AD703" s="9"/>
    </row>
    <row r="704" spans="1:30" ht="13.5" customHeight="1" x14ac:dyDescent="0.25">
      <c r="A704" s="2"/>
      <c r="B704" s="2"/>
      <c r="C704" s="2"/>
      <c r="D704" s="2"/>
      <c r="E704" s="2"/>
      <c r="F704" s="2"/>
      <c r="G704" s="2"/>
      <c r="H704" s="2"/>
      <c r="I704" s="2"/>
      <c r="J704" s="2"/>
      <c r="K704" s="2"/>
      <c r="L704" s="2"/>
      <c r="M704" s="2"/>
      <c r="N704" s="2"/>
      <c r="O704" s="2"/>
      <c r="P704" s="2"/>
      <c r="Q704" s="2"/>
      <c r="R704" s="9"/>
      <c r="S704" s="9"/>
      <c r="T704" s="9"/>
      <c r="U704" s="9"/>
      <c r="V704" s="9"/>
      <c r="W704" s="9"/>
      <c r="X704" s="9"/>
      <c r="Y704" s="9"/>
      <c r="Z704" s="9"/>
      <c r="AA704" s="9"/>
      <c r="AB704" s="9"/>
      <c r="AC704" s="9"/>
      <c r="AD704" s="9"/>
    </row>
    <row r="705" spans="1:30" ht="13.5" customHeight="1" x14ac:dyDescent="0.25">
      <c r="A705" s="2"/>
      <c r="B705" s="2"/>
      <c r="C705" s="2"/>
      <c r="D705" s="2"/>
      <c r="E705" s="2"/>
      <c r="F705" s="2"/>
      <c r="G705" s="2"/>
      <c r="H705" s="2"/>
      <c r="I705" s="2"/>
      <c r="J705" s="2"/>
      <c r="K705" s="2"/>
      <c r="L705" s="2"/>
      <c r="M705" s="2"/>
      <c r="N705" s="2"/>
      <c r="O705" s="2"/>
      <c r="P705" s="2"/>
      <c r="Q705" s="2"/>
      <c r="R705" s="9"/>
      <c r="S705" s="9"/>
      <c r="T705" s="9"/>
      <c r="U705" s="9"/>
      <c r="V705" s="9"/>
      <c r="W705" s="9"/>
      <c r="X705" s="9"/>
      <c r="Y705" s="9"/>
      <c r="Z705" s="9"/>
      <c r="AA705" s="9"/>
      <c r="AB705" s="9"/>
      <c r="AC705" s="9"/>
      <c r="AD705" s="9"/>
    </row>
    <row r="706" spans="1:30" ht="13.5" customHeight="1" x14ac:dyDescent="0.25">
      <c r="A706" s="2"/>
      <c r="B706" s="2"/>
      <c r="C706" s="2"/>
      <c r="D706" s="2"/>
      <c r="E706" s="2"/>
      <c r="F706" s="2"/>
      <c r="G706" s="2"/>
      <c r="H706" s="2"/>
      <c r="I706" s="2"/>
      <c r="J706" s="2"/>
      <c r="K706" s="2"/>
      <c r="L706" s="2"/>
      <c r="M706" s="2"/>
      <c r="N706" s="2"/>
      <c r="O706" s="2"/>
      <c r="P706" s="2"/>
      <c r="Q706" s="2"/>
      <c r="R706" s="9"/>
      <c r="S706" s="9"/>
      <c r="T706" s="9"/>
      <c r="U706" s="9"/>
      <c r="V706" s="9"/>
      <c r="W706" s="9"/>
      <c r="X706" s="9"/>
      <c r="Y706" s="9"/>
      <c r="Z706" s="9"/>
      <c r="AA706" s="9"/>
      <c r="AB706" s="9"/>
      <c r="AC706" s="9"/>
      <c r="AD706" s="9"/>
    </row>
    <row r="707" spans="1:30" ht="13.5" customHeight="1" x14ac:dyDescent="0.25">
      <c r="A707" s="2"/>
      <c r="B707" s="2"/>
      <c r="C707" s="2"/>
      <c r="D707" s="2"/>
      <c r="E707" s="2"/>
      <c r="F707" s="2"/>
      <c r="G707" s="2"/>
      <c r="H707" s="2"/>
      <c r="I707" s="2"/>
      <c r="J707" s="2"/>
      <c r="K707" s="2"/>
      <c r="L707" s="2"/>
      <c r="M707" s="2"/>
      <c r="N707" s="2"/>
      <c r="O707" s="2"/>
      <c r="P707" s="2"/>
      <c r="Q707" s="2"/>
      <c r="R707" s="9"/>
      <c r="S707" s="9"/>
      <c r="T707" s="9"/>
      <c r="U707" s="9"/>
      <c r="V707" s="9"/>
      <c r="W707" s="9"/>
      <c r="X707" s="9"/>
      <c r="Y707" s="9"/>
      <c r="Z707" s="9"/>
      <c r="AA707" s="9"/>
      <c r="AB707" s="9"/>
      <c r="AC707" s="9"/>
      <c r="AD707" s="9"/>
    </row>
    <row r="708" spans="1:30" ht="13.5" customHeight="1" x14ac:dyDescent="0.25">
      <c r="A708" s="2"/>
      <c r="B708" s="2"/>
      <c r="C708" s="2"/>
      <c r="D708" s="2"/>
      <c r="E708" s="2"/>
      <c r="F708" s="2"/>
      <c r="G708" s="2"/>
      <c r="H708" s="2"/>
      <c r="I708" s="2"/>
      <c r="J708" s="2"/>
      <c r="K708" s="2"/>
      <c r="L708" s="2"/>
      <c r="M708" s="2"/>
      <c r="N708" s="2"/>
      <c r="O708" s="2"/>
      <c r="P708" s="2"/>
      <c r="Q708" s="2"/>
      <c r="R708" s="9"/>
      <c r="S708" s="9"/>
      <c r="T708" s="9"/>
      <c r="U708" s="9"/>
      <c r="V708" s="9"/>
      <c r="W708" s="9"/>
      <c r="X708" s="9"/>
      <c r="Y708" s="9"/>
      <c r="Z708" s="9"/>
      <c r="AA708" s="9"/>
      <c r="AB708" s="9"/>
      <c r="AC708" s="9"/>
      <c r="AD708" s="9"/>
    </row>
    <row r="709" spans="1:30" ht="13.5" customHeight="1" x14ac:dyDescent="0.25">
      <c r="A709" s="2"/>
      <c r="B709" s="2"/>
      <c r="C709" s="2"/>
      <c r="D709" s="2"/>
      <c r="E709" s="2"/>
      <c r="F709" s="2"/>
      <c r="G709" s="2"/>
      <c r="H709" s="2"/>
      <c r="I709" s="2"/>
      <c r="J709" s="2"/>
      <c r="K709" s="2"/>
      <c r="L709" s="2"/>
      <c r="M709" s="2"/>
      <c r="N709" s="2"/>
      <c r="O709" s="2"/>
      <c r="P709" s="2"/>
      <c r="Q709" s="2"/>
      <c r="R709" s="9"/>
      <c r="S709" s="9"/>
      <c r="T709" s="9"/>
      <c r="U709" s="9"/>
      <c r="V709" s="9"/>
      <c r="W709" s="9"/>
      <c r="X709" s="9"/>
      <c r="Y709" s="9"/>
      <c r="Z709" s="9"/>
      <c r="AA709" s="9"/>
      <c r="AB709" s="9"/>
      <c r="AC709" s="9"/>
      <c r="AD709" s="9"/>
    </row>
    <row r="710" spans="1:30" ht="13.5" customHeight="1" x14ac:dyDescent="0.25">
      <c r="A710" s="2"/>
      <c r="B710" s="2"/>
      <c r="C710" s="2"/>
      <c r="D710" s="2"/>
      <c r="E710" s="2"/>
      <c r="F710" s="2"/>
      <c r="G710" s="2"/>
      <c r="H710" s="2"/>
      <c r="I710" s="2"/>
      <c r="J710" s="2"/>
      <c r="K710" s="2"/>
      <c r="L710" s="2"/>
      <c r="M710" s="2"/>
      <c r="N710" s="2"/>
      <c r="O710" s="2"/>
      <c r="P710" s="2"/>
      <c r="Q710" s="2"/>
      <c r="R710" s="9"/>
      <c r="S710" s="9"/>
      <c r="T710" s="9"/>
      <c r="U710" s="9"/>
      <c r="V710" s="9"/>
      <c r="W710" s="9"/>
      <c r="X710" s="9"/>
      <c r="Y710" s="9"/>
      <c r="Z710" s="9"/>
      <c r="AA710" s="9"/>
      <c r="AB710" s="9"/>
      <c r="AC710" s="9"/>
      <c r="AD710" s="9"/>
    </row>
    <row r="711" spans="1:30" ht="13.5" customHeight="1" x14ac:dyDescent="0.25">
      <c r="A711" s="2"/>
      <c r="B711" s="2"/>
      <c r="C711" s="2"/>
      <c r="D711" s="2"/>
      <c r="E711" s="2"/>
      <c r="F711" s="2"/>
      <c r="G711" s="2"/>
      <c r="H711" s="2"/>
      <c r="I711" s="2"/>
      <c r="J711" s="2"/>
      <c r="K711" s="2"/>
      <c r="L711" s="2"/>
      <c r="M711" s="2"/>
      <c r="N711" s="2"/>
      <c r="O711" s="2"/>
      <c r="P711" s="2"/>
      <c r="Q711" s="2"/>
      <c r="R711" s="9"/>
      <c r="S711" s="9"/>
      <c r="T711" s="9"/>
      <c r="U711" s="9"/>
      <c r="V711" s="9"/>
      <c r="W711" s="9"/>
      <c r="X711" s="9"/>
      <c r="Y711" s="9"/>
      <c r="Z711" s="9"/>
      <c r="AA711" s="9"/>
      <c r="AB711" s="9"/>
      <c r="AC711" s="9"/>
      <c r="AD711" s="9"/>
    </row>
    <row r="712" spans="1:30" ht="13.5" customHeight="1" x14ac:dyDescent="0.25">
      <c r="A712" s="2"/>
      <c r="B712" s="2"/>
      <c r="C712" s="2"/>
      <c r="D712" s="2"/>
      <c r="E712" s="2"/>
      <c r="F712" s="2"/>
      <c r="G712" s="2"/>
      <c r="H712" s="2"/>
      <c r="I712" s="2"/>
      <c r="J712" s="2"/>
      <c r="K712" s="2"/>
      <c r="L712" s="2"/>
      <c r="M712" s="2"/>
      <c r="N712" s="2"/>
      <c r="O712" s="2"/>
      <c r="P712" s="2"/>
      <c r="Q712" s="2"/>
      <c r="R712" s="9"/>
      <c r="S712" s="9"/>
      <c r="T712" s="9"/>
      <c r="U712" s="9"/>
      <c r="V712" s="9"/>
      <c r="W712" s="9"/>
      <c r="X712" s="9"/>
      <c r="Y712" s="9"/>
      <c r="Z712" s="9"/>
      <c r="AA712" s="9"/>
      <c r="AB712" s="9"/>
      <c r="AC712" s="9"/>
      <c r="AD712" s="9"/>
    </row>
    <row r="713" spans="1:30" ht="13.5" customHeight="1" x14ac:dyDescent="0.25">
      <c r="A713" s="2"/>
      <c r="B713" s="2"/>
      <c r="C713" s="2"/>
      <c r="D713" s="2"/>
      <c r="E713" s="2"/>
      <c r="F713" s="2"/>
      <c r="G713" s="2"/>
      <c r="H713" s="2"/>
      <c r="I713" s="2"/>
      <c r="J713" s="2"/>
      <c r="K713" s="2"/>
      <c r="L713" s="2"/>
      <c r="M713" s="2"/>
      <c r="N713" s="2"/>
      <c r="O713" s="2"/>
      <c r="P713" s="2"/>
      <c r="Q713" s="2"/>
      <c r="R713" s="9"/>
      <c r="S713" s="9"/>
      <c r="T713" s="9"/>
      <c r="U713" s="9"/>
      <c r="V713" s="9"/>
      <c r="W713" s="9"/>
      <c r="X713" s="9"/>
      <c r="Y713" s="9"/>
      <c r="Z713" s="9"/>
      <c r="AA713" s="9"/>
      <c r="AB713" s="9"/>
      <c r="AC713" s="9"/>
      <c r="AD713" s="9"/>
    </row>
    <row r="714" spans="1:30" ht="13.5" customHeight="1" x14ac:dyDescent="0.25">
      <c r="A714" s="2"/>
      <c r="B714" s="2"/>
      <c r="C714" s="2"/>
      <c r="D714" s="2"/>
      <c r="E714" s="2"/>
      <c r="F714" s="2"/>
      <c r="G714" s="2"/>
      <c r="H714" s="2"/>
      <c r="I714" s="2"/>
      <c r="J714" s="2"/>
      <c r="K714" s="2"/>
      <c r="L714" s="2"/>
      <c r="M714" s="2"/>
      <c r="N714" s="2"/>
      <c r="O714" s="2"/>
      <c r="P714" s="2"/>
      <c r="Q714" s="2"/>
      <c r="R714" s="9"/>
      <c r="S714" s="9"/>
      <c r="T714" s="9"/>
      <c r="U714" s="9"/>
      <c r="V714" s="9"/>
      <c r="W714" s="9"/>
      <c r="X714" s="9"/>
      <c r="Y714" s="9"/>
      <c r="Z714" s="9"/>
      <c r="AA714" s="9"/>
      <c r="AB714" s="9"/>
      <c r="AC714" s="9"/>
      <c r="AD714" s="9"/>
    </row>
    <row r="715" spans="1:30" ht="13.5" customHeight="1" x14ac:dyDescent="0.25">
      <c r="A715" s="2"/>
      <c r="B715" s="2"/>
      <c r="C715" s="2"/>
      <c r="D715" s="2"/>
      <c r="E715" s="2"/>
      <c r="F715" s="2"/>
      <c r="G715" s="2"/>
      <c r="H715" s="2"/>
      <c r="I715" s="2"/>
      <c r="J715" s="2"/>
      <c r="K715" s="2"/>
      <c r="L715" s="2"/>
      <c r="M715" s="2"/>
      <c r="N715" s="2"/>
      <c r="O715" s="2"/>
      <c r="P715" s="2"/>
      <c r="Q715" s="2"/>
      <c r="R715" s="9"/>
      <c r="S715" s="9"/>
      <c r="T715" s="9"/>
      <c r="U715" s="9"/>
      <c r="V715" s="9"/>
      <c r="W715" s="9"/>
      <c r="X715" s="9"/>
      <c r="Y715" s="9"/>
      <c r="Z715" s="9"/>
      <c r="AA715" s="9"/>
      <c r="AB715" s="9"/>
      <c r="AC715" s="9"/>
      <c r="AD715" s="9"/>
    </row>
    <row r="716" spans="1:30" ht="13.5" customHeight="1" x14ac:dyDescent="0.25">
      <c r="A716" s="2"/>
      <c r="B716" s="2"/>
      <c r="C716" s="2"/>
      <c r="D716" s="2"/>
      <c r="E716" s="2"/>
      <c r="F716" s="2"/>
      <c r="G716" s="2"/>
      <c r="H716" s="2"/>
      <c r="I716" s="2"/>
      <c r="J716" s="2"/>
      <c r="K716" s="2"/>
      <c r="L716" s="2"/>
      <c r="M716" s="2"/>
      <c r="N716" s="2"/>
      <c r="O716" s="2"/>
      <c r="P716" s="2"/>
      <c r="Q716" s="2"/>
      <c r="R716" s="9"/>
      <c r="S716" s="9"/>
      <c r="T716" s="9"/>
      <c r="U716" s="9"/>
      <c r="V716" s="9"/>
      <c r="W716" s="9"/>
      <c r="X716" s="9"/>
      <c r="Y716" s="9"/>
      <c r="Z716" s="9"/>
      <c r="AA716" s="9"/>
      <c r="AB716" s="9"/>
      <c r="AC716" s="9"/>
      <c r="AD716" s="9"/>
    </row>
    <row r="717" spans="1:30" ht="13.5" customHeight="1" x14ac:dyDescent="0.25">
      <c r="A717" s="2"/>
      <c r="B717" s="2"/>
      <c r="C717" s="2"/>
      <c r="D717" s="2"/>
      <c r="E717" s="2"/>
      <c r="F717" s="2"/>
      <c r="G717" s="2"/>
      <c r="H717" s="2"/>
      <c r="I717" s="2"/>
      <c r="J717" s="2"/>
      <c r="K717" s="2"/>
      <c r="L717" s="2"/>
      <c r="M717" s="2"/>
      <c r="N717" s="2"/>
      <c r="O717" s="2"/>
      <c r="P717" s="2"/>
      <c r="Q717" s="2"/>
      <c r="R717" s="9"/>
      <c r="S717" s="9"/>
      <c r="T717" s="9"/>
      <c r="U717" s="9"/>
      <c r="V717" s="9"/>
      <c r="W717" s="9"/>
      <c r="X717" s="9"/>
      <c r="Y717" s="9"/>
      <c r="Z717" s="9"/>
      <c r="AA717" s="9"/>
      <c r="AB717" s="9"/>
      <c r="AC717" s="9"/>
      <c r="AD717" s="9"/>
    </row>
    <row r="718" spans="1:30" ht="13.5" customHeight="1" x14ac:dyDescent="0.25">
      <c r="A718" s="2"/>
      <c r="B718" s="2"/>
      <c r="C718" s="2"/>
      <c r="D718" s="2"/>
      <c r="E718" s="2"/>
      <c r="F718" s="2"/>
      <c r="G718" s="2"/>
      <c r="H718" s="2"/>
      <c r="I718" s="2"/>
      <c r="J718" s="2"/>
      <c r="K718" s="2"/>
      <c r="L718" s="2"/>
      <c r="M718" s="2"/>
      <c r="N718" s="2"/>
      <c r="O718" s="2"/>
      <c r="P718" s="2"/>
      <c r="Q718" s="2"/>
      <c r="R718" s="9"/>
      <c r="S718" s="9"/>
      <c r="T718" s="9"/>
      <c r="U718" s="9"/>
      <c r="V718" s="9"/>
      <c r="W718" s="9"/>
      <c r="X718" s="9"/>
      <c r="Y718" s="9"/>
      <c r="Z718" s="9"/>
      <c r="AA718" s="9"/>
      <c r="AB718" s="9"/>
      <c r="AC718" s="9"/>
      <c r="AD718" s="9"/>
    </row>
    <row r="719" spans="1:30" ht="13.5" customHeight="1" x14ac:dyDescent="0.25">
      <c r="A719" s="2"/>
      <c r="B719" s="2"/>
      <c r="C719" s="2"/>
      <c r="D719" s="2"/>
      <c r="E719" s="2"/>
      <c r="F719" s="2"/>
      <c r="G719" s="2"/>
      <c r="H719" s="2"/>
      <c r="I719" s="2"/>
      <c r="J719" s="2"/>
      <c r="K719" s="2"/>
      <c r="L719" s="2"/>
      <c r="M719" s="2"/>
      <c r="N719" s="2"/>
      <c r="O719" s="2"/>
      <c r="P719" s="2"/>
      <c r="Q719" s="2"/>
      <c r="R719" s="9"/>
      <c r="S719" s="9"/>
      <c r="T719" s="9"/>
      <c r="U719" s="9"/>
      <c r="V719" s="9"/>
      <c r="W719" s="9"/>
      <c r="X719" s="9"/>
      <c r="Y719" s="9"/>
      <c r="Z719" s="9"/>
      <c r="AA719" s="9"/>
      <c r="AB719" s="9"/>
      <c r="AC719" s="9"/>
      <c r="AD719" s="9"/>
    </row>
    <row r="720" spans="1:30" ht="13.5" customHeight="1" x14ac:dyDescent="0.25">
      <c r="A720" s="2"/>
      <c r="B720" s="2"/>
      <c r="C720" s="2"/>
      <c r="D720" s="2"/>
      <c r="E720" s="2"/>
      <c r="F720" s="2"/>
      <c r="G720" s="2"/>
      <c r="H720" s="2"/>
      <c r="I720" s="2"/>
      <c r="J720" s="2"/>
      <c r="K720" s="2"/>
      <c r="L720" s="2"/>
      <c r="M720" s="2"/>
      <c r="N720" s="2"/>
      <c r="O720" s="2"/>
      <c r="P720" s="2"/>
      <c r="Q720" s="2"/>
      <c r="R720" s="9"/>
      <c r="S720" s="9"/>
      <c r="T720" s="9"/>
      <c r="U720" s="9"/>
      <c r="V720" s="9"/>
      <c r="W720" s="9"/>
      <c r="X720" s="9"/>
      <c r="Y720" s="9"/>
      <c r="Z720" s="9"/>
      <c r="AA720" s="9"/>
      <c r="AB720" s="9"/>
      <c r="AC720" s="9"/>
      <c r="AD720" s="9"/>
    </row>
    <row r="721" spans="1:30" ht="13.5" customHeight="1" x14ac:dyDescent="0.25">
      <c r="A721" s="2"/>
      <c r="B721" s="2"/>
      <c r="C721" s="2"/>
      <c r="D721" s="2"/>
      <c r="E721" s="2"/>
      <c r="F721" s="2"/>
      <c r="G721" s="2"/>
      <c r="H721" s="2"/>
      <c r="I721" s="2"/>
      <c r="J721" s="2"/>
      <c r="K721" s="2"/>
      <c r="L721" s="2"/>
      <c r="M721" s="2"/>
      <c r="N721" s="2"/>
      <c r="O721" s="2"/>
      <c r="P721" s="2"/>
      <c r="Q721" s="2"/>
      <c r="R721" s="9"/>
      <c r="S721" s="9"/>
      <c r="T721" s="9"/>
      <c r="U721" s="9"/>
      <c r="V721" s="9"/>
      <c r="W721" s="9"/>
      <c r="X721" s="9"/>
      <c r="Y721" s="9"/>
      <c r="Z721" s="9"/>
      <c r="AA721" s="9"/>
      <c r="AB721" s="9"/>
      <c r="AC721" s="9"/>
      <c r="AD721" s="9"/>
    </row>
    <row r="722" spans="1:30" ht="13.5" customHeight="1" x14ac:dyDescent="0.25">
      <c r="A722" s="2"/>
      <c r="B722" s="2"/>
      <c r="C722" s="2"/>
      <c r="D722" s="2"/>
      <c r="E722" s="2"/>
      <c r="F722" s="2"/>
      <c r="G722" s="2"/>
      <c r="H722" s="2"/>
      <c r="I722" s="2"/>
      <c r="J722" s="2"/>
      <c r="K722" s="2"/>
      <c r="L722" s="2"/>
      <c r="M722" s="2"/>
      <c r="N722" s="2"/>
      <c r="O722" s="2"/>
      <c r="P722" s="2"/>
      <c r="Q722" s="2"/>
      <c r="R722" s="9"/>
      <c r="S722" s="9"/>
      <c r="T722" s="9"/>
      <c r="U722" s="9"/>
      <c r="V722" s="9"/>
      <c r="W722" s="9"/>
      <c r="X722" s="9"/>
      <c r="Y722" s="9"/>
      <c r="Z722" s="9"/>
      <c r="AA722" s="9"/>
      <c r="AB722" s="9"/>
      <c r="AC722" s="9"/>
      <c r="AD722" s="9"/>
    </row>
    <row r="723" spans="1:30" ht="13.5" customHeight="1" x14ac:dyDescent="0.25">
      <c r="A723" s="2"/>
      <c r="B723" s="2"/>
      <c r="C723" s="2"/>
      <c r="D723" s="2"/>
      <c r="E723" s="2"/>
      <c r="F723" s="2"/>
      <c r="G723" s="2"/>
      <c r="H723" s="2"/>
      <c r="I723" s="2"/>
      <c r="J723" s="2"/>
      <c r="K723" s="2"/>
      <c r="L723" s="2"/>
      <c r="M723" s="2"/>
      <c r="N723" s="2"/>
      <c r="O723" s="2"/>
      <c r="P723" s="2"/>
      <c r="Q723" s="2"/>
      <c r="R723" s="9"/>
      <c r="S723" s="9"/>
      <c r="T723" s="9"/>
      <c r="U723" s="9"/>
      <c r="V723" s="9"/>
      <c r="W723" s="9"/>
      <c r="X723" s="9"/>
      <c r="Y723" s="9"/>
      <c r="Z723" s="9"/>
      <c r="AA723" s="9"/>
      <c r="AB723" s="9"/>
      <c r="AC723" s="9"/>
      <c r="AD723" s="9"/>
    </row>
    <row r="724" spans="1:30" ht="13.5" customHeight="1" x14ac:dyDescent="0.25">
      <c r="A724" s="2"/>
      <c r="B724" s="2"/>
      <c r="C724" s="2"/>
      <c r="D724" s="2"/>
      <c r="E724" s="2"/>
      <c r="F724" s="2"/>
      <c r="G724" s="2"/>
      <c r="H724" s="2"/>
      <c r="I724" s="2"/>
      <c r="J724" s="2"/>
      <c r="K724" s="2"/>
      <c r="L724" s="2"/>
      <c r="M724" s="2"/>
      <c r="N724" s="2"/>
      <c r="O724" s="2"/>
      <c r="P724" s="2"/>
      <c r="Q724" s="2"/>
      <c r="R724" s="9"/>
      <c r="S724" s="9"/>
      <c r="T724" s="9"/>
      <c r="U724" s="9"/>
      <c r="V724" s="9"/>
      <c r="W724" s="9"/>
      <c r="X724" s="9"/>
      <c r="Y724" s="9"/>
      <c r="Z724" s="9"/>
      <c r="AA724" s="9"/>
      <c r="AB724" s="9"/>
      <c r="AC724" s="9"/>
      <c r="AD724" s="9"/>
    </row>
    <row r="725" spans="1:30" ht="13.5" customHeight="1" x14ac:dyDescent="0.25">
      <c r="A725" s="2"/>
      <c r="B725" s="2"/>
      <c r="C725" s="2"/>
      <c r="D725" s="2"/>
      <c r="E725" s="2"/>
      <c r="F725" s="2"/>
      <c r="G725" s="2"/>
      <c r="H725" s="2"/>
      <c r="I725" s="2"/>
      <c r="J725" s="2"/>
      <c r="K725" s="2"/>
      <c r="L725" s="2"/>
      <c r="M725" s="2"/>
      <c r="N725" s="2"/>
      <c r="O725" s="2"/>
      <c r="P725" s="2"/>
      <c r="Q725" s="2"/>
      <c r="R725" s="9"/>
      <c r="S725" s="9"/>
      <c r="T725" s="9"/>
      <c r="U725" s="9"/>
      <c r="V725" s="9"/>
      <c r="W725" s="9"/>
      <c r="X725" s="9"/>
      <c r="Y725" s="9"/>
      <c r="Z725" s="9"/>
      <c r="AA725" s="9"/>
      <c r="AB725" s="9"/>
      <c r="AC725" s="9"/>
      <c r="AD725" s="9"/>
    </row>
    <row r="726" spans="1:30" ht="13.5" customHeight="1" x14ac:dyDescent="0.25">
      <c r="A726" s="2"/>
      <c r="B726" s="2"/>
      <c r="C726" s="2"/>
      <c r="D726" s="2"/>
      <c r="E726" s="2"/>
      <c r="F726" s="2"/>
      <c r="G726" s="2"/>
      <c r="H726" s="2"/>
      <c r="I726" s="2"/>
      <c r="J726" s="2"/>
      <c r="K726" s="2"/>
      <c r="L726" s="2"/>
      <c r="M726" s="2"/>
      <c r="N726" s="2"/>
      <c r="O726" s="2"/>
      <c r="P726" s="2"/>
      <c r="Q726" s="2"/>
      <c r="R726" s="9"/>
      <c r="S726" s="9"/>
      <c r="T726" s="9"/>
      <c r="U726" s="9"/>
      <c r="V726" s="9"/>
      <c r="W726" s="9"/>
      <c r="X726" s="9"/>
      <c r="Y726" s="9"/>
      <c r="Z726" s="9"/>
      <c r="AA726" s="9"/>
      <c r="AB726" s="9"/>
      <c r="AC726" s="9"/>
      <c r="AD726" s="9"/>
    </row>
    <row r="727" spans="1:30" ht="13.5" customHeight="1" x14ac:dyDescent="0.25">
      <c r="A727" s="2"/>
      <c r="B727" s="2"/>
      <c r="C727" s="2"/>
      <c r="D727" s="2"/>
      <c r="E727" s="2"/>
      <c r="F727" s="2"/>
      <c r="G727" s="2"/>
      <c r="H727" s="2"/>
      <c r="I727" s="2"/>
      <c r="J727" s="2"/>
      <c r="K727" s="2"/>
      <c r="L727" s="2"/>
      <c r="M727" s="2"/>
      <c r="N727" s="2"/>
      <c r="O727" s="2"/>
      <c r="P727" s="2"/>
      <c r="Q727" s="2"/>
      <c r="R727" s="9"/>
      <c r="S727" s="9"/>
      <c r="T727" s="9"/>
      <c r="U727" s="9"/>
      <c r="V727" s="9"/>
      <c r="W727" s="9"/>
      <c r="X727" s="9"/>
      <c r="Y727" s="9"/>
      <c r="Z727" s="9"/>
      <c r="AA727" s="9"/>
      <c r="AB727" s="9"/>
      <c r="AC727" s="9"/>
      <c r="AD727" s="9"/>
    </row>
    <row r="728" spans="1:30" ht="13.5" customHeight="1" x14ac:dyDescent="0.25">
      <c r="A728" s="2"/>
      <c r="B728" s="2"/>
      <c r="C728" s="2"/>
      <c r="D728" s="2"/>
      <c r="E728" s="2"/>
      <c r="F728" s="2"/>
      <c r="G728" s="2"/>
      <c r="H728" s="2"/>
      <c r="I728" s="2"/>
      <c r="J728" s="2"/>
      <c r="K728" s="2"/>
      <c r="L728" s="2"/>
      <c r="M728" s="2"/>
      <c r="N728" s="2"/>
      <c r="O728" s="2"/>
      <c r="P728" s="2"/>
      <c r="Q728" s="2"/>
      <c r="R728" s="9"/>
      <c r="S728" s="9"/>
      <c r="T728" s="9"/>
      <c r="U728" s="9"/>
      <c r="V728" s="9"/>
      <c r="W728" s="9"/>
      <c r="X728" s="9"/>
      <c r="Y728" s="9"/>
      <c r="Z728" s="9"/>
      <c r="AA728" s="9"/>
      <c r="AB728" s="9"/>
      <c r="AC728" s="9"/>
      <c r="AD728" s="9"/>
    </row>
    <row r="729" spans="1:30" ht="13.5" customHeight="1" x14ac:dyDescent="0.25">
      <c r="A729" s="2"/>
      <c r="B729" s="2"/>
      <c r="C729" s="2"/>
      <c r="D729" s="2"/>
      <c r="E729" s="2"/>
      <c r="F729" s="2"/>
      <c r="G729" s="2"/>
      <c r="H729" s="2"/>
      <c r="I729" s="2"/>
      <c r="J729" s="2"/>
      <c r="K729" s="2"/>
      <c r="L729" s="2"/>
      <c r="M729" s="2"/>
      <c r="N729" s="2"/>
      <c r="O729" s="2"/>
      <c r="P729" s="2"/>
      <c r="Q729" s="2"/>
      <c r="R729" s="9"/>
      <c r="S729" s="9"/>
      <c r="T729" s="9"/>
      <c r="U729" s="9"/>
      <c r="V729" s="9"/>
      <c r="W729" s="9"/>
      <c r="X729" s="9"/>
      <c r="Y729" s="9"/>
      <c r="Z729" s="9"/>
      <c r="AA729" s="9"/>
      <c r="AB729" s="9"/>
      <c r="AC729" s="9"/>
      <c r="AD729" s="9"/>
    </row>
    <row r="730" spans="1:30" ht="13.5" customHeight="1" x14ac:dyDescent="0.25">
      <c r="A730" s="2"/>
      <c r="B730" s="2"/>
      <c r="C730" s="2"/>
      <c r="D730" s="2"/>
      <c r="E730" s="2"/>
      <c r="F730" s="2"/>
      <c r="G730" s="2"/>
      <c r="H730" s="2"/>
      <c r="I730" s="2"/>
      <c r="J730" s="2"/>
      <c r="K730" s="2"/>
      <c r="L730" s="2"/>
      <c r="M730" s="2"/>
      <c r="N730" s="2"/>
      <c r="O730" s="2"/>
      <c r="P730" s="2"/>
      <c r="Q730" s="2"/>
      <c r="R730" s="9"/>
      <c r="S730" s="9"/>
      <c r="T730" s="9"/>
      <c r="U730" s="9"/>
      <c r="V730" s="9"/>
      <c r="W730" s="9"/>
      <c r="X730" s="9"/>
      <c r="Y730" s="9"/>
      <c r="Z730" s="9"/>
      <c r="AA730" s="9"/>
      <c r="AB730" s="9"/>
      <c r="AC730" s="9"/>
      <c r="AD730" s="9"/>
    </row>
    <row r="731" spans="1:30" ht="13.5" customHeight="1" x14ac:dyDescent="0.25">
      <c r="A731" s="2"/>
      <c r="B731" s="2"/>
      <c r="C731" s="2"/>
      <c r="D731" s="2"/>
      <c r="E731" s="2"/>
      <c r="F731" s="2"/>
      <c r="G731" s="2"/>
      <c r="H731" s="2"/>
      <c r="I731" s="2"/>
      <c r="J731" s="2"/>
      <c r="K731" s="2"/>
      <c r="L731" s="2"/>
      <c r="M731" s="2"/>
      <c r="N731" s="2"/>
      <c r="O731" s="2"/>
      <c r="P731" s="2"/>
      <c r="Q731" s="2"/>
      <c r="R731" s="9"/>
      <c r="S731" s="9"/>
      <c r="T731" s="9"/>
      <c r="U731" s="9"/>
      <c r="V731" s="9"/>
      <c r="W731" s="9"/>
      <c r="X731" s="9"/>
      <c r="Y731" s="9"/>
      <c r="Z731" s="9"/>
      <c r="AA731" s="9"/>
      <c r="AB731" s="9"/>
      <c r="AC731" s="9"/>
      <c r="AD731" s="9"/>
    </row>
    <row r="732" spans="1:30" ht="13.5" customHeight="1" x14ac:dyDescent="0.25">
      <c r="A732" s="2"/>
      <c r="B732" s="2"/>
      <c r="C732" s="2"/>
      <c r="D732" s="2"/>
      <c r="E732" s="2"/>
      <c r="F732" s="2"/>
      <c r="G732" s="2"/>
      <c r="H732" s="2"/>
      <c r="I732" s="2"/>
      <c r="J732" s="2"/>
      <c r="K732" s="2"/>
      <c r="L732" s="2"/>
      <c r="M732" s="2"/>
      <c r="N732" s="2"/>
      <c r="O732" s="2"/>
      <c r="P732" s="2"/>
      <c r="Q732" s="2"/>
      <c r="R732" s="9"/>
      <c r="S732" s="9"/>
      <c r="T732" s="9"/>
      <c r="U732" s="9"/>
      <c r="V732" s="9"/>
      <c r="W732" s="9"/>
      <c r="X732" s="9"/>
      <c r="Y732" s="9"/>
      <c r="Z732" s="9"/>
      <c r="AA732" s="9"/>
      <c r="AB732" s="9"/>
      <c r="AC732" s="9"/>
      <c r="AD732" s="9"/>
    </row>
    <row r="733" spans="1:30" ht="13.5" customHeight="1" x14ac:dyDescent="0.25">
      <c r="A733" s="2"/>
      <c r="B733" s="2"/>
      <c r="C733" s="2"/>
      <c r="D733" s="2"/>
      <c r="E733" s="2"/>
      <c r="F733" s="2"/>
      <c r="G733" s="2"/>
      <c r="H733" s="2"/>
      <c r="I733" s="2"/>
      <c r="J733" s="2"/>
      <c r="K733" s="2"/>
      <c r="L733" s="2"/>
      <c r="M733" s="2"/>
      <c r="N733" s="2"/>
      <c r="O733" s="2"/>
      <c r="P733" s="2"/>
      <c r="Q733" s="2"/>
      <c r="R733" s="9"/>
      <c r="S733" s="9"/>
      <c r="T733" s="9"/>
      <c r="U733" s="9"/>
      <c r="V733" s="9"/>
      <c r="W733" s="9"/>
      <c r="X733" s="9"/>
      <c r="Y733" s="9"/>
      <c r="Z733" s="9"/>
      <c r="AA733" s="9"/>
      <c r="AB733" s="9"/>
      <c r="AC733" s="9"/>
      <c r="AD733" s="9"/>
    </row>
    <row r="734" spans="1:30" ht="13.5" customHeight="1" x14ac:dyDescent="0.25">
      <c r="A734" s="2"/>
      <c r="B734" s="2"/>
      <c r="C734" s="2"/>
      <c r="D734" s="2"/>
      <c r="E734" s="2"/>
      <c r="F734" s="2"/>
      <c r="G734" s="2"/>
      <c r="H734" s="2"/>
      <c r="I734" s="2"/>
      <c r="J734" s="2"/>
      <c r="K734" s="2"/>
      <c r="L734" s="2"/>
      <c r="M734" s="2"/>
      <c r="N734" s="2"/>
      <c r="O734" s="2"/>
      <c r="P734" s="2"/>
      <c r="Q734" s="2"/>
      <c r="R734" s="9"/>
      <c r="S734" s="9"/>
      <c r="T734" s="9"/>
      <c r="U734" s="9"/>
      <c r="V734" s="9"/>
      <c r="W734" s="9"/>
      <c r="X734" s="9"/>
      <c r="Y734" s="9"/>
      <c r="Z734" s="9"/>
      <c r="AA734" s="9"/>
      <c r="AB734" s="9"/>
      <c r="AC734" s="9"/>
      <c r="AD734" s="9"/>
    </row>
    <row r="735" spans="1:30" ht="13.5" customHeight="1" x14ac:dyDescent="0.25">
      <c r="A735" s="2"/>
      <c r="B735" s="2"/>
      <c r="C735" s="2"/>
      <c r="D735" s="2"/>
      <c r="E735" s="2"/>
      <c r="F735" s="2"/>
      <c r="G735" s="2"/>
      <c r="H735" s="2"/>
      <c r="I735" s="2"/>
      <c r="J735" s="2"/>
      <c r="K735" s="2"/>
      <c r="L735" s="2"/>
      <c r="M735" s="2"/>
      <c r="N735" s="2"/>
      <c r="O735" s="2"/>
      <c r="P735" s="2"/>
      <c r="Q735" s="2"/>
      <c r="R735" s="9"/>
      <c r="S735" s="9"/>
      <c r="T735" s="9"/>
      <c r="U735" s="9"/>
      <c r="V735" s="9"/>
      <c r="W735" s="9"/>
      <c r="X735" s="9"/>
      <c r="Y735" s="9"/>
      <c r="Z735" s="9"/>
      <c r="AA735" s="9"/>
      <c r="AB735" s="9"/>
      <c r="AC735" s="9"/>
      <c r="AD735" s="9"/>
    </row>
    <row r="736" spans="1:30" ht="13.5" customHeight="1" x14ac:dyDescent="0.25">
      <c r="A736" s="2"/>
      <c r="B736" s="2"/>
      <c r="C736" s="2"/>
      <c r="D736" s="2"/>
      <c r="E736" s="2"/>
      <c r="F736" s="2"/>
      <c r="G736" s="2"/>
      <c r="H736" s="2"/>
      <c r="I736" s="2"/>
      <c r="J736" s="2"/>
      <c r="K736" s="2"/>
      <c r="L736" s="2"/>
      <c r="M736" s="2"/>
      <c r="N736" s="2"/>
      <c r="O736" s="2"/>
      <c r="P736" s="2"/>
      <c r="Q736" s="2"/>
      <c r="R736" s="9"/>
      <c r="S736" s="9"/>
      <c r="T736" s="9"/>
      <c r="U736" s="9"/>
      <c r="V736" s="9"/>
      <c r="W736" s="9"/>
      <c r="X736" s="9"/>
      <c r="Y736" s="9"/>
      <c r="Z736" s="9"/>
      <c r="AA736" s="9"/>
      <c r="AB736" s="9"/>
      <c r="AC736" s="9"/>
      <c r="AD736" s="9"/>
    </row>
    <row r="737" spans="1:30" ht="13.5" customHeight="1" x14ac:dyDescent="0.25">
      <c r="A737" s="2"/>
      <c r="B737" s="2"/>
      <c r="C737" s="2"/>
      <c r="D737" s="2"/>
      <c r="E737" s="2"/>
      <c r="F737" s="2"/>
      <c r="G737" s="2"/>
      <c r="H737" s="2"/>
      <c r="I737" s="2"/>
      <c r="J737" s="2"/>
      <c r="K737" s="2"/>
      <c r="L737" s="2"/>
      <c r="M737" s="2"/>
      <c r="N737" s="2"/>
      <c r="O737" s="2"/>
      <c r="P737" s="2"/>
      <c r="Q737" s="2"/>
      <c r="R737" s="9"/>
      <c r="S737" s="9"/>
      <c r="T737" s="9"/>
      <c r="U737" s="9"/>
      <c r="V737" s="9"/>
      <c r="W737" s="9"/>
      <c r="X737" s="9"/>
      <c r="Y737" s="9"/>
      <c r="Z737" s="9"/>
      <c r="AA737" s="9"/>
      <c r="AB737" s="9"/>
      <c r="AC737" s="9"/>
      <c r="AD737" s="9"/>
    </row>
    <row r="738" spans="1:30" ht="13.5" customHeight="1" x14ac:dyDescent="0.25">
      <c r="A738" s="2"/>
      <c r="B738" s="2"/>
      <c r="C738" s="2"/>
      <c r="D738" s="2"/>
      <c r="E738" s="2"/>
      <c r="F738" s="2"/>
      <c r="G738" s="2"/>
      <c r="H738" s="2"/>
      <c r="I738" s="2"/>
      <c r="J738" s="2"/>
      <c r="K738" s="2"/>
      <c r="L738" s="2"/>
      <c r="M738" s="2"/>
      <c r="N738" s="2"/>
      <c r="O738" s="2"/>
      <c r="P738" s="2"/>
      <c r="Q738" s="2"/>
      <c r="R738" s="9"/>
      <c r="S738" s="9"/>
      <c r="T738" s="9"/>
      <c r="U738" s="9"/>
      <c r="V738" s="9"/>
      <c r="W738" s="9"/>
      <c r="X738" s="9"/>
      <c r="Y738" s="9"/>
      <c r="Z738" s="9"/>
      <c r="AA738" s="9"/>
      <c r="AB738" s="9"/>
      <c r="AC738" s="9"/>
      <c r="AD738" s="9"/>
    </row>
    <row r="739" spans="1:30" ht="13.5" customHeight="1" x14ac:dyDescent="0.25">
      <c r="A739" s="2"/>
      <c r="B739" s="2"/>
      <c r="C739" s="2"/>
      <c r="D739" s="2"/>
      <c r="E739" s="2"/>
      <c r="F739" s="2"/>
      <c r="G739" s="2"/>
      <c r="H739" s="2"/>
      <c r="I739" s="2"/>
      <c r="J739" s="2"/>
      <c r="K739" s="2"/>
      <c r="L739" s="2"/>
      <c r="M739" s="2"/>
      <c r="N739" s="2"/>
      <c r="O739" s="2"/>
      <c r="P739" s="2"/>
      <c r="Q739" s="2"/>
      <c r="R739" s="9"/>
      <c r="S739" s="9"/>
      <c r="T739" s="9"/>
      <c r="U739" s="9"/>
      <c r="V739" s="9"/>
      <c r="W739" s="9"/>
      <c r="X739" s="9"/>
      <c r="Y739" s="9"/>
      <c r="Z739" s="9"/>
      <c r="AA739" s="9"/>
      <c r="AB739" s="9"/>
      <c r="AC739" s="9"/>
      <c r="AD739" s="9"/>
    </row>
    <row r="740" spans="1:30" ht="13.5" customHeight="1" x14ac:dyDescent="0.25">
      <c r="A740" s="2"/>
      <c r="B740" s="2"/>
      <c r="C740" s="2"/>
      <c r="D740" s="2"/>
      <c r="E740" s="2"/>
      <c r="F740" s="2"/>
      <c r="G740" s="2"/>
      <c r="H740" s="2"/>
      <c r="I740" s="2"/>
      <c r="J740" s="2"/>
      <c r="K740" s="2"/>
      <c r="L740" s="2"/>
      <c r="M740" s="2"/>
      <c r="N740" s="2"/>
      <c r="O740" s="2"/>
      <c r="P740" s="2"/>
      <c r="Q740" s="2"/>
      <c r="R740" s="9"/>
      <c r="S740" s="9"/>
      <c r="T740" s="9"/>
      <c r="U740" s="9"/>
      <c r="V740" s="9"/>
      <c r="W740" s="9"/>
      <c r="X740" s="9"/>
      <c r="Y740" s="9"/>
      <c r="Z740" s="9"/>
      <c r="AA740" s="9"/>
      <c r="AB740" s="9"/>
      <c r="AC740" s="9"/>
      <c r="AD740" s="9"/>
    </row>
    <row r="741" spans="1:30" ht="13.5" customHeight="1" x14ac:dyDescent="0.25">
      <c r="A741" s="2"/>
      <c r="B741" s="2"/>
      <c r="C741" s="2"/>
      <c r="D741" s="2"/>
      <c r="E741" s="2"/>
      <c r="F741" s="2"/>
      <c r="G741" s="2"/>
      <c r="H741" s="2"/>
      <c r="I741" s="2"/>
      <c r="J741" s="2"/>
      <c r="K741" s="2"/>
      <c r="L741" s="2"/>
      <c r="M741" s="2"/>
      <c r="N741" s="2"/>
      <c r="O741" s="2"/>
      <c r="P741" s="2"/>
      <c r="Q741" s="2"/>
      <c r="R741" s="9"/>
      <c r="S741" s="9"/>
      <c r="T741" s="9"/>
      <c r="U741" s="9"/>
      <c r="V741" s="9"/>
      <c r="W741" s="9"/>
      <c r="X741" s="9"/>
      <c r="Y741" s="9"/>
      <c r="Z741" s="9"/>
      <c r="AA741" s="9"/>
      <c r="AB741" s="9"/>
      <c r="AC741" s="9"/>
      <c r="AD741" s="9"/>
    </row>
    <row r="742" spans="1:30" ht="13.5" customHeight="1" x14ac:dyDescent="0.25">
      <c r="A742" s="2"/>
      <c r="B742" s="2"/>
      <c r="C742" s="2"/>
      <c r="D742" s="2"/>
      <c r="E742" s="2"/>
      <c r="F742" s="2"/>
      <c r="G742" s="2"/>
      <c r="H742" s="2"/>
      <c r="I742" s="2"/>
      <c r="J742" s="2"/>
      <c r="K742" s="2"/>
      <c r="L742" s="2"/>
      <c r="M742" s="2"/>
      <c r="N742" s="2"/>
      <c r="O742" s="2"/>
      <c r="P742" s="2"/>
      <c r="Q742" s="2"/>
      <c r="R742" s="9"/>
      <c r="S742" s="9"/>
      <c r="T742" s="9"/>
      <c r="U742" s="9"/>
      <c r="V742" s="9"/>
      <c r="W742" s="9"/>
      <c r="X742" s="9"/>
      <c r="Y742" s="9"/>
      <c r="Z742" s="9"/>
      <c r="AA742" s="9"/>
      <c r="AB742" s="9"/>
      <c r="AC742" s="9"/>
      <c r="AD742" s="9"/>
    </row>
    <row r="743" spans="1:30" ht="13.5" customHeight="1" x14ac:dyDescent="0.25">
      <c r="A743" s="2"/>
      <c r="B743" s="2"/>
      <c r="C743" s="2"/>
      <c r="D743" s="2"/>
      <c r="E743" s="2"/>
      <c r="F743" s="2"/>
      <c r="G743" s="2"/>
      <c r="H743" s="2"/>
      <c r="I743" s="2"/>
      <c r="J743" s="2"/>
      <c r="K743" s="2"/>
      <c r="L743" s="2"/>
      <c r="M743" s="2"/>
      <c r="N743" s="2"/>
      <c r="O743" s="2"/>
      <c r="P743" s="2"/>
      <c r="Q743" s="2"/>
      <c r="R743" s="9"/>
      <c r="S743" s="9"/>
      <c r="T743" s="9"/>
      <c r="U743" s="9"/>
      <c r="V743" s="9"/>
      <c r="W743" s="9"/>
      <c r="X743" s="9"/>
      <c r="Y743" s="9"/>
      <c r="Z743" s="9"/>
      <c r="AA743" s="9"/>
      <c r="AB743" s="9"/>
      <c r="AC743" s="9"/>
      <c r="AD743" s="9"/>
    </row>
    <row r="744" spans="1:30" ht="13.5" customHeight="1" x14ac:dyDescent="0.25">
      <c r="A744" s="2"/>
      <c r="B744" s="2"/>
      <c r="C744" s="2"/>
      <c r="D744" s="2"/>
      <c r="E744" s="2"/>
      <c r="F744" s="2"/>
      <c r="G744" s="2"/>
      <c r="H744" s="2"/>
      <c r="I744" s="2"/>
      <c r="J744" s="2"/>
      <c r="K744" s="2"/>
      <c r="L744" s="2"/>
      <c r="M744" s="2"/>
      <c r="N744" s="2"/>
      <c r="O744" s="2"/>
      <c r="P744" s="2"/>
      <c r="Q744" s="2"/>
      <c r="R744" s="9"/>
      <c r="S744" s="9"/>
      <c r="T744" s="9"/>
      <c r="U744" s="9"/>
      <c r="V744" s="9"/>
      <c r="W744" s="9"/>
      <c r="X744" s="9"/>
      <c r="Y744" s="9"/>
      <c r="Z744" s="9"/>
      <c r="AA744" s="9"/>
      <c r="AB744" s="9"/>
      <c r="AC744" s="9"/>
      <c r="AD744" s="9"/>
    </row>
    <row r="745" spans="1:30" ht="13.5" customHeight="1" x14ac:dyDescent="0.25">
      <c r="A745" s="2"/>
      <c r="B745" s="2"/>
      <c r="C745" s="2"/>
      <c r="D745" s="2"/>
      <c r="E745" s="2"/>
      <c r="F745" s="2"/>
      <c r="G745" s="2"/>
      <c r="H745" s="2"/>
      <c r="I745" s="2"/>
      <c r="J745" s="2"/>
      <c r="K745" s="2"/>
      <c r="L745" s="2"/>
      <c r="M745" s="2"/>
      <c r="N745" s="2"/>
      <c r="O745" s="2"/>
      <c r="P745" s="2"/>
      <c r="Q745" s="2"/>
      <c r="R745" s="9"/>
      <c r="S745" s="9"/>
      <c r="T745" s="9"/>
      <c r="U745" s="9"/>
      <c r="V745" s="9"/>
      <c r="W745" s="9"/>
      <c r="X745" s="9"/>
      <c r="Y745" s="9"/>
      <c r="Z745" s="9"/>
      <c r="AA745" s="9"/>
      <c r="AB745" s="9"/>
      <c r="AC745" s="9"/>
      <c r="AD745" s="9"/>
    </row>
    <row r="746" spans="1:30" ht="13.5" customHeight="1" x14ac:dyDescent="0.25">
      <c r="A746" s="2"/>
      <c r="B746" s="2"/>
      <c r="C746" s="2"/>
      <c r="D746" s="2"/>
      <c r="E746" s="2"/>
      <c r="F746" s="2"/>
      <c r="G746" s="2"/>
      <c r="H746" s="2"/>
      <c r="I746" s="2"/>
      <c r="J746" s="2"/>
      <c r="K746" s="2"/>
      <c r="L746" s="2"/>
      <c r="M746" s="2"/>
      <c r="N746" s="2"/>
      <c r="O746" s="2"/>
      <c r="P746" s="2"/>
      <c r="Q746" s="2"/>
      <c r="R746" s="9"/>
      <c r="S746" s="9"/>
      <c r="T746" s="9"/>
      <c r="U746" s="9"/>
      <c r="V746" s="9"/>
      <c r="W746" s="9"/>
      <c r="X746" s="9"/>
      <c r="Y746" s="9"/>
      <c r="Z746" s="9"/>
      <c r="AA746" s="9"/>
      <c r="AB746" s="9"/>
      <c r="AC746" s="9"/>
      <c r="AD746" s="9"/>
    </row>
    <row r="747" spans="1:30" ht="13.5" customHeight="1" x14ac:dyDescent="0.25">
      <c r="A747" s="2"/>
      <c r="B747" s="2"/>
      <c r="C747" s="2"/>
      <c r="D747" s="2"/>
      <c r="E747" s="2"/>
      <c r="F747" s="2"/>
      <c r="G747" s="2"/>
      <c r="H747" s="2"/>
      <c r="I747" s="2"/>
      <c r="J747" s="2"/>
      <c r="K747" s="2"/>
      <c r="L747" s="2"/>
      <c r="M747" s="2"/>
      <c r="N747" s="2"/>
      <c r="O747" s="2"/>
      <c r="P747" s="2"/>
      <c r="Q747" s="2"/>
      <c r="R747" s="9"/>
      <c r="S747" s="9"/>
      <c r="T747" s="9"/>
      <c r="U747" s="9"/>
      <c r="V747" s="9"/>
      <c r="W747" s="9"/>
      <c r="X747" s="9"/>
      <c r="Y747" s="9"/>
      <c r="Z747" s="9"/>
      <c r="AA747" s="9"/>
      <c r="AB747" s="9"/>
      <c r="AC747" s="9"/>
      <c r="AD747" s="9"/>
    </row>
    <row r="748" spans="1:30" ht="13.5" customHeight="1" x14ac:dyDescent="0.25">
      <c r="A748" s="2"/>
      <c r="B748" s="2"/>
      <c r="C748" s="2"/>
      <c r="D748" s="2"/>
      <c r="E748" s="2"/>
      <c r="F748" s="2"/>
      <c r="G748" s="2"/>
      <c r="H748" s="2"/>
      <c r="I748" s="2"/>
      <c r="J748" s="2"/>
      <c r="K748" s="2"/>
      <c r="L748" s="2"/>
      <c r="M748" s="2"/>
      <c r="N748" s="2"/>
      <c r="O748" s="2"/>
      <c r="P748" s="2"/>
      <c r="Q748" s="2"/>
      <c r="R748" s="9"/>
      <c r="S748" s="9"/>
      <c r="T748" s="9"/>
      <c r="U748" s="9"/>
      <c r="V748" s="9"/>
      <c r="W748" s="9"/>
      <c r="X748" s="9"/>
      <c r="Y748" s="9"/>
      <c r="Z748" s="9"/>
      <c r="AA748" s="9"/>
      <c r="AB748" s="9"/>
      <c r="AC748" s="9"/>
      <c r="AD748" s="9"/>
    </row>
    <row r="749" spans="1:30" ht="13.5" customHeight="1" x14ac:dyDescent="0.25">
      <c r="A749" s="2"/>
      <c r="B749" s="2"/>
      <c r="C749" s="2"/>
      <c r="D749" s="2"/>
      <c r="E749" s="2"/>
      <c r="F749" s="2"/>
      <c r="G749" s="2"/>
      <c r="H749" s="2"/>
      <c r="I749" s="2"/>
      <c r="J749" s="2"/>
      <c r="K749" s="2"/>
      <c r="L749" s="2"/>
      <c r="M749" s="2"/>
      <c r="N749" s="2"/>
      <c r="O749" s="2"/>
      <c r="P749" s="2"/>
      <c r="Q749" s="2"/>
      <c r="R749" s="9"/>
      <c r="S749" s="9"/>
      <c r="T749" s="9"/>
      <c r="U749" s="9"/>
      <c r="V749" s="9"/>
      <c r="W749" s="9"/>
      <c r="X749" s="9"/>
      <c r="Y749" s="9"/>
      <c r="Z749" s="9"/>
      <c r="AA749" s="9"/>
      <c r="AB749" s="9"/>
      <c r="AC749" s="9"/>
      <c r="AD749" s="9"/>
    </row>
    <row r="750" spans="1:30" ht="13.5" customHeight="1" x14ac:dyDescent="0.25">
      <c r="A750" s="2"/>
      <c r="B750" s="2"/>
      <c r="C750" s="2"/>
      <c r="D750" s="2"/>
      <c r="E750" s="2"/>
      <c r="F750" s="2"/>
      <c r="G750" s="2"/>
      <c r="H750" s="2"/>
      <c r="I750" s="2"/>
      <c r="J750" s="2"/>
      <c r="K750" s="2"/>
      <c r="L750" s="2"/>
      <c r="M750" s="2"/>
      <c r="N750" s="2"/>
      <c r="O750" s="2"/>
      <c r="P750" s="2"/>
      <c r="Q750" s="2"/>
      <c r="R750" s="9"/>
      <c r="S750" s="9"/>
      <c r="T750" s="9"/>
      <c r="U750" s="9"/>
      <c r="V750" s="9"/>
      <c r="W750" s="9"/>
      <c r="X750" s="9"/>
      <c r="Y750" s="9"/>
      <c r="Z750" s="9"/>
      <c r="AA750" s="9"/>
      <c r="AB750" s="9"/>
      <c r="AC750" s="9"/>
      <c r="AD750" s="9"/>
    </row>
    <row r="751" spans="1:30" ht="13.5" customHeight="1" x14ac:dyDescent="0.25">
      <c r="A751" s="2"/>
      <c r="B751" s="2"/>
      <c r="C751" s="2"/>
      <c r="D751" s="2"/>
      <c r="E751" s="2"/>
      <c r="F751" s="2"/>
      <c r="G751" s="2"/>
      <c r="H751" s="2"/>
      <c r="I751" s="2"/>
      <c r="J751" s="2"/>
      <c r="K751" s="2"/>
      <c r="L751" s="2"/>
      <c r="M751" s="2"/>
      <c r="N751" s="2"/>
      <c r="O751" s="2"/>
      <c r="P751" s="2"/>
      <c r="Q751" s="2"/>
      <c r="R751" s="9"/>
      <c r="S751" s="9"/>
      <c r="T751" s="9"/>
      <c r="U751" s="9"/>
      <c r="V751" s="9"/>
      <c r="W751" s="9"/>
      <c r="X751" s="9"/>
      <c r="Y751" s="9"/>
      <c r="Z751" s="9"/>
      <c r="AA751" s="9"/>
      <c r="AB751" s="9"/>
      <c r="AC751" s="9"/>
      <c r="AD751" s="9"/>
    </row>
    <row r="752" spans="1:30" ht="13.5" customHeight="1" x14ac:dyDescent="0.25">
      <c r="A752" s="2"/>
      <c r="B752" s="2"/>
      <c r="C752" s="2"/>
      <c r="D752" s="2"/>
      <c r="E752" s="2"/>
      <c r="F752" s="2"/>
      <c r="G752" s="2"/>
      <c r="H752" s="2"/>
      <c r="I752" s="2"/>
      <c r="J752" s="2"/>
      <c r="K752" s="2"/>
      <c r="L752" s="2"/>
      <c r="M752" s="2"/>
      <c r="N752" s="2"/>
      <c r="O752" s="2"/>
      <c r="P752" s="2"/>
      <c r="Q752" s="2"/>
      <c r="R752" s="9"/>
      <c r="S752" s="9"/>
      <c r="T752" s="9"/>
      <c r="U752" s="9"/>
      <c r="V752" s="9"/>
      <c r="W752" s="9"/>
      <c r="X752" s="9"/>
      <c r="Y752" s="9"/>
      <c r="Z752" s="9"/>
      <c r="AA752" s="9"/>
      <c r="AB752" s="9"/>
      <c r="AC752" s="9"/>
      <c r="AD752" s="9"/>
    </row>
    <row r="753" spans="1:30" ht="13.5" customHeight="1" x14ac:dyDescent="0.25">
      <c r="A753" s="2"/>
      <c r="B753" s="2"/>
      <c r="C753" s="2"/>
      <c r="D753" s="2"/>
      <c r="E753" s="2"/>
      <c r="F753" s="2"/>
      <c r="G753" s="2"/>
      <c r="H753" s="2"/>
      <c r="I753" s="2"/>
      <c r="J753" s="2"/>
      <c r="K753" s="2"/>
      <c r="L753" s="2"/>
      <c r="M753" s="2"/>
      <c r="N753" s="2"/>
      <c r="O753" s="2"/>
      <c r="P753" s="2"/>
      <c r="Q753" s="2"/>
      <c r="R753" s="9"/>
      <c r="S753" s="9"/>
      <c r="T753" s="9"/>
      <c r="U753" s="9"/>
      <c r="V753" s="9"/>
      <c r="W753" s="9"/>
      <c r="X753" s="9"/>
      <c r="Y753" s="9"/>
      <c r="Z753" s="9"/>
      <c r="AA753" s="9"/>
      <c r="AB753" s="9"/>
      <c r="AC753" s="9"/>
      <c r="AD753" s="9"/>
    </row>
    <row r="754" spans="1:30" ht="13.5" customHeight="1" x14ac:dyDescent="0.25">
      <c r="A754" s="2"/>
      <c r="B754" s="2"/>
      <c r="C754" s="2"/>
      <c r="D754" s="2"/>
      <c r="E754" s="2"/>
      <c r="F754" s="2"/>
      <c r="G754" s="2"/>
      <c r="H754" s="2"/>
      <c r="I754" s="2"/>
      <c r="J754" s="2"/>
      <c r="K754" s="2"/>
      <c r="L754" s="2"/>
      <c r="M754" s="2"/>
      <c r="N754" s="2"/>
      <c r="O754" s="2"/>
      <c r="P754" s="2"/>
      <c r="Q754" s="2"/>
      <c r="R754" s="9"/>
      <c r="S754" s="9"/>
      <c r="T754" s="9"/>
      <c r="U754" s="9"/>
      <c r="V754" s="9"/>
      <c r="W754" s="9"/>
      <c r="X754" s="9"/>
      <c r="Y754" s="9"/>
      <c r="Z754" s="9"/>
      <c r="AA754" s="9"/>
      <c r="AB754" s="9"/>
      <c r="AC754" s="9"/>
      <c r="AD754" s="9"/>
    </row>
    <row r="755" spans="1:30" ht="13.5" customHeight="1" x14ac:dyDescent="0.25">
      <c r="A755" s="2"/>
      <c r="B755" s="2"/>
      <c r="C755" s="2"/>
      <c r="D755" s="2"/>
      <c r="E755" s="2"/>
      <c r="F755" s="2"/>
      <c r="G755" s="2"/>
      <c r="H755" s="2"/>
      <c r="I755" s="2"/>
      <c r="J755" s="2"/>
      <c r="K755" s="2"/>
      <c r="L755" s="2"/>
      <c r="M755" s="2"/>
      <c r="N755" s="2"/>
      <c r="O755" s="2"/>
      <c r="P755" s="2"/>
      <c r="Q755" s="2"/>
      <c r="R755" s="9"/>
      <c r="S755" s="9"/>
      <c r="T755" s="9"/>
      <c r="U755" s="9"/>
      <c r="V755" s="9"/>
      <c r="W755" s="9"/>
      <c r="X755" s="9"/>
      <c r="Y755" s="9"/>
      <c r="Z755" s="9"/>
      <c r="AA755" s="9"/>
      <c r="AB755" s="9"/>
      <c r="AC755" s="9"/>
      <c r="AD755" s="9"/>
    </row>
    <row r="756" spans="1:30" ht="13.5" customHeight="1" x14ac:dyDescent="0.25">
      <c r="A756" s="2"/>
      <c r="B756" s="2"/>
      <c r="C756" s="2"/>
      <c r="D756" s="2"/>
      <c r="E756" s="2"/>
      <c r="F756" s="2"/>
      <c r="G756" s="2"/>
      <c r="H756" s="2"/>
      <c r="I756" s="2"/>
      <c r="J756" s="2"/>
      <c r="K756" s="2"/>
      <c r="L756" s="2"/>
      <c r="M756" s="2"/>
      <c r="N756" s="2"/>
      <c r="O756" s="2"/>
      <c r="P756" s="2"/>
      <c r="Q756" s="2"/>
      <c r="R756" s="9"/>
      <c r="S756" s="9"/>
      <c r="T756" s="9"/>
      <c r="U756" s="9"/>
      <c r="V756" s="9"/>
      <c r="W756" s="9"/>
      <c r="X756" s="9"/>
      <c r="Y756" s="9"/>
      <c r="Z756" s="9"/>
      <c r="AA756" s="9"/>
      <c r="AB756" s="9"/>
      <c r="AC756" s="9"/>
      <c r="AD756" s="9"/>
    </row>
    <row r="757" spans="1:30" ht="13.5" customHeight="1" x14ac:dyDescent="0.25">
      <c r="A757" s="2"/>
      <c r="B757" s="2"/>
      <c r="C757" s="2"/>
      <c r="D757" s="2"/>
      <c r="E757" s="2"/>
      <c r="F757" s="2"/>
      <c r="G757" s="2"/>
      <c r="H757" s="2"/>
      <c r="I757" s="2"/>
      <c r="J757" s="2"/>
      <c r="K757" s="2"/>
      <c r="L757" s="2"/>
      <c r="M757" s="2"/>
      <c r="N757" s="2"/>
      <c r="O757" s="2"/>
      <c r="P757" s="2"/>
      <c r="Q757" s="2"/>
      <c r="R757" s="9"/>
      <c r="S757" s="9"/>
      <c r="T757" s="9"/>
      <c r="U757" s="9"/>
      <c r="V757" s="9"/>
      <c r="W757" s="9"/>
      <c r="X757" s="9"/>
      <c r="Y757" s="9"/>
      <c r="Z757" s="9"/>
      <c r="AA757" s="9"/>
      <c r="AB757" s="9"/>
      <c r="AC757" s="9"/>
      <c r="AD757" s="9"/>
    </row>
    <row r="758" spans="1:30" ht="13.5" customHeight="1" x14ac:dyDescent="0.25">
      <c r="A758" s="2"/>
      <c r="B758" s="2"/>
      <c r="C758" s="2"/>
      <c r="D758" s="2"/>
      <c r="E758" s="2"/>
      <c r="F758" s="2"/>
      <c r="G758" s="2"/>
      <c r="H758" s="2"/>
      <c r="I758" s="2"/>
      <c r="J758" s="2"/>
      <c r="K758" s="2"/>
      <c r="L758" s="2"/>
      <c r="M758" s="2"/>
      <c r="N758" s="2"/>
      <c r="O758" s="2"/>
      <c r="P758" s="2"/>
      <c r="Q758" s="2"/>
      <c r="R758" s="9"/>
      <c r="S758" s="9"/>
      <c r="T758" s="9"/>
      <c r="U758" s="9"/>
      <c r="V758" s="9"/>
      <c r="W758" s="9"/>
      <c r="X758" s="9"/>
      <c r="Y758" s="9"/>
      <c r="Z758" s="9"/>
      <c r="AA758" s="9"/>
      <c r="AB758" s="9"/>
      <c r="AC758" s="9"/>
      <c r="AD758" s="9"/>
    </row>
    <row r="759" spans="1:30" ht="13.5" customHeight="1" x14ac:dyDescent="0.25">
      <c r="A759" s="2"/>
      <c r="B759" s="2"/>
      <c r="C759" s="2"/>
      <c r="D759" s="2"/>
      <c r="E759" s="2"/>
      <c r="F759" s="2"/>
      <c r="G759" s="2"/>
      <c r="H759" s="2"/>
      <c r="I759" s="2"/>
      <c r="J759" s="2"/>
      <c r="K759" s="2"/>
      <c r="L759" s="2"/>
      <c r="M759" s="2"/>
      <c r="N759" s="2"/>
      <c r="O759" s="2"/>
      <c r="P759" s="2"/>
      <c r="Q759" s="2"/>
      <c r="R759" s="9"/>
      <c r="S759" s="9"/>
      <c r="T759" s="9"/>
      <c r="U759" s="9"/>
      <c r="V759" s="9"/>
      <c r="W759" s="9"/>
      <c r="X759" s="9"/>
      <c r="Y759" s="9"/>
      <c r="Z759" s="9"/>
      <c r="AA759" s="9"/>
      <c r="AB759" s="9"/>
      <c r="AC759" s="9"/>
      <c r="AD759" s="9"/>
    </row>
    <row r="760" spans="1:30" ht="13.5" customHeight="1" x14ac:dyDescent="0.25">
      <c r="A760" s="2"/>
      <c r="B760" s="2"/>
      <c r="C760" s="2"/>
      <c r="D760" s="2"/>
      <c r="E760" s="2"/>
      <c r="F760" s="2"/>
      <c r="G760" s="2"/>
      <c r="H760" s="2"/>
      <c r="I760" s="2"/>
      <c r="J760" s="2"/>
      <c r="K760" s="2"/>
      <c r="L760" s="2"/>
      <c r="M760" s="2"/>
      <c r="N760" s="2"/>
      <c r="O760" s="2"/>
      <c r="P760" s="2"/>
      <c r="Q760" s="2"/>
      <c r="R760" s="9"/>
      <c r="S760" s="9"/>
      <c r="T760" s="9"/>
      <c r="U760" s="9"/>
      <c r="V760" s="9"/>
      <c r="W760" s="9"/>
      <c r="X760" s="9"/>
      <c r="Y760" s="9"/>
      <c r="Z760" s="9"/>
      <c r="AA760" s="9"/>
      <c r="AB760" s="9"/>
      <c r="AC760" s="9"/>
      <c r="AD760" s="9"/>
    </row>
    <row r="761" spans="1:30" ht="13.5" customHeight="1" x14ac:dyDescent="0.25">
      <c r="A761" s="2"/>
      <c r="B761" s="2"/>
      <c r="C761" s="2"/>
      <c r="D761" s="2"/>
      <c r="E761" s="2"/>
      <c r="F761" s="2"/>
      <c r="G761" s="2"/>
      <c r="H761" s="2"/>
      <c r="I761" s="2"/>
      <c r="J761" s="2"/>
      <c r="K761" s="2"/>
      <c r="L761" s="2"/>
      <c r="M761" s="2"/>
      <c r="N761" s="2"/>
      <c r="O761" s="2"/>
      <c r="P761" s="2"/>
      <c r="Q761" s="2"/>
      <c r="R761" s="9"/>
      <c r="S761" s="9"/>
      <c r="T761" s="9"/>
      <c r="U761" s="9"/>
      <c r="V761" s="9"/>
      <c r="W761" s="9"/>
      <c r="X761" s="9"/>
      <c r="Y761" s="9"/>
      <c r="Z761" s="9"/>
      <c r="AA761" s="9"/>
      <c r="AB761" s="9"/>
      <c r="AC761" s="9"/>
      <c r="AD761" s="9"/>
    </row>
    <row r="762" spans="1:30" ht="13.5" customHeight="1" x14ac:dyDescent="0.25">
      <c r="A762" s="2"/>
      <c r="B762" s="2"/>
      <c r="C762" s="2"/>
      <c r="D762" s="2"/>
      <c r="E762" s="2"/>
      <c r="F762" s="2"/>
      <c r="G762" s="2"/>
      <c r="H762" s="2"/>
      <c r="I762" s="2"/>
      <c r="J762" s="2"/>
      <c r="K762" s="2"/>
      <c r="L762" s="2"/>
      <c r="M762" s="2"/>
      <c r="N762" s="2"/>
      <c r="O762" s="2"/>
      <c r="P762" s="2"/>
      <c r="Q762" s="2"/>
      <c r="R762" s="9"/>
      <c r="S762" s="9"/>
      <c r="T762" s="9"/>
      <c r="U762" s="9"/>
      <c r="V762" s="9"/>
      <c r="W762" s="9"/>
      <c r="X762" s="9"/>
      <c r="Y762" s="9"/>
      <c r="Z762" s="9"/>
      <c r="AA762" s="9"/>
      <c r="AB762" s="9"/>
      <c r="AC762" s="9"/>
      <c r="AD762" s="9"/>
    </row>
    <row r="763" spans="1:30" ht="13.5" customHeight="1" x14ac:dyDescent="0.25">
      <c r="A763" s="2"/>
      <c r="B763" s="2"/>
      <c r="C763" s="2"/>
      <c r="D763" s="2"/>
      <c r="E763" s="2"/>
      <c r="F763" s="2"/>
      <c r="G763" s="2"/>
      <c r="H763" s="2"/>
      <c r="I763" s="2"/>
      <c r="J763" s="2"/>
      <c r="K763" s="2"/>
      <c r="L763" s="2"/>
      <c r="M763" s="2"/>
      <c r="N763" s="2"/>
      <c r="O763" s="2"/>
      <c r="P763" s="2"/>
      <c r="Q763" s="2"/>
      <c r="R763" s="9"/>
      <c r="S763" s="9"/>
      <c r="T763" s="9"/>
      <c r="U763" s="9"/>
      <c r="V763" s="9"/>
      <c r="W763" s="9"/>
      <c r="X763" s="9"/>
      <c r="Y763" s="9"/>
      <c r="Z763" s="9"/>
      <c r="AA763" s="9"/>
      <c r="AB763" s="9"/>
      <c r="AC763" s="9"/>
      <c r="AD763" s="9"/>
    </row>
    <row r="764" spans="1:30" ht="13.5" customHeight="1" x14ac:dyDescent="0.25">
      <c r="A764" s="2"/>
      <c r="B764" s="2"/>
      <c r="C764" s="2"/>
      <c r="D764" s="2"/>
      <c r="E764" s="2"/>
      <c r="F764" s="2"/>
      <c r="G764" s="2"/>
      <c r="H764" s="2"/>
      <c r="I764" s="2"/>
      <c r="J764" s="2"/>
      <c r="K764" s="2"/>
      <c r="L764" s="2"/>
      <c r="M764" s="2"/>
      <c r="N764" s="2"/>
      <c r="O764" s="2"/>
      <c r="P764" s="2"/>
      <c r="Q764" s="2"/>
      <c r="R764" s="9"/>
      <c r="S764" s="9"/>
      <c r="T764" s="9"/>
      <c r="U764" s="9"/>
      <c r="V764" s="9"/>
      <c r="W764" s="9"/>
      <c r="X764" s="9"/>
      <c r="Y764" s="9"/>
      <c r="Z764" s="9"/>
      <c r="AA764" s="9"/>
      <c r="AB764" s="9"/>
      <c r="AC764" s="9"/>
      <c r="AD764" s="9"/>
    </row>
    <row r="765" spans="1:30" ht="13.5" customHeight="1" x14ac:dyDescent="0.25">
      <c r="A765" s="2"/>
      <c r="B765" s="2"/>
      <c r="C765" s="2"/>
      <c r="D765" s="2"/>
      <c r="E765" s="2"/>
      <c r="F765" s="2"/>
      <c r="G765" s="2"/>
      <c r="H765" s="2"/>
      <c r="I765" s="2"/>
      <c r="J765" s="2"/>
      <c r="K765" s="2"/>
      <c r="L765" s="2"/>
      <c r="M765" s="2"/>
      <c r="N765" s="2"/>
      <c r="O765" s="2"/>
      <c r="P765" s="2"/>
      <c r="Q765" s="2"/>
      <c r="R765" s="9"/>
      <c r="S765" s="9"/>
      <c r="T765" s="9"/>
      <c r="U765" s="9"/>
      <c r="V765" s="9"/>
      <c r="W765" s="9"/>
      <c r="X765" s="9"/>
      <c r="Y765" s="9"/>
      <c r="Z765" s="9"/>
      <c r="AA765" s="9"/>
      <c r="AB765" s="9"/>
      <c r="AC765" s="9"/>
      <c r="AD765" s="9"/>
    </row>
    <row r="766" spans="1:30" ht="13.5" customHeight="1" x14ac:dyDescent="0.25">
      <c r="A766" s="2"/>
      <c r="B766" s="2"/>
      <c r="C766" s="2"/>
      <c r="D766" s="2"/>
      <c r="E766" s="2"/>
      <c r="F766" s="2"/>
      <c r="G766" s="2"/>
      <c r="H766" s="2"/>
      <c r="I766" s="2"/>
      <c r="J766" s="2"/>
      <c r="K766" s="2"/>
      <c r="L766" s="2"/>
      <c r="M766" s="2"/>
      <c r="N766" s="2"/>
      <c r="O766" s="2"/>
      <c r="P766" s="2"/>
      <c r="Q766" s="2"/>
      <c r="R766" s="9"/>
      <c r="S766" s="9"/>
      <c r="T766" s="9"/>
      <c r="U766" s="9"/>
      <c r="V766" s="9"/>
      <c r="W766" s="9"/>
      <c r="X766" s="9"/>
      <c r="Y766" s="9"/>
      <c r="Z766" s="9"/>
      <c r="AA766" s="9"/>
      <c r="AB766" s="9"/>
      <c r="AC766" s="9"/>
      <c r="AD766" s="9"/>
    </row>
    <row r="767" spans="1:30" ht="13.5" customHeight="1" x14ac:dyDescent="0.25">
      <c r="A767" s="2"/>
      <c r="B767" s="2"/>
      <c r="C767" s="2"/>
      <c r="D767" s="2"/>
      <c r="E767" s="2"/>
      <c r="F767" s="2"/>
      <c r="G767" s="2"/>
      <c r="H767" s="2"/>
      <c r="I767" s="2"/>
      <c r="J767" s="2"/>
      <c r="K767" s="2"/>
      <c r="L767" s="2"/>
      <c r="M767" s="2"/>
      <c r="N767" s="2"/>
      <c r="O767" s="2"/>
      <c r="P767" s="2"/>
      <c r="Q767" s="2"/>
      <c r="R767" s="9"/>
      <c r="S767" s="9"/>
      <c r="T767" s="9"/>
      <c r="U767" s="9"/>
      <c r="V767" s="9"/>
      <c r="W767" s="9"/>
      <c r="X767" s="9"/>
      <c r="Y767" s="9"/>
      <c r="Z767" s="9"/>
      <c r="AA767" s="9"/>
      <c r="AB767" s="9"/>
      <c r="AC767" s="9"/>
      <c r="AD767" s="9"/>
    </row>
    <row r="768" spans="1:30" ht="13.5" customHeight="1" x14ac:dyDescent="0.25">
      <c r="A768" s="2"/>
      <c r="B768" s="2"/>
      <c r="C768" s="2"/>
      <c r="D768" s="2"/>
      <c r="E768" s="2"/>
      <c r="F768" s="2"/>
      <c r="G768" s="2"/>
      <c r="H768" s="2"/>
      <c r="I768" s="2"/>
      <c r="J768" s="2"/>
      <c r="K768" s="2"/>
      <c r="L768" s="2"/>
      <c r="M768" s="2"/>
      <c r="N768" s="2"/>
      <c r="O768" s="2"/>
      <c r="P768" s="2"/>
      <c r="Q768" s="2"/>
      <c r="R768" s="9"/>
      <c r="S768" s="9"/>
      <c r="T768" s="9"/>
      <c r="U768" s="9"/>
      <c r="V768" s="9"/>
      <c r="W768" s="9"/>
      <c r="X768" s="9"/>
      <c r="Y768" s="9"/>
      <c r="Z768" s="9"/>
      <c r="AA768" s="9"/>
      <c r="AB768" s="9"/>
      <c r="AC768" s="9"/>
      <c r="AD768" s="9"/>
    </row>
    <row r="769" spans="1:30" ht="13.5" customHeight="1" x14ac:dyDescent="0.25">
      <c r="A769" s="2"/>
      <c r="B769" s="2"/>
      <c r="C769" s="2"/>
      <c r="D769" s="2"/>
      <c r="E769" s="2"/>
      <c r="F769" s="2"/>
      <c r="G769" s="2"/>
      <c r="H769" s="2"/>
      <c r="I769" s="2"/>
      <c r="J769" s="2"/>
      <c r="K769" s="2"/>
      <c r="L769" s="2"/>
      <c r="M769" s="2"/>
      <c r="N769" s="2"/>
      <c r="O769" s="2"/>
      <c r="P769" s="2"/>
      <c r="Q769" s="2"/>
      <c r="R769" s="9"/>
      <c r="S769" s="9"/>
      <c r="T769" s="9"/>
      <c r="U769" s="9"/>
      <c r="V769" s="9"/>
      <c r="W769" s="9"/>
      <c r="X769" s="9"/>
      <c r="Y769" s="9"/>
      <c r="Z769" s="9"/>
      <c r="AA769" s="9"/>
      <c r="AB769" s="9"/>
      <c r="AC769" s="9"/>
      <c r="AD769" s="9"/>
    </row>
    <row r="770" spans="1:30" ht="13.5" customHeight="1" x14ac:dyDescent="0.25">
      <c r="A770" s="2"/>
      <c r="B770" s="2"/>
      <c r="C770" s="2"/>
      <c r="D770" s="2"/>
      <c r="E770" s="2"/>
      <c r="F770" s="2"/>
      <c r="G770" s="2"/>
      <c r="H770" s="2"/>
      <c r="I770" s="2"/>
      <c r="J770" s="2"/>
      <c r="K770" s="2"/>
      <c r="L770" s="2"/>
      <c r="M770" s="2"/>
      <c r="N770" s="2"/>
      <c r="O770" s="2"/>
      <c r="P770" s="2"/>
      <c r="Q770" s="2"/>
      <c r="R770" s="9"/>
      <c r="S770" s="9"/>
      <c r="T770" s="9"/>
      <c r="U770" s="9"/>
      <c r="V770" s="9"/>
      <c r="W770" s="9"/>
      <c r="X770" s="9"/>
      <c r="Y770" s="9"/>
      <c r="Z770" s="9"/>
      <c r="AA770" s="9"/>
      <c r="AB770" s="9"/>
      <c r="AC770" s="9"/>
      <c r="AD770" s="9"/>
    </row>
    <row r="771" spans="1:30" ht="13.5" customHeight="1" x14ac:dyDescent="0.25">
      <c r="A771" s="2"/>
      <c r="B771" s="2"/>
      <c r="C771" s="2"/>
      <c r="D771" s="2"/>
      <c r="E771" s="2"/>
      <c r="F771" s="2"/>
      <c r="G771" s="2"/>
      <c r="H771" s="2"/>
      <c r="I771" s="2"/>
      <c r="J771" s="2"/>
      <c r="K771" s="2"/>
      <c r="L771" s="2"/>
      <c r="M771" s="2"/>
      <c r="N771" s="2"/>
      <c r="O771" s="2"/>
      <c r="P771" s="2"/>
      <c r="Q771" s="2"/>
      <c r="R771" s="9"/>
      <c r="S771" s="9"/>
      <c r="T771" s="9"/>
      <c r="U771" s="9"/>
      <c r="V771" s="9"/>
      <c r="W771" s="9"/>
      <c r="X771" s="9"/>
      <c r="Y771" s="9"/>
      <c r="Z771" s="9"/>
      <c r="AA771" s="9"/>
      <c r="AB771" s="9"/>
      <c r="AC771" s="9"/>
      <c r="AD771" s="9"/>
    </row>
    <row r="772" spans="1:30" ht="13.5" customHeight="1" x14ac:dyDescent="0.25">
      <c r="A772" s="2"/>
      <c r="B772" s="2"/>
      <c r="C772" s="2"/>
      <c r="D772" s="2"/>
      <c r="E772" s="2"/>
      <c r="F772" s="2"/>
      <c r="G772" s="2"/>
      <c r="H772" s="2"/>
      <c r="I772" s="2"/>
      <c r="J772" s="2"/>
      <c r="K772" s="2"/>
      <c r="L772" s="2"/>
      <c r="M772" s="2"/>
      <c r="N772" s="2"/>
      <c r="O772" s="2"/>
      <c r="P772" s="2"/>
      <c r="Q772" s="2"/>
      <c r="R772" s="9"/>
      <c r="S772" s="9"/>
      <c r="T772" s="9"/>
      <c r="U772" s="9"/>
      <c r="V772" s="9"/>
      <c r="W772" s="9"/>
      <c r="X772" s="9"/>
      <c r="Y772" s="9"/>
      <c r="Z772" s="9"/>
      <c r="AA772" s="9"/>
      <c r="AB772" s="9"/>
      <c r="AC772" s="9"/>
      <c r="AD772" s="9"/>
    </row>
    <row r="773" spans="1:30" ht="13.5" customHeight="1" x14ac:dyDescent="0.25">
      <c r="A773" s="2"/>
      <c r="B773" s="2"/>
      <c r="C773" s="2"/>
      <c r="D773" s="2"/>
      <c r="E773" s="2"/>
      <c r="F773" s="2"/>
      <c r="G773" s="2"/>
      <c r="H773" s="2"/>
      <c r="I773" s="2"/>
      <c r="J773" s="2"/>
      <c r="K773" s="2"/>
      <c r="L773" s="2"/>
      <c r="M773" s="2"/>
      <c r="N773" s="2"/>
      <c r="O773" s="2"/>
      <c r="P773" s="2"/>
      <c r="Q773" s="2"/>
      <c r="R773" s="9"/>
      <c r="S773" s="9"/>
      <c r="T773" s="9"/>
      <c r="U773" s="9"/>
      <c r="V773" s="9"/>
      <c r="W773" s="9"/>
      <c r="X773" s="9"/>
      <c r="Y773" s="9"/>
      <c r="Z773" s="9"/>
      <c r="AA773" s="9"/>
      <c r="AB773" s="9"/>
      <c r="AC773" s="9"/>
      <c r="AD773" s="9"/>
    </row>
    <row r="774" spans="1:30" ht="13.5" customHeight="1" x14ac:dyDescent="0.25">
      <c r="A774" s="2"/>
      <c r="B774" s="2"/>
      <c r="C774" s="2"/>
      <c r="D774" s="2"/>
      <c r="E774" s="2"/>
      <c r="F774" s="2"/>
      <c r="G774" s="2"/>
      <c r="H774" s="2"/>
      <c r="I774" s="2"/>
      <c r="J774" s="2"/>
      <c r="K774" s="2"/>
      <c r="L774" s="2"/>
      <c r="M774" s="2"/>
      <c r="N774" s="2"/>
      <c r="O774" s="2"/>
      <c r="P774" s="2"/>
      <c r="Q774" s="2"/>
      <c r="R774" s="9"/>
      <c r="S774" s="9"/>
      <c r="T774" s="9"/>
      <c r="U774" s="9"/>
      <c r="V774" s="9"/>
      <c r="W774" s="9"/>
      <c r="X774" s="9"/>
      <c r="Y774" s="9"/>
      <c r="Z774" s="9"/>
      <c r="AA774" s="9"/>
      <c r="AB774" s="9"/>
      <c r="AC774" s="9"/>
      <c r="AD774" s="9"/>
    </row>
    <row r="775" spans="1:30" ht="13.5" customHeight="1" x14ac:dyDescent="0.25">
      <c r="A775" s="2"/>
      <c r="B775" s="2"/>
      <c r="C775" s="2"/>
      <c r="D775" s="2"/>
      <c r="E775" s="2"/>
      <c r="F775" s="2"/>
      <c r="G775" s="2"/>
      <c r="H775" s="2"/>
      <c r="I775" s="2"/>
      <c r="J775" s="2"/>
      <c r="K775" s="2"/>
      <c r="L775" s="2"/>
      <c r="M775" s="2"/>
      <c r="N775" s="2"/>
      <c r="O775" s="2"/>
      <c r="P775" s="2"/>
      <c r="Q775" s="2"/>
      <c r="R775" s="9"/>
      <c r="S775" s="9"/>
      <c r="T775" s="9"/>
      <c r="U775" s="9"/>
      <c r="V775" s="9"/>
      <c r="W775" s="9"/>
      <c r="X775" s="9"/>
      <c r="Y775" s="9"/>
      <c r="Z775" s="9"/>
      <c r="AA775" s="9"/>
      <c r="AB775" s="9"/>
      <c r="AC775" s="9"/>
      <c r="AD775" s="9"/>
    </row>
    <row r="776" spans="1:30" ht="13.5" customHeight="1" x14ac:dyDescent="0.25">
      <c r="A776" s="2"/>
      <c r="B776" s="2"/>
      <c r="C776" s="2"/>
      <c r="D776" s="2"/>
      <c r="E776" s="2"/>
      <c r="F776" s="2"/>
      <c r="G776" s="2"/>
      <c r="H776" s="2"/>
      <c r="I776" s="2"/>
      <c r="J776" s="2"/>
      <c r="K776" s="2"/>
      <c r="L776" s="2"/>
      <c r="M776" s="2"/>
      <c r="N776" s="2"/>
      <c r="O776" s="2"/>
      <c r="P776" s="2"/>
      <c r="Q776" s="2"/>
      <c r="R776" s="9"/>
      <c r="S776" s="9"/>
      <c r="T776" s="9"/>
      <c r="U776" s="9"/>
      <c r="V776" s="9"/>
      <c r="W776" s="9"/>
      <c r="X776" s="9"/>
      <c r="Y776" s="9"/>
      <c r="Z776" s="9"/>
      <c r="AA776" s="9"/>
      <c r="AB776" s="9"/>
      <c r="AC776" s="9"/>
      <c r="AD776" s="9"/>
    </row>
    <row r="777" spans="1:30" ht="13.5" customHeight="1" x14ac:dyDescent="0.25">
      <c r="A777" s="2"/>
      <c r="B777" s="2"/>
      <c r="C777" s="2"/>
      <c r="D777" s="2"/>
      <c r="E777" s="2"/>
      <c r="F777" s="2"/>
      <c r="G777" s="2"/>
      <c r="H777" s="2"/>
      <c r="I777" s="2"/>
      <c r="J777" s="2"/>
      <c r="K777" s="2"/>
      <c r="L777" s="2"/>
      <c r="M777" s="2"/>
      <c r="N777" s="2"/>
      <c r="O777" s="2"/>
      <c r="P777" s="2"/>
      <c r="Q777" s="2"/>
      <c r="R777" s="9"/>
      <c r="S777" s="9"/>
      <c r="T777" s="9"/>
      <c r="U777" s="9"/>
      <c r="V777" s="9"/>
      <c r="W777" s="9"/>
      <c r="X777" s="9"/>
      <c r="Y777" s="9"/>
      <c r="Z777" s="9"/>
      <c r="AA777" s="9"/>
      <c r="AB777" s="9"/>
      <c r="AC777" s="9"/>
      <c r="AD777" s="9"/>
    </row>
    <row r="778" spans="1:30" ht="13.5" customHeight="1" x14ac:dyDescent="0.25">
      <c r="A778" s="2"/>
      <c r="B778" s="2"/>
      <c r="C778" s="2"/>
      <c r="D778" s="2"/>
      <c r="E778" s="2"/>
      <c r="F778" s="2"/>
      <c r="G778" s="2"/>
      <c r="H778" s="2"/>
      <c r="I778" s="2"/>
      <c r="J778" s="2"/>
      <c r="K778" s="2"/>
      <c r="L778" s="2"/>
      <c r="M778" s="2"/>
      <c r="N778" s="2"/>
      <c r="O778" s="2"/>
      <c r="P778" s="2"/>
      <c r="Q778" s="2"/>
      <c r="R778" s="9"/>
      <c r="S778" s="9"/>
      <c r="T778" s="9"/>
      <c r="U778" s="9"/>
      <c r="V778" s="9"/>
      <c r="W778" s="9"/>
      <c r="X778" s="9"/>
      <c r="Y778" s="9"/>
      <c r="Z778" s="9"/>
      <c r="AA778" s="9"/>
      <c r="AB778" s="9"/>
      <c r="AC778" s="9"/>
      <c r="AD778" s="9"/>
    </row>
    <row r="779" spans="1:30" ht="13.5" customHeight="1" x14ac:dyDescent="0.25">
      <c r="A779" s="2"/>
      <c r="B779" s="2"/>
      <c r="C779" s="2"/>
      <c r="D779" s="2"/>
      <c r="E779" s="2"/>
      <c r="F779" s="2"/>
      <c r="G779" s="2"/>
      <c r="H779" s="2"/>
      <c r="I779" s="2"/>
      <c r="J779" s="2"/>
      <c r="K779" s="2"/>
      <c r="L779" s="2"/>
      <c r="M779" s="2"/>
      <c r="N779" s="2"/>
      <c r="O779" s="2"/>
      <c r="P779" s="2"/>
      <c r="Q779" s="2"/>
      <c r="R779" s="9"/>
      <c r="S779" s="9"/>
      <c r="T779" s="9"/>
      <c r="U779" s="9"/>
      <c r="V779" s="9"/>
      <c r="W779" s="9"/>
      <c r="X779" s="9"/>
      <c r="Y779" s="9"/>
      <c r="Z779" s="9"/>
      <c r="AA779" s="9"/>
      <c r="AB779" s="9"/>
      <c r="AC779" s="9"/>
      <c r="AD779" s="9"/>
    </row>
    <row r="780" spans="1:30" ht="13.5" customHeight="1" x14ac:dyDescent="0.25">
      <c r="A780" s="2"/>
      <c r="B780" s="2"/>
      <c r="C780" s="2"/>
      <c r="D780" s="2"/>
      <c r="E780" s="2"/>
      <c r="F780" s="2"/>
      <c r="G780" s="2"/>
      <c r="H780" s="2"/>
      <c r="I780" s="2"/>
      <c r="J780" s="2"/>
      <c r="K780" s="2"/>
      <c r="L780" s="2"/>
      <c r="M780" s="2"/>
      <c r="N780" s="2"/>
      <c r="O780" s="2"/>
      <c r="P780" s="2"/>
      <c r="Q780" s="2"/>
      <c r="R780" s="9"/>
      <c r="S780" s="9"/>
      <c r="T780" s="9"/>
      <c r="U780" s="9"/>
      <c r="V780" s="9"/>
      <c r="W780" s="9"/>
      <c r="X780" s="9"/>
      <c r="Y780" s="9"/>
      <c r="Z780" s="9"/>
      <c r="AA780" s="9"/>
      <c r="AB780" s="9"/>
      <c r="AC780" s="9"/>
      <c r="AD780" s="9"/>
    </row>
    <row r="781" spans="1:30" ht="13.5" customHeight="1" x14ac:dyDescent="0.25">
      <c r="A781" s="2"/>
      <c r="B781" s="2"/>
      <c r="C781" s="2"/>
      <c r="D781" s="2"/>
      <c r="E781" s="2"/>
      <c r="F781" s="2"/>
      <c r="G781" s="2"/>
      <c r="H781" s="2"/>
      <c r="I781" s="2"/>
      <c r="J781" s="2"/>
      <c r="K781" s="2"/>
      <c r="L781" s="2"/>
      <c r="M781" s="2"/>
      <c r="N781" s="2"/>
      <c r="O781" s="2"/>
      <c r="P781" s="2"/>
      <c r="Q781" s="2"/>
      <c r="R781" s="9"/>
      <c r="S781" s="9"/>
      <c r="T781" s="9"/>
      <c r="U781" s="9"/>
      <c r="V781" s="9"/>
      <c r="W781" s="9"/>
      <c r="X781" s="9"/>
      <c r="Y781" s="9"/>
      <c r="Z781" s="9"/>
      <c r="AA781" s="9"/>
      <c r="AB781" s="9"/>
      <c r="AC781" s="9"/>
      <c r="AD781" s="9"/>
    </row>
    <row r="782" spans="1:30" ht="13.5" customHeight="1" x14ac:dyDescent="0.25">
      <c r="A782" s="2"/>
      <c r="B782" s="2"/>
      <c r="C782" s="2"/>
      <c r="D782" s="2"/>
      <c r="E782" s="2"/>
      <c r="F782" s="2"/>
      <c r="G782" s="2"/>
      <c r="H782" s="2"/>
      <c r="I782" s="2"/>
      <c r="J782" s="2"/>
      <c r="K782" s="2"/>
      <c r="L782" s="2"/>
      <c r="M782" s="2"/>
      <c r="N782" s="2"/>
      <c r="O782" s="2"/>
      <c r="P782" s="2"/>
      <c r="Q782" s="2"/>
      <c r="R782" s="9"/>
      <c r="S782" s="9"/>
      <c r="T782" s="9"/>
      <c r="U782" s="9"/>
      <c r="V782" s="9"/>
      <c r="W782" s="9"/>
      <c r="X782" s="9"/>
      <c r="Y782" s="9"/>
      <c r="Z782" s="9"/>
      <c r="AA782" s="9"/>
      <c r="AB782" s="9"/>
      <c r="AC782" s="9"/>
      <c r="AD782" s="9"/>
    </row>
    <row r="783" spans="1:30" ht="13.5" customHeight="1" x14ac:dyDescent="0.25">
      <c r="A783" s="2"/>
      <c r="B783" s="2"/>
      <c r="C783" s="2"/>
      <c r="D783" s="2"/>
      <c r="E783" s="2"/>
      <c r="F783" s="2"/>
      <c r="G783" s="2"/>
      <c r="H783" s="2"/>
      <c r="I783" s="2"/>
      <c r="J783" s="2"/>
      <c r="K783" s="2"/>
      <c r="L783" s="2"/>
      <c r="M783" s="2"/>
      <c r="N783" s="2"/>
      <c r="O783" s="2"/>
      <c r="P783" s="2"/>
      <c r="Q783" s="2"/>
      <c r="R783" s="9"/>
      <c r="S783" s="9"/>
      <c r="T783" s="9"/>
      <c r="U783" s="9"/>
      <c r="V783" s="9"/>
      <c r="W783" s="9"/>
      <c r="X783" s="9"/>
      <c r="Y783" s="9"/>
      <c r="Z783" s="9"/>
      <c r="AA783" s="9"/>
      <c r="AB783" s="9"/>
      <c r="AC783" s="9"/>
      <c r="AD783" s="9"/>
    </row>
    <row r="784" spans="1:30" ht="13.5" customHeight="1" x14ac:dyDescent="0.25">
      <c r="A784" s="2"/>
      <c r="B784" s="2"/>
      <c r="C784" s="2"/>
      <c r="D784" s="2"/>
      <c r="E784" s="2"/>
      <c r="F784" s="2"/>
      <c r="G784" s="2"/>
      <c r="H784" s="2"/>
      <c r="I784" s="2"/>
      <c r="J784" s="2"/>
      <c r="K784" s="2"/>
      <c r="L784" s="2"/>
      <c r="M784" s="2"/>
      <c r="N784" s="2"/>
      <c r="O784" s="2"/>
      <c r="P784" s="2"/>
      <c r="Q784" s="2"/>
      <c r="R784" s="9"/>
      <c r="S784" s="9"/>
      <c r="T784" s="9"/>
      <c r="U784" s="9"/>
      <c r="V784" s="9"/>
      <c r="W784" s="9"/>
      <c r="X784" s="9"/>
      <c r="Y784" s="9"/>
      <c r="Z784" s="9"/>
      <c r="AA784" s="9"/>
      <c r="AB784" s="9"/>
      <c r="AC784" s="9"/>
      <c r="AD784" s="9"/>
    </row>
    <row r="785" spans="1:30" ht="13.5" customHeight="1" x14ac:dyDescent="0.25">
      <c r="A785" s="2"/>
      <c r="B785" s="2"/>
      <c r="C785" s="2"/>
      <c r="D785" s="2"/>
      <c r="E785" s="2"/>
      <c r="F785" s="2"/>
      <c r="G785" s="2"/>
      <c r="H785" s="2"/>
      <c r="I785" s="2"/>
      <c r="J785" s="2"/>
      <c r="K785" s="2"/>
      <c r="L785" s="2"/>
      <c r="M785" s="2"/>
      <c r="N785" s="2"/>
      <c r="O785" s="2"/>
      <c r="P785" s="2"/>
      <c r="Q785" s="2"/>
      <c r="R785" s="9"/>
      <c r="S785" s="9"/>
      <c r="T785" s="9"/>
      <c r="U785" s="9"/>
      <c r="V785" s="9"/>
      <c r="W785" s="9"/>
      <c r="X785" s="9"/>
      <c r="Y785" s="9"/>
      <c r="Z785" s="9"/>
      <c r="AA785" s="9"/>
      <c r="AB785" s="9"/>
      <c r="AC785" s="9"/>
      <c r="AD785" s="9"/>
    </row>
    <row r="786" spans="1:30" ht="13.5" customHeight="1" x14ac:dyDescent="0.25">
      <c r="A786" s="2"/>
      <c r="B786" s="2"/>
      <c r="C786" s="2"/>
      <c r="D786" s="2"/>
      <c r="E786" s="2"/>
      <c r="F786" s="2"/>
      <c r="G786" s="2"/>
      <c r="H786" s="2"/>
      <c r="I786" s="2"/>
      <c r="J786" s="2"/>
      <c r="K786" s="2"/>
      <c r="L786" s="2"/>
      <c r="M786" s="2"/>
      <c r="N786" s="2"/>
      <c r="O786" s="2"/>
      <c r="P786" s="2"/>
      <c r="Q786" s="2"/>
      <c r="R786" s="9"/>
      <c r="S786" s="9"/>
      <c r="T786" s="9"/>
      <c r="U786" s="9"/>
      <c r="V786" s="9"/>
      <c r="W786" s="9"/>
      <c r="X786" s="9"/>
      <c r="Y786" s="9"/>
      <c r="Z786" s="9"/>
      <c r="AA786" s="9"/>
      <c r="AB786" s="9"/>
      <c r="AC786" s="9"/>
      <c r="AD786" s="9"/>
    </row>
    <row r="787" spans="1:30" ht="13.5" customHeight="1" x14ac:dyDescent="0.25">
      <c r="A787" s="2"/>
      <c r="B787" s="2"/>
      <c r="C787" s="2"/>
      <c r="D787" s="2"/>
      <c r="E787" s="2"/>
      <c r="F787" s="2"/>
      <c r="G787" s="2"/>
      <c r="H787" s="2"/>
      <c r="I787" s="2"/>
      <c r="J787" s="2"/>
      <c r="K787" s="2"/>
      <c r="L787" s="2"/>
      <c r="M787" s="2"/>
      <c r="N787" s="2"/>
      <c r="O787" s="2"/>
      <c r="P787" s="2"/>
      <c r="Q787" s="2"/>
      <c r="R787" s="9"/>
      <c r="S787" s="9"/>
      <c r="T787" s="9"/>
      <c r="U787" s="9"/>
      <c r="V787" s="9"/>
      <c r="W787" s="9"/>
      <c r="X787" s="9"/>
      <c r="Y787" s="9"/>
      <c r="Z787" s="9"/>
      <c r="AA787" s="9"/>
      <c r="AB787" s="9"/>
      <c r="AC787" s="9"/>
      <c r="AD787" s="9"/>
    </row>
    <row r="788" spans="1:30" ht="13.5" customHeight="1" x14ac:dyDescent="0.25">
      <c r="A788" s="2"/>
      <c r="B788" s="2"/>
      <c r="C788" s="2"/>
      <c r="D788" s="2"/>
      <c r="E788" s="2"/>
      <c r="F788" s="2"/>
      <c r="G788" s="2"/>
      <c r="H788" s="2"/>
      <c r="I788" s="2"/>
      <c r="J788" s="2"/>
      <c r="K788" s="2"/>
      <c r="L788" s="2"/>
      <c r="M788" s="2"/>
      <c r="N788" s="2"/>
      <c r="O788" s="2"/>
      <c r="P788" s="2"/>
      <c r="Q788" s="2"/>
      <c r="R788" s="9"/>
      <c r="S788" s="9"/>
      <c r="T788" s="9"/>
      <c r="U788" s="9"/>
      <c r="V788" s="9"/>
      <c r="W788" s="9"/>
      <c r="X788" s="9"/>
      <c r="Y788" s="9"/>
      <c r="Z788" s="9"/>
      <c r="AA788" s="9"/>
      <c r="AB788" s="9"/>
      <c r="AC788" s="9"/>
      <c r="AD788" s="9"/>
    </row>
    <row r="789" spans="1:30" ht="13.5" customHeight="1" x14ac:dyDescent="0.25">
      <c r="A789" s="2"/>
      <c r="B789" s="2"/>
      <c r="C789" s="2"/>
      <c r="D789" s="2"/>
      <c r="E789" s="2"/>
      <c r="F789" s="2"/>
      <c r="G789" s="2"/>
      <c r="H789" s="2"/>
      <c r="I789" s="2"/>
      <c r="J789" s="2"/>
      <c r="K789" s="2"/>
      <c r="L789" s="2"/>
      <c r="M789" s="2"/>
      <c r="N789" s="2"/>
      <c r="O789" s="2"/>
      <c r="P789" s="2"/>
      <c r="Q789" s="2"/>
      <c r="R789" s="9"/>
      <c r="S789" s="9"/>
      <c r="T789" s="9"/>
      <c r="U789" s="9"/>
      <c r="V789" s="9"/>
      <c r="W789" s="9"/>
      <c r="X789" s="9"/>
      <c r="Y789" s="9"/>
      <c r="Z789" s="9"/>
      <c r="AA789" s="9"/>
      <c r="AB789" s="9"/>
      <c r="AC789" s="9"/>
      <c r="AD789" s="9"/>
    </row>
    <row r="790" spans="1:30" ht="13.5" customHeight="1" x14ac:dyDescent="0.25">
      <c r="A790" s="2"/>
      <c r="B790" s="2"/>
      <c r="C790" s="2"/>
      <c r="D790" s="2"/>
      <c r="E790" s="2"/>
      <c r="F790" s="2"/>
      <c r="G790" s="2"/>
      <c r="H790" s="2"/>
      <c r="I790" s="2"/>
      <c r="J790" s="2"/>
      <c r="K790" s="2"/>
      <c r="L790" s="2"/>
      <c r="M790" s="2"/>
      <c r="N790" s="2"/>
      <c r="O790" s="2"/>
      <c r="P790" s="2"/>
      <c r="Q790" s="2"/>
      <c r="R790" s="9"/>
      <c r="S790" s="9"/>
      <c r="T790" s="9"/>
      <c r="U790" s="9"/>
      <c r="V790" s="9"/>
      <c r="W790" s="9"/>
      <c r="X790" s="9"/>
      <c r="Y790" s="9"/>
      <c r="Z790" s="9"/>
      <c r="AA790" s="9"/>
      <c r="AB790" s="9"/>
      <c r="AC790" s="9"/>
      <c r="AD790" s="9"/>
    </row>
    <row r="791" spans="1:30" ht="13.5" customHeight="1" x14ac:dyDescent="0.25">
      <c r="A791" s="2"/>
      <c r="B791" s="2"/>
      <c r="C791" s="2"/>
      <c r="D791" s="2"/>
      <c r="E791" s="2"/>
      <c r="F791" s="2"/>
      <c r="G791" s="2"/>
      <c r="H791" s="2"/>
      <c r="I791" s="2"/>
      <c r="J791" s="2"/>
      <c r="K791" s="2"/>
      <c r="L791" s="2"/>
      <c r="M791" s="2"/>
      <c r="N791" s="2"/>
      <c r="O791" s="2"/>
      <c r="P791" s="2"/>
      <c r="Q791" s="2"/>
      <c r="R791" s="9"/>
      <c r="S791" s="9"/>
      <c r="T791" s="9"/>
      <c r="U791" s="9"/>
      <c r="V791" s="9"/>
      <c r="W791" s="9"/>
      <c r="X791" s="9"/>
      <c r="Y791" s="9"/>
      <c r="Z791" s="9"/>
      <c r="AA791" s="9"/>
      <c r="AB791" s="9"/>
      <c r="AC791" s="9"/>
      <c r="AD791" s="9"/>
    </row>
    <row r="792" spans="1:30" ht="13.5" customHeight="1" x14ac:dyDescent="0.25">
      <c r="A792" s="2"/>
      <c r="B792" s="2"/>
      <c r="C792" s="2"/>
      <c r="D792" s="2"/>
      <c r="E792" s="2"/>
      <c r="F792" s="2"/>
      <c r="G792" s="2"/>
      <c r="H792" s="2"/>
      <c r="I792" s="2"/>
      <c r="J792" s="2"/>
      <c r="K792" s="2"/>
      <c r="L792" s="2"/>
      <c r="M792" s="2"/>
      <c r="N792" s="2"/>
      <c r="O792" s="2"/>
      <c r="P792" s="2"/>
      <c r="Q792" s="2"/>
      <c r="R792" s="9"/>
      <c r="S792" s="9"/>
      <c r="T792" s="9"/>
      <c r="U792" s="9"/>
      <c r="V792" s="9"/>
      <c r="W792" s="9"/>
      <c r="X792" s="9"/>
      <c r="Y792" s="9"/>
      <c r="Z792" s="9"/>
      <c r="AA792" s="9"/>
      <c r="AB792" s="9"/>
      <c r="AC792" s="9"/>
      <c r="AD792" s="9"/>
    </row>
    <row r="793" spans="1:30" ht="13.5" customHeight="1" x14ac:dyDescent="0.25">
      <c r="A793" s="2"/>
      <c r="B793" s="2"/>
      <c r="C793" s="2"/>
      <c r="D793" s="2"/>
      <c r="E793" s="2"/>
      <c r="F793" s="2"/>
      <c r="G793" s="2"/>
      <c r="H793" s="2"/>
      <c r="I793" s="2"/>
      <c r="J793" s="2"/>
      <c r="K793" s="2"/>
      <c r="L793" s="2"/>
      <c r="M793" s="2"/>
      <c r="N793" s="2"/>
      <c r="O793" s="2"/>
      <c r="P793" s="2"/>
      <c r="Q793" s="2"/>
      <c r="R793" s="9"/>
      <c r="S793" s="9"/>
      <c r="T793" s="9"/>
      <c r="U793" s="9"/>
      <c r="V793" s="9"/>
      <c r="W793" s="9"/>
      <c r="X793" s="9"/>
      <c r="Y793" s="9"/>
      <c r="Z793" s="9"/>
      <c r="AA793" s="9"/>
      <c r="AB793" s="9"/>
      <c r="AC793" s="9"/>
      <c r="AD793" s="9"/>
    </row>
    <row r="794" spans="1:30" ht="13.5" customHeight="1" x14ac:dyDescent="0.25">
      <c r="A794" s="2"/>
      <c r="B794" s="2"/>
      <c r="C794" s="2"/>
      <c r="D794" s="2"/>
      <c r="E794" s="2"/>
      <c r="F794" s="2"/>
      <c r="G794" s="2"/>
      <c r="H794" s="2"/>
      <c r="I794" s="2"/>
      <c r="J794" s="2"/>
      <c r="K794" s="2"/>
      <c r="L794" s="2"/>
      <c r="M794" s="2"/>
      <c r="N794" s="2"/>
      <c r="O794" s="2"/>
      <c r="P794" s="2"/>
      <c r="Q794" s="2"/>
      <c r="R794" s="9"/>
      <c r="S794" s="9"/>
      <c r="T794" s="9"/>
      <c r="U794" s="9"/>
      <c r="V794" s="9"/>
      <c r="W794" s="9"/>
      <c r="X794" s="9"/>
      <c r="Y794" s="9"/>
      <c r="Z794" s="9"/>
      <c r="AA794" s="9"/>
      <c r="AB794" s="9"/>
      <c r="AC794" s="9"/>
      <c r="AD794" s="9"/>
    </row>
    <row r="795" spans="1:30" ht="13.5" customHeight="1" x14ac:dyDescent="0.25">
      <c r="A795" s="2"/>
      <c r="B795" s="2"/>
      <c r="C795" s="2"/>
      <c r="D795" s="2"/>
      <c r="E795" s="2"/>
      <c r="F795" s="2"/>
      <c r="G795" s="2"/>
      <c r="H795" s="2"/>
      <c r="I795" s="2"/>
      <c r="J795" s="2"/>
      <c r="K795" s="2"/>
      <c r="L795" s="2"/>
      <c r="M795" s="2"/>
      <c r="N795" s="2"/>
      <c r="O795" s="2"/>
      <c r="P795" s="2"/>
      <c r="Q795" s="2"/>
      <c r="R795" s="9"/>
      <c r="S795" s="9"/>
      <c r="T795" s="9"/>
      <c r="U795" s="9"/>
      <c r="V795" s="9"/>
      <c r="W795" s="9"/>
      <c r="X795" s="9"/>
      <c r="Y795" s="9"/>
      <c r="Z795" s="9"/>
      <c r="AA795" s="9"/>
      <c r="AB795" s="9"/>
      <c r="AC795" s="9"/>
      <c r="AD795" s="9"/>
    </row>
    <row r="796" spans="1:30" ht="13.5" customHeight="1" x14ac:dyDescent="0.25">
      <c r="A796" s="2"/>
      <c r="B796" s="2"/>
      <c r="C796" s="2"/>
      <c r="D796" s="2"/>
      <c r="E796" s="2"/>
      <c r="F796" s="2"/>
      <c r="G796" s="2"/>
      <c r="H796" s="2"/>
      <c r="I796" s="2"/>
      <c r="J796" s="2"/>
      <c r="K796" s="2"/>
      <c r="L796" s="2"/>
      <c r="M796" s="2"/>
      <c r="N796" s="2"/>
      <c r="O796" s="2"/>
      <c r="P796" s="2"/>
      <c r="Q796" s="2"/>
      <c r="R796" s="9"/>
      <c r="S796" s="9"/>
      <c r="T796" s="9"/>
      <c r="U796" s="9"/>
      <c r="V796" s="9"/>
      <c r="W796" s="9"/>
      <c r="X796" s="9"/>
      <c r="Y796" s="9"/>
      <c r="Z796" s="9"/>
      <c r="AA796" s="9"/>
      <c r="AB796" s="9"/>
      <c r="AC796" s="9"/>
      <c r="AD796" s="9"/>
    </row>
    <row r="797" spans="1:30" ht="13.5" customHeight="1" x14ac:dyDescent="0.25">
      <c r="A797" s="2"/>
      <c r="B797" s="2"/>
      <c r="C797" s="2"/>
      <c r="D797" s="2"/>
      <c r="E797" s="2"/>
      <c r="F797" s="2"/>
      <c r="G797" s="2"/>
      <c r="H797" s="2"/>
      <c r="I797" s="2"/>
      <c r="J797" s="2"/>
      <c r="K797" s="2"/>
      <c r="L797" s="2"/>
      <c r="M797" s="2"/>
      <c r="N797" s="2"/>
      <c r="O797" s="2"/>
      <c r="P797" s="2"/>
      <c r="Q797" s="2"/>
      <c r="R797" s="9"/>
      <c r="S797" s="9"/>
      <c r="T797" s="9"/>
      <c r="U797" s="9"/>
      <c r="V797" s="9"/>
      <c r="W797" s="9"/>
      <c r="X797" s="9"/>
      <c r="Y797" s="9"/>
      <c r="Z797" s="9"/>
      <c r="AA797" s="9"/>
      <c r="AB797" s="9"/>
      <c r="AC797" s="9"/>
      <c r="AD797" s="9"/>
    </row>
    <row r="798" spans="1:30" ht="13.5" customHeight="1" x14ac:dyDescent="0.25">
      <c r="A798" s="2"/>
      <c r="B798" s="2"/>
      <c r="C798" s="2"/>
      <c r="D798" s="2"/>
      <c r="E798" s="2"/>
      <c r="F798" s="2"/>
      <c r="G798" s="2"/>
      <c r="H798" s="2"/>
      <c r="I798" s="2"/>
      <c r="J798" s="2"/>
      <c r="K798" s="2"/>
      <c r="L798" s="2"/>
      <c r="M798" s="2"/>
      <c r="N798" s="2"/>
      <c r="O798" s="2"/>
      <c r="P798" s="2"/>
      <c r="Q798" s="2"/>
      <c r="R798" s="9"/>
      <c r="S798" s="9"/>
      <c r="T798" s="9"/>
      <c r="U798" s="9"/>
      <c r="V798" s="9"/>
      <c r="W798" s="9"/>
      <c r="X798" s="9"/>
      <c r="Y798" s="9"/>
      <c r="Z798" s="9"/>
      <c r="AA798" s="9"/>
      <c r="AB798" s="9"/>
      <c r="AC798" s="9"/>
      <c r="AD798" s="9"/>
    </row>
    <row r="799" spans="1:30" ht="13.5" customHeight="1" x14ac:dyDescent="0.25">
      <c r="A799" s="2"/>
      <c r="B799" s="2"/>
      <c r="C799" s="2"/>
      <c r="D799" s="2"/>
      <c r="E799" s="2"/>
      <c r="F799" s="2"/>
      <c r="G799" s="2"/>
      <c r="H799" s="2"/>
      <c r="I799" s="2"/>
      <c r="J799" s="2"/>
      <c r="K799" s="2"/>
      <c r="L799" s="2"/>
      <c r="M799" s="2"/>
      <c r="N799" s="2"/>
      <c r="O799" s="2"/>
      <c r="P799" s="2"/>
      <c r="Q799" s="2"/>
      <c r="R799" s="9"/>
      <c r="S799" s="9"/>
      <c r="T799" s="9"/>
      <c r="U799" s="9"/>
      <c r="V799" s="9"/>
      <c r="W799" s="9"/>
      <c r="X799" s="9"/>
      <c r="Y799" s="9"/>
      <c r="Z799" s="9"/>
      <c r="AA799" s="9"/>
      <c r="AB799" s="9"/>
      <c r="AC799" s="9"/>
      <c r="AD799" s="9"/>
    </row>
    <row r="800" spans="1:30" ht="13.5" customHeight="1" x14ac:dyDescent="0.25">
      <c r="A800" s="2"/>
      <c r="B800" s="2"/>
      <c r="C800" s="2"/>
      <c r="D800" s="2"/>
      <c r="E800" s="2"/>
      <c r="F800" s="2"/>
      <c r="G800" s="2"/>
      <c r="H800" s="2"/>
      <c r="I800" s="2"/>
      <c r="J800" s="2"/>
      <c r="K800" s="2"/>
      <c r="L800" s="2"/>
      <c r="M800" s="2"/>
      <c r="N800" s="2"/>
      <c r="O800" s="2"/>
      <c r="P800" s="2"/>
      <c r="Q800" s="2"/>
      <c r="R800" s="9"/>
      <c r="S800" s="9"/>
      <c r="T800" s="9"/>
      <c r="U800" s="9"/>
      <c r="V800" s="9"/>
      <c r="W800" s="9"/>
      <c r="X800" s="9"/>
      <c r="Y800" s="9"/>
      <c r="Z800" s="9"/>
      <c r="AA800" s="9"/>
      <c r="AB800" s="9"/>
      <c r="AC800" s="9"/>
      <c r="AD800" s="9"/>
    </row>
    <row r="801" spans="1:30" ht="13.5" customHeight="1" x14ac:dyDescent="0.25">
      <c r="A801" s="2"/>
      <c r="B801" s="2"/>
      <c r="C801" s="2"/>
      <c r="D801" s="2"/>
      <c r="E801" s="2"/>
      <c r="F801" s="2"/>
      <c r="G801" s="2"/>
      <c r="H801" s="2"/>
      <c r="I801" s="2"/>
      <c r="J801" s="2"/>
      <c r="K801" s="2"/>
      <c r="L801" s="2"/>
      <c r="M801" s="2"/>
      <c r="N801" s="2"/>
      <c r="O801" s="2"/>
      <c r="P801" s="2"/>
      <c r="Q801" s="2"/>
      <c r="R801" s="9"/>
      <c r="S801" s="9"/>
      <c r="T801" s="9"/>
      <c r="U801" s="9"/>
      <c r="V801" s="9"/>
      <c r="W801" s="9"/>
      <c r="X801" s="9"/>
      <c r="Y801" s="9"/>
      <c r="Z801" s="9"/>
      <c r="AA801" s="9"/>
      <c r="AB801" s="9"/>
      <c r="AC801" s="9"/>
      <c r="AD801" s="9"/>
    </row>
    <row r="802" spans="1:30" ht="13.5" customHeight="1" x14ac:dyDescent="0.25">
      <c r="A802" s="2"/>
      <c r="B802" s="2"/>
      <c r="C802" s="2"/>
      <c r="D802" s="2"/>
      <c r="E802" s="2"/>
      <c r="F802" s="2"/>
      <c r="G802" s="2"/>
      <c r="H802" s="2"/>
      <c r="I802" s="2"/>
      <c r="J802" s="2"/>
      <c r="K802" s="2"/>
      <c r="L802" s="2"/>
      <c r="M802" s="2"/>
      <c r="N802" s="2"/>
      <c r="O802" s="2"/>
      <c r="P802" s="2"/>
      <c r="Q802" s="2"/>
      <c r="R802" s="9"/>
      <c r="S802" s="9"/>
      <c r="T802" s="9"/>
      <c r="U802" s="9"/>
      <c r="V802" s="9"/>
      <c r="W802" s="9"/>
      <c r="X802" s="9"/>
      <c r="Y802" s="9"/>
      <c r="Z802" s="9"/>
      <c r="AA802" s="9"/>
      <c r="AB802" s="9"/>
      <c r="AC802" s="9"/>
      <c r="AD802" s="9"/>
    </row>
    <row r="803" spans="1:30" ht="13.5" customHeight="1" x14ac:dyDescent="0.25">
      <c r="A803" s="2"/>
      <c r="B803" s="2"/>
      <c r="C803" s="2"/>
      <c r="D803" s="2"/>
      <c r="E803" s="2"/>
      <c r="F803" s="2"/>
      <c r="G803" s="2"/>
      <c r="H803" s="2"/>
      <c r="I803" s="2"/>
      <c r="J803" s="2"/>
      <c r="K803" s="2"/>
      <c r="L803" s="2"/>
      <c r="M803" s="2"/>
      <c r="N803" s="2"/>
      <c r="O803" s="2"/>
      <c r="P803" s="2"/>
      <c r="Q803" s="2"/>
      <c r="R803" s="9"/>
      <c r="S803" s="9"/>
      <c r="T803" s="9"/>
      <c r="U803" s="9"/>
      <c r="V803" s="9"/>
      <c r="W803" s="9"/>
      <c r="X803" s="9"/>
      <c r="Y803" s="9"/>
      <c r="Z803" s="9"/>
      <c r="AA803" s="9"/>
      <c r="AB803" s="9"/>
      <c r="AC803" s="9"/>
      <c r="AD803" s="9"/>
    </row>
    <row r="804" spans="1:30" ht="13.5" customHeight="1" x14ac:dyDescent="0.25">
      <c r="A804" s="2"/>
      <c r="B804" s="2"/>
      <c r="C804" s="2"/>
      <c r="D804" s="2"/>
      <c r="E804" s="2"/>
      <c r="F804" s="2"/>
      <c r="G804" s="2"/>
      <c r="H804" s="2"/>
      <c r="I804" s="2"/>
      <c r="J804" s="2"/>
      <c r="K804" s="2"/>
      <c r="L804" s="2"/>
      <c r="M804" s="2"/>
      <c r="N804" s="2"/>
      <c r="O804" s="2"/>
      <c r="P804" s="2"/>
      <c r="Q804" s="2"/>
      <c r="R804" s="9"/>
      <c r="S804" s="9"/>
      <c r="T804" s="9"/>
      <c r="U804" s="9"/>
      <c r="V804" s="9"/>
      <c r="W804" s="9"/>
      <c r="X804" s="9"/>
      <c r="Y804" s="9"/>
      <c r="Z804" s="9"/>
      <c r="AA804" s="9"/>
      <c r="AB804" s="9"/>
      <c r="AC804" s="9"/>
      <c r="AD804" s="9"/>
    </row>
    <row r="805" spans="1:30" ht="13.5" customHeight="1" x14ac:dyDescent="0.25">
      <c r="A805" s="2"/>
      <c r="B805" s="2"/>
      <c r="C805" s="2"/>
      <c r="D805" s="2"/>
      <c r="E805" s="2"/>
      <c r="F805" s="2"/>
      <c r="G805" s="2"/>
      <c r="H805" s="2"/>
      <c r="I805" s="2"/>
      <c r="J805" s="2"/>
      <c r="K805" s="2"/>
      <c r="L805" s="2"/>
      <c r="M805" s="2"/>
      <c r="N805" s="2"/>
      <c r="O805" s="2"/>
      <c r="P805" s="2"/>
      <c r="Q805" s="2"/>
      <c r="R805" s="9"/>
      <c r="S805" s="9"/>
      <c r="T805" s="9"/>
      <c r="U805" s="9"/>
      <c r="V805" s="9"/>
      <c r="W805" s="9"/>
      <c r="X805" s="9"/>
      <c r="Y805" s="9"/>
      <c r="Z805" s="9"/>
      <c r="AA805" s="9"/>
      <c r="AB805" s="9"/>
      <c r="AC805" s="9"/>
      <c r="AD805" s="9"/>
    </row>
    <row r="806" spans="1:30" ht="13.5" customHeight="1" x14ac:dyDescent="0.25">
      <c r="A806" s="2"/>
      <c r="B806" s="2"/>
      <c r="C806" s="2"/>
      <c r="D806" s="2"/>
      <c r="E806" s="2"/>
      <c r="F806" s="2"/>
      <c r="G806" s="2"/>
      <c r="H806" s="2"/>
      <c r="I806" s="2"/>
      <c r="J806" s="2"/>
      <c r="K806" s="2"/>
      <c r="L806" s="2"/>
      <c r="M806" s="2"/>
      <c r="N806" s="2"/>
      <c r="O806" s="2"/>
      <c r="P806" s="2"/>
      <c r="Q806" s="2"/>
      <c r="R806" s="9"/>
      <c r="S806" s="9"/>
      <c r="T806" s="9"/>
      <c r="U806" s="9"/>
      <c r="V806" s="9"/>
      <c r="W806" s="9"/>
      <c r="X806" s="9"/>
      <c r="Y806" s="9"/>
      <c r="Z806" s="9"/>
      <c r="AA806" s="9"/>
      <c r="AB806" s="9"/>
      <c r="AC806" s="9"/>
      <c r="AD806" s="9"/>
    </row>
    <row r="807" spans="1:30" ht="13.5" customHeight="1" x14ac:dyDescent="0.25">
      <c r="A807" s="2"/>
      <c r="B807" s="2"/>
      <c r="C807" s="2"/>
      <c r="D807" s="2"/>
      <c r="E807" s="2"/>
      <c r="F807" s="2"/>
      <c r="G807" s="2"/>
      <c r="H807" s="2"/>
      <c r="I807" s="2"/>
      <c r="J807" s="2"/>
      <c r="K807" s="2"/>
      <c r="L807" s="2"/>
      <c r="M807" s="2"/>
      <c r="N807" s="2"/>
      <c r="O807" s="2"/>
      <c r="P807" s="2"/>
      <c r="Q807" s="2"/>
      <c r="R807" s="9"/>
      <c r="S807" s="9"/>
      <c r="T807" s="9"/>
      <c r="U807" s="9"/>
      <c r="V807" s="9"/>
      <c r="W807" s="9"/>
      <c r="X807" s="9"/>
      <c r="Y807" s="9"/>
      <c r="Z807" s="9"/>
      <c r="AA807" s="9"/>
      <c r="AB807" s="9"/>
      <c r="AC807" s="9"/>
      <c r="AD807" s="9"/>
    </row>
    <row r="808" spans="1:30" ht="13.5" customHeight="1" x14ac:dyDescent="0.25">
      <c r="A808" s="2"/>
      <c r="B808" s="2"/>
      <c r="C808" s="2"/>
      <c r="D808" s="2"/>
      <c r="E808" s="2"/>
      <c r="F808" s="2"/>
      <c r="G808" s="2"/>
      <c r="H808" s="2"/>
      <c r="I808" s="2"/>
      <c r="J808" s="2"/>
      <c r="K808" s="2"/>
      <c r="L808" s="2"/>
      <c r="M808" s="2"/>
      <c r="N808" s="2"/>
      <c r="O808" s="2"/>
      <c r="P808" s="2"/>
      <c r="Q808" s="2"/>
      <c r="R808" s="9"/>
      <c r="S808" s="9"/>
      <c r="T808" s="9"/>
      <c r="U808" s="9"/>
      <c r="V808" s="9"/>
      <c r="W808" s="9"/>
      <c r="X808" s="9"/>
      <c r="Y808" s="9"/>
      <c r="Z808" s="9"/>
      <c r="AA808" s="9"/>
      <c r="AB808" s="9"/>
      <c r="AC808" s="9"/>
      <c r="AD808" s="9"/>
    </row>
    <row r="809" spans="1:30" ht="13.5" customHeight="1" x14ac:dyDescent="0.25">
      <c r="A809" s="2"/>
      <c r="B809" s="2"/>
      <c r="C809" s="2"/>
      <c r="D809" s="2"/>
      <c r="E809" s="2"/>
      <c r="F809" s="2"/>
      <c r="G809" s="2"/>
      <c r="H809" s="2"/>
      <c r="I809" s="2"/>
      <c r="J809" s="2"/>
      <c r="K809" s="2"/>
      <c r="L809" s="2"/>
      <c r="M809" s="2"/>
      <c r="N809" s="2"/>
      <c r="O809" s="2"/>
      <c r="P809" s="2"/>
      <c r="Q809" s="2"/>
      <c r="R809" s="9"/>
      <c r="S809" s="9"/>
      <c r="T809" s="9"/>
      <c r="U809" s="9"/>
      <c r="V809" s="9"/>
      <c r="W809" s="9"/>
      <c r="X809" s="9"/>
      <c r="Y809" s="9"/>
      <c r="Z809" s="9"/>
      <c r="AA809" s="9"/>
      <c r="AB809" s="9"/>
      <c r="AC809" s="9"/>
      <c r="AD809" s="9"/>
    </row>
    <row r="810" spans="1:30" ht="13.5" customHeight="1" x14ac:dyDescent="0.25">
      <c r="A810" s="2"/>
      <c r="B810" s="2"/>
      <c r="C810" s="2"/>
      <c r="D810" s="2"/>
      <c r="E810" s="2"/>
      <c r="F810" s="2"/>
      <c r="G810" s="2"/>
      <c r="H810" s="2"/>
      <c r="I810" s="2"/>
      <c r="J810" s="2"/>
      <c r="K810" s="2"/>
      <c r="L810" s="2"/>
      <c r="M810" s="2"/>
      <c r="N810" s="2"/>
      <c r="O810" s="2"/>
      <c r="P810" s="2"/>
      <c r="Q810" s="2"/>
      <c r="R810" s="9"/>
      <c r="S810" s="9"/>
      <c r="T810" s="9"/>
      <c r="U810" s="9"/>
      <c r="V810" s="9"/>
      <c r="W810" s="9"/>
      <c r="X810" s="9"/>
      <c r="Y810" s="9"/>
      <c r="Z810" s="9"/>
      <c r="AA810" s="9"/>
      <c r="AB810" s="9"/>
      <c r="AC810" s="9"/>
      <c r="AD810" s="9"/>
    </row>
    <row r="811" spans="1:30" ht="13.5" customHeight="1" x14ac:dyDescent="0.25">
      <c r="A811" s="2"/>
      <c r="B811" s="2"/>
      <c r="C811" s="2"/>
      <c r="D811" s="2"/>
      <c r="E811" s="2"/>
      <c r="F811" s="2"/>
      <c r="G811" s="2"/>
      <c r="H811" s="2"/>
      <c r="I811" s="2"/>
      <c r="J811" s="2"/>
      <c r="K811" s="2"/>
      <c r="L811" s="2"/>
      <c r="M811" s="2"/>
      <c r="N811" s="2"/>
      <c r="O811" s="2"/>
      <c r="P811" s="2"/>
      <c r="Q811" s="2"/>
      <c r="R811" s="9"/>
      <c r="S811" s="9"/>
      <c r="T811" s="9"/>
      <c r="U811" s="9"/>
      <c r="V811" s="9"/>
      <c r="W811" s="9"/>
      <c r="X811" s="9"/>
      <c r="Y811" s="9"/>
      <c r="Z811" s="9"/>
      <c r="AA811" s="9"/>
      <c r="AB811" s="9"/>
      <c r="AC811" s="9"/>
      <c r="AD811" s="9"/>
    </row>
    <row r="812" spans="1:30" ht="13.5" customHeight="1" x14ac:dyDescent="0.25">
      <c r="A812" s="2"/>
      <c r="B812" s="2"/>
      <c r="C812" s="2"/>
      <c r="D812" s="2"/>
      <c r="E812" s="2"/>
      <c r="F812" s="2"/>
      <c r="G812" s="2"/>
      <c r="H812" s="2"/>
      <c r="I812" s="2"/>
      <c r="J812" s="2"/>
      <c r="K812" s="2"/>
      <c r="L812" s="2"/>
      <c r="M812" s="2"/>
      <c r="N812" s="2"/>
      <c r="O812" s="2"/>
      <c r="P812" s="2"/>
      <c r="Q812" s="2"/>
      <c r="R812" s="9"/>
      <c r="S812" s="9"/>
      <c r="T812" s="9"/>
      <c r="U812" s="9"/>
      <c r="V812" s="9"/>
      <c r="W812" s="9"/>
      <c r="X812" s="9"/>
      <c r="Y812" s="9"/>
      <c r="Z812" s="9"/>
      <c r="AA812" s="9"/>
      <c r="AB812" s="9"/>
      <c r="AC812" s="9"/>
      <c r="AD812" s="9"/>
    </row>
    <row r="813" spans="1:30" ht="13.5" customHeight="1" x14ac:dyDescent="0.25">
      <c r="A813" s="2"/>
      <c r="B813" s="2"/>
      <c r="C813" s="2"/>
      <c r="D813" s="2"/>
      <c r="E813" s="2"/>
      <c r="F813" s="2"/>
      <c r="G813" s="2"/>
      <c r="H813" s="2"/>
      <c r="I813" s="2"/>
      <c r="J813" s="2"/>
      <c r="K813" s="2"/>
      <c r="L813" s="2"/>
      <c r="M813" s="2"/>
      <c r="N813" s="2"/>
      <c r="O813" s="2"/>
      <c r="P813" s="2"/>
      <c r="Q813" s="2"/>
      <c r="R813" s="9"/>
      <c r="S813" s="9"/>
      <c r="T813" s="9"/>
      <c r="U813" s="9"/>
      <c r="V813" s="9"/>
      <c r="W813" s="9"/>
      <c r="X813" s="9"/>
      <c r="Y813" s="9"/>
      <c r="Z813" s="9"/>
      <c r="AA813" s="9"/>
      <c r="AB813" s="9"/>
      <c r="AC813" s="9"/>
      <c r="AD813" s="9"/>
    </row>
    <row r="814" spans="1:30" ht="13.5" customHeight="1" x14ac:dyDescent="0.25">
      <c r="A814" s="2"/>
      <c r="B814" s="2"/>
      <c r="C814" s="2"/>
      <c r="D814" s="2"/>
      <c r="E814" s="2"/>
      <c r="F814" s="2"/>
      <c r="G814" s="2"/>
      <c r="H814" s="2"/>
      <c r="I814" s="2"/>
      <c r="J814" s="2"/>
      <c r="K814" s="2"/>
      <c r="L814" s="2"/>
      <c r="M814" s="2"/>
      <c r="N814" s="2"/>
      <c r="O814" s="2"/>
      <c r="P814" s="2"/>
      <c r="Q814" s="2"/>
      <c r="R814" s="9"/>
      <c r="S814" s="9"/>
      <c r="T814" s="9"/>
      <c r="U814" s="9"/>
      <c r="V814" s="9"/>
      <c r="W814" s="9"/>
      <c r="X814" s="9"/>
      <c r="Y814" s="9"/>
      <c r="Z814" s="9"/>
      <c r="AA814" s="9"/>
      <c r="AB814" s="9"/>
      <c r="AC814" s="9"/>
      <c r="AD814" s="9"/>
    </row>
    <row r="815" spans="1:30" ht="13.5" customHeight="1" x14ac:dyDescent="0.25">
      <c r="A815" s="2"/>
      <c r="B815" s="2"/>
      <c r="C815" s="2"/>
      <c r="D815" s="2"/>
      <c r="E815" s="2"/>
      <c r="F815" s="2"/>
      <c r="G815" s="2"/>
      <c r="H815" s="2"/>
      <c r="I815" s="2"/>
      <c r="J815" s="2"/>
      <c r="K815" s="2"/>
      <c r="L815" s="2"/>
      <c r="M815" s="2"/>
      <c r="N815" s="2"/>
      <c r="O815" s="2"/>
      <c r="P815" s="2"/>
      <c r="Q815" s="2"/>
      <c r="R815" s="9"/>
      <c r="S815" s="9"/>
      <c r="T815" s="9"/>
      <c r="U815" s="9"/>
      <c r="V815" s="9"/>
      <c r="W815" s="9"/>
      <c r="X815" s="9"/>
      <c r="Y815" s="9"/>
      <c r="Z815" s="9"/>
      <c r="AA815" s="9"/>
      <c r="AB815" s="9"/>
      <c r="AC815" s="9"/>
      <c r="AD815" s="9"/>
    </row>
    <row r="816" spans="1:30" ht="13.5" customHeight="1" x14ac:dyDescent="0.25">
      <c r="A816" s="2"/>
      <c r="B816" s="2"/>
      <c r="C816" s="2"/>
      <c r="D816" s="2"/>
      <c r="E816" s="2"/>
      <c r="F816" s="2"/>
      <c r="G816" s="2"/>
      <c r="H816" s="2"/>
      <c r="I816" s="2"/>
      <c r="J816" s="2"/>
      <c r="K816" s="2"/>
      <c r="L816" s="2"/>
      <c r="M816" s="2"/>
      <c r="N816" s="2"/>
      <c r="O816" s="2"/>
      <c r="P816" s="2"/>
      <c r="Q816" s="2"/>
      <c r="R816" s="9"/>
      <c r="S816" s="9"/>
      <c r="T816" s="9"/>
      <c r="U816" s="9"/>
      <c r="V816" s="9"/>
      <c r="W816" s="9"/>
      <c r="X816" s="9"/>
      <c r="Y816" s="9"/>
      <c r="Z816" s="9"/>
      <c r="AA816" s="9"/>
      <c r="AB816" s="9"/>
      <c r="AC816" s="9"/>
      <c r="AD816" s="9"/>
    </row>
    <row r="817" spans="1:30" ht="13.5" customHeight="1" x14ac:dyDescent="0.25">
      <c r="A817" s="2"/>
      <c r="B817" s="2"/>
      <c r="C817" s="2"/>
      <c r="D817" s="2"/>
      <c r="E817" s="2"/>
      <c r="F817" s="2"/>
      <c r="G817" s="2"/>
      <c r="H817" s="2"/>
      <c r="I817" s="2"/>
      <c r="J817" s="2"/>
      <c r="K817" s="2"/>
      <c r="L817" s="2"/>
      <c r="M817" s="2"/>
      <c r="N817" s="2"/>
      <c r="O817" s="2"/>
      <c r="P817" s="2"/>
      <c r="Q817" s="2"/>
      <c r="R817" s="9"/>
      <c r="S817" s="9"/>
      <c r="T817" s="9"/>
      <c r="U817" s="9"/>
      <c r="V817" s="9"/>
      <c r="W817" s="9"/>
      <c r="X817" s="9"/>
      <c r="Y817" s="9"/>
      <c r="Z817" s="9"/>
      <c r="AA817" s="9"/>
      <c r="AB817" s="9"/>
      <c r="AC817" s="9"/>
      <c r="AD817" s="9"/>
    </row>
    <row r="818" spans="1:30" ht="13.5" customHeight="1" x14ac:dyDescent="0.25">
      <c r="A818" s="2"/>
      <c r="B818" s="2"/>
      <c r="C818" s="2"/>
      <c r="D818" s="2"/>
      <c r="E818" s="2"/>
      <c r="F818" s="2"/>
      <c r="G818" s="2"/>
      <c r="H818" s="2"/>
      <c r="I818" s="2"/>
      <c r="J818" s="2"/>
      <c r="K818" s="2"/>
      <c r="L818" s="2"/>
      <c r="M818" s="2"/>
      <c r="N818" s="2"/>
      <c r="O818" s="2"/>
      <c r="P818" s="2"/>
      <c r="Q818" s="2"/>
      <c r="R818" s="9"/>
      <c r="S818" s="9"/>
      <c r="T818" s="9"/>
      <c r="U818" s="9"/>
      <c r="V818" s="9"/>
      <c r="W818" s="9"/>
      <c r="X818" s="9"/>
      <c r="Y818" s="9"/>
      <c r="Z818" s="9"/>
      <c r="AA818" s="9"/>
      <c r="AB818" s="9"/>
      <c r="AC818" s="9"/>
      <c r="AD818" s="9"/>
    </row>
    <row r="819" spans="1:30" ht="13.5" customHeight="1" x14ac:dyDescent="0.25">
      <c r="A819" s="2"/>
      <c r="B819" s="2"/>
      <c r="C819" s="2"/>
      <c r="D819" s="2"/>
      <c r="E819" s="2"/>
      <c r="F819" s="2"/>
      <c r="G819" s="2"/>
      <c r="H819" s="2"/>
      <c r="I819" s="2"/>
      <c r="J819" s="2"/>
      <c r="K819" s="2"/>
      <c r="L819" s="2"/>
      <c r="M819" s="2"/>
      <c r="N819" s="2"/>
      <c r="O819" s="2"/>
      <c r="P819" s="2"/>
      <c r="Q819" s="2"/>
      <c r="R819" s="9"/>
      <c r="S819" s="9"/>
      <c r="T819" s="9"/>
      <c r="U819" s="9"/>
      <c r="V819" s="9"/>
      <c r="W819" s="9"/>
      <c r="X819" s="9"/>
      <c r="Y819" s="9"/>
      <c r="Z819" s="9"/>
      <c r="AA819" s="9"/>
      <c r="AB819" s="9"/>
      <c r="AC819" s="9"/>
      <c r="AD819" s="9"/>
    </row>
    <row r="820" spans="1:30" ht="13.5" customHeight="1" x14ac:dyDescent="0.25">
      <c r="A820" s="2"/>
      <c r="B820" s="2"/>
      <c r="C820" s="2"/>
      <c r="D820" s="2"/>
      <c r="E820" s="2"/>
      <c r="F820" s="2"/>
      <c r="G820" s="2"/>
      <c r="H820" s="2"/>
      <c r="I820" s="2"/>
      <c r="J820" s="2"/>
      <c r="K820" s="2"/>
      <c r="L820" s="2"/>
      <c r="M820" s="2"/>
      <c r="N820" s="2"/>
      <c r="O820" s="2"/>
      <c r="P820" s="2"/>
      <c r="Q820" s="2"/>
      <c r="R820" s="9"/>
      <c r="S820" s="9"/>
      <c r="T820" s="9"/>
      <c r="U820" s="9"/>
      <c r="V820" s="9"/>
      <c r="W820" s="9"/>
      <c r="X820" s="9"/>
      <c r="Y820" s="9"/>
      <c r="Z820" s="9"/>
      <c r="AA820" s="9"/>
      <c r="AB820" s="9"/>
      <c r="AC820" s="9"/>
      <c r="AD820" s="9"/>
    </row>
    <row r="821" spans="1:30" ht="13.5" customHeight="1" x14ac:dyDescent="0.25">
      <c r="A821" s="2"/>
      <c r="B821" s="2"/>
      <c r="C821" s="2"/>
      <c r="D821" s="2"/>
      <c r="E821" s="2"/>
      <c r="F821" s="2"/>
      <c r="G821" s="2"/>
      <c r="H821" s="2"/>
      <c r="I821" s="2"/>
      <c r="J821" s="2"/>
      <c r="K821" s="2"/>
      <c r="L821" s="2"/>
      <c r="M821" s="2"/>
      <c r="N821" s="2"/>
      <c r="O821" s="2"/>
      <c r="P821" s="2"/>
      <c r="Q821" s="2"/>
      <c r="R821" s="9"/>
      <c r="S821" s="9"/>
      <c r="T821" s="9"/>
      <c r="U821" s="9"/>
      <c r="V821" s="9"/>
      <c r="W821" s="9"/>
      <c r="X821" s="9"/>
      <c r="Y821" s="9"/>
      <c r="Z821" s="9"/>
      <c r="AA821" s="9"/>
      <c r="AB821" s="9"/>
      <c r="AC821" s="9"/>
      <c r="AD821" s="9"/>
    </row>
    <row r="822" spans="1:30" ht="13.5" customHeight="1" x14ac:dyDescent="0.25">
      <c r="A822" s="2"/>
      <c r="B822" s="2"/>
      <c r="C822" s="2"/>
      <c r="D822" s="2"/>
      <c r="E822" s="2"/>
      <c r="F822" s="2"/>
      <c r="G822" s="2"/>
      <c r="H822" s="2"/>
      <c r="I822" s="2"/>
      <c r="J822" s="2"/>
      <c r="K822" s="2"/>
      <c r="L822" s="2"/>
      <c r="M822" s="2"/>
      <c r="N822" s="2"/>
      <c r="O822" s="2"/>
      <c r="P822" s="2"/>
      <c r="Q822" s="2"/>
      <c r="R822" s="9"/>
      <c r="S822" s="9"/>
      <c r="T822" s="9"/>
      <c r="U822" s="9"/>
      <c r="V822" s="9"/>
      <c r="W822" s="9"/>
      <c r="X822" s="9"/>
      <c r="Y822" s="9"/>
      <c r="Z822" s="9"/>
      <c r="AA822" s="9"/>
      <c r="AB822" s="9"/>
      <c r="AC822" s="9"/>
      <c r="AD822" s="9"/>
    </row>
    <row r="823" spans="1:30" ht="13.5" customHeight="1" x14ac:dyDescent="0.25">
      <c r="A823" s="2"/>
      <c r="B823" s="2"/>
      <c r="C823" s="2"/>
      <c r="D823" s="2"/>
      <c r="E823" s="2"/>
      <c r="F823" s="2"/>
      <c r="G823" s="2"/>
      <c r="H823" s="2"/>
      <c r="I823" s="2"/>
      <c r="J823" s="2"/>
      <c r="K823" s="2"/>
      <c r="L823" s="2"/>
      <c r="M823" s="2"/>
      <c r="N823" s="2"/>
      <c r="O823" s="2"/>
      <c r="P823" s="2"/>
      <c r="Q823" s="2"/>
      <c r="R823" s="9"/>
      <c r="S823" s="9"/>
      <c r="T823" s="9"/>
      <c r="U823" s="9"/>
      <c r="V823" s="9"/>
      <c r="W823" s="9"/>
      <c r="X823" s="9"/>
      <c r="Y823" s="9"/>
      <c r="Z823" s="9"/>
      <c r="AA823" s="9"/>
      <c r="AB823" s="9"/>
      <c r="AC823" s="9"/>
      <c r="AD823" s="9"/>
    </row>
    <row r="824" spans="1:30" ht="13.5" customHeight="1" x14ac:dyDescent="0.25">
      <c r="A824" s="2"/>
      <c r="B824" s="2"/>
      <c r="C824" s="2"/>
      <c r="D824" s="2"/>
      <c r="E824" s="2"/>
      <c r="F824" s="2"/>
      <c r="G824" s="2"/>
      <c r="H824" s="2"/>
      <c r="I824" s="2"/>
      <c r="J824" s="2"/>
      <c r="K824" s="2"/>
      <c r="L824" s="2"/>
      <c r="M824" s="2"/>
      <c r="N824" s="2"/>
      <c r="O824" s="2"/>
      <c r="P824" s="2"/>
      <c r="Q824" s="2"/>
      <c r="R824" s="9"/>
      <c r="S824" s="9"/>
      <c r="T824" s="9"/>
      <c r="U824" s="9"/>
      <c r="V824" s="9"/>
      <c r="W824" s="9"/>
      <c r="X824" s="9"/>
      <c r="Y824" s="9"/>
      <c r="Z824" s="9"/>
      <c r="AA824" s="9"/>
      <c r="AB824" s="9"/>
      <c r="AC824" s="9"/>
      <c r="AD824" s="9"/>
    </row>
    <row r="825" spans="1:30" ht="13.5" customHeight="1" x14ac:dyDescent="0.25">
      <c r="A825" s="2"/>
      <c r="B825" s="2"/>
      <c r="C825" s="2"/>
      <c r="D825" s="2"/>
      <c r="E825" s="2"/>
      <c r="F825" s="2"/>
      <c r="G825" s="2"/>
      <c r="H825" s="2"/>
      <c r="I825" s="2"/>
      <c r="J825" s="2"/>
      <c r="K825" s="2"/>
      <c r="L825" s="2"/>
      <c r="M825" s="2"/>
      <c r="N825" s="2"/>
      <c r="O825" s="2"/>
      <c r="P825" s="2"/>
      <c r="Q825" s="2"/>
      <c r="R825" s="9"/>
      <c r="S825" s="9"/>
      <c r="T825" s="9"/>
      <c r="U825" s="9"/>
      <c r="V825" s="9"/>
      <c r="W825" s="9"/>
      <c r="X825" s="9"/>
      <c r="Y825" s="9"/>
      <c r="Z825" s="9"/>
      <c r="AA825" s="9"/>
      <c r="AB825" s="9"/>
      <c r="AC825" s="9"/>
      <c r="AD825" s="9"/>
    </row>
    <row r="826" spans="1:30" ht="13.5" customHeight="1" x14ac:dyDescent="0.25">
      <c r="A826" s="2"/>
      <c r="B826" s="2"/>
      <c r="C826" s="2"/>
      <c r="D826" s="2"/>
      <c r="E826" s="2"/>
      <c r="F826" s="2"/>
      <c r="G826" s="2"/>
      <c r="H826" s="2"/>
      <c r="I826" s="2"/>
      <c r="J826" s="2"/>
      <c r="K826" s="2"/>
      <c r="L826" s="2"/>
      <c r="M826" s="2"/>
      <c r="N826" s="2"/>
      <c r="O826" s="2"/>
      <c r="P826" s="2"/>
      <c r="Q826" s="2"/>
      <c r="R826" s="9"/>
      <c r="S826" s="9"/>
      <c r="T826" s="9"/>
      <c r="U826" s="9"/>
      <c r="V826" s="9"/>
      <c r="W826" s="9"/>
      <c r="X826" s="9"/>
      <c r="Y826" s="9"/>
      <c r="Z826" s="9"/>
      <c r="AA826" s="9"/>
      <c r="AB826" s="9"/>
      <c r="AC826" s="9"/>
      <c r="AD826" s="9"/>
    </row>
    <row r="827" spans="1:30" ht="13.5" customHeight="1" x14ac:dyDescent="0.25">
      <c r="A827" s="2"/>
      <c r="B827" s="2"/>
      <c r="C827" s="2"/>
      <c r="D827" s="2"/>
      <c r="E827" s="2"/>
      <c r="F827" s="2"/>
      <c r="G827" s="2"/>
      <c r="H827" s="2"/>
      <c r="I827" s="2"/>
      <c r="J827" s="2"/>
      <c r="K827" s="2"/>
      <c r="L827" s="2"/>
      <c r="M827" s="2"/>
      <c r="N827" s="2"/>
      <c r="O827" s="2"/>
      <c r="P827" s="2"/>
      <c r="Q827" s="2"/>
      <c r="R827" s="9"/>
      <c r="S827" s="9"/>
      <c r="T827" s="9"/>
      <c r="U827" s="9"/>
      <c r="V827" s="9"/>
      <c r="W827" s="9"/>
      <c r="X827" s="9"/>
      <c r="Y827" s="9"/>
      <c r="Z827" s="9"/>
      <c r="AA827" s="9"/>
      <c r="AB827" s="9"/>
      <c r="AC827" s="9"/>
      <c r="AD827" s="9"/>
    </row>
    <row r="828" spans="1:30" ht="13.5" customHeight="1" x14ac:dyDescent="0.25">
      <c r="A828" s="2"/>
      <c r="B828" s="2"/>
      <c r="C828" s="2"/>
      <c r="D828" s="2"/>
      <c r="E828" s="2"/>
      <c r="F828" s="2"/>
      <c r="G828" s="2"/>
      <c r="H828" s="2"/>
      <c r="I828" s="2"/>
      <c r="J828" s="2"/>
      <c r="K828" s="2"/>
      <c r="L828" s="2"/>
      <c r="M828" s="2"/>
      <c r="N828" s="2"/>
      <c r="O828" s="2"/>
      <c r="P828" s="2"/>
      <c r="Q828" s="2"/>
      <c r="R828" s="9"/>
      <c r="S828" s="9"/>
      <c r="T828" s="9"/>
      <c r="U828" s="9"/>
      <c r="V828" s="9"/>
      <c r="W828" s="9"/>
      <c r="X828" s="9"/>
      <c r="Y828" s="9"/>
      <c r="Z828" s="9"/>
      <c r="AA828" s="9"/>
      <c r="AB828" s="9"/>
      <c r="AC828" s="9"/>
      <c r="AD828" s="9"/>
    </row>
    <row r="829" spans="1:30" ht="13.5" customHeight="1" x14ac:dyDescent="0.25">
      <c r="A829" s="2"/>
      <c r="B829" s="2"/>
      <c r="C829" s="2"/>
      <c r="D829" s="2"/>
      <c r="E829" s="2"/>
      <c r="F829" s="2"/>
      <c r="G829" s="2"/>
      <c r="H829" s="2"/>
      <c r="I829" s="2"/>
      <c r="J829" s="2"/>
      <c r="K829" s="2"/>
      <c r="L829" s="2"/>
      <c r="M829" s="2"/>
      <c r="N829" s="2"/>
      <c r="O829" s="2"/>
      <c r="P829" s="2"/>
      <c r="Q829" s="2"/>
      <c r="R829" s="9"/>
      <c r="S829" s="9"/>
      <c r="T829" s="9"/>
      <c r="U829" s="9"/>
      <c r="V829" s="9"/>
      <c r="W829" s="9"/>
      <c r="X829" s="9"/>
      <c r="Y829" s="9"/>
      <c r="Z829" s="9"/>
      <c r="AA829" s="9"/>
      <c r="AB829" s="9"/>
      <c r="AC829" s="9"/>
      <c r="AD829" s="9"/>
    </row>
    <row r="830" spans="1:30" ht="13.5" customHeight="1" x14ac:dyDescent="0.25">
      <c r="A830" s="2"/>
      <c r="B830" s="2"/>
      <c r="C830" s="2"/>
      <c r="D830" s="2"/>
      <c r="E830" s="2"/>
      <c r="F830" s="2"/>
      <c r="G830" s="2"/>
      <c r="H830" s="2"/>
      <c r="I830" s="2"/>
      <c r="J830" s="2"/>
      <c r="K830" s="2"/>
      <c r="L830" s="2"/>
      <c r="M830" s="2"/>
      <c r="N830" s="2"/>
      <c r="O830" s="2"/>
      <c r="P830" s="2"/>
      <c r="Q830" s="2"/>
      <c r="R830" s="9"/>
      <c r="S830" s="9"/>
      <c r="T830" s="9"/>
      <c r="U830" s="9"/>
      <c r="V830" s="9"/>
      <c r="W830" s="9"/>
      <c r="X830" s="9"/>
      <c r="Y830" s="9"/>
      <c r="Z830" s="9"/>
      <c r="AA830" s="9"/>
      <c r="AB830" s="9"/>
      <c r="AC830" s="9"/>
      <c r="AD830" s="9"/>
    </row>
    <row r="831" spans="1:30" ht="13.5" customHeight="1" x14ac:dyDescent="0.25">
      <c r="A831" s="2"/>
      <c r="B831" s="2"/>
      <c r="C831" s="2"/>
      <c r="D831" s="2"/>
      <c r="E831" s="2"/>
      <c r="F831" s="2"/>
      <c r="G831" s="2"/>
      <c r="H831" s="2"/>
      <c r="I831" s="2"/>
      <c r="J831" s="2"/>
      <c r="K831" s="2"/>
      <c r="L831" s="2"/>
      <c r="M831" s="2"/>
      <c r="N831" s="2"/>
      <c r="O831" s="2"/>
      <c r="P831" s="2"/>
      <c r="Q831" s="2"/>
      <c r="R831" s="9"/>
      <c r="S831" s="9"/>
      <c r="T831" s="9"/>
      <c r="U831" s="9"/>
      <c r="V831" s="9"/>
      <c r="W831" s="9"/>
      <c r="X831" s="9"/>
      <c r="Y831" s="9"/>
      <c r="Z831" s="9"/>
      <c r="AA831" s="9"/>
      <c r="AB831" s="9"/>
      <c r="AC831" s="9"/>
      <c r="AD831" s="9"/>
    </row>
    <row r="832" spans="1:30" ht="13.5" customHeight="1" x14ac:dyDescent="0.25">
      <c r="A832" s="2"/>
      <c r="B832" s="2"/>
      <c r="C832" s="2"/>
      <c r="D832" s="2"/>
      <c r="E832" s="2"/>
      <c r="F832" s="2"/>
      <c r="G832" s="2"/>
      <c r="H832" s="2"/>
      <c r="I832" s="2"/>
      <c r="J832" s="2"/>
      <c r="K832" s="2"/>
      <c r="L832" s="2"/>
      <c r="M832" s="2"/>
      <c r="N832" s="2"/>
      <c r="O832" s="2"/>
      <c r="P832" s="2"/>
      <c r="Q832" s="2"/>
      <c r="R832" s="9"/>
      <c r="S832" s="9"/>
      <c r="T832" s="9"/>
      <c r="U832" s="9"/>
      <c r="V832" s="9"/>
      <c r="W832" s="9"/>
      <c r="X832" s="9"/>
      <c r="Y832" s="9"/>
      <c r="Z832" s="9"/>
      <c r="AA832" s="9"/>
      <c r="AB832" s="9"/>
      <c r="AC832" s="9"/>
      <c r="AD832" s="9"/>
    </row>
    <row r="833" spans="1:30" ht="13.5" customHeight="1" x14ac:dyDescent="0.25">
      <c r="A833" s="2"/>
      <c r="B833" s="2"/>
      <c r="C833" s="2"/>
      <c r="D833" s="2"/>
      <c r="E833" s="2"/>
      <c r="F833" s="2"/>
      <c r="G833" s="2"/>
      <c r="H833" s="2"/>
      <c r="I833" s="2"/>
      <c r="J833" s="2"/>
      <c r="K833" s="2"/>
      <c r="L833" s="2"/>
      <c r="M833" s="2"/>
      <c r="N833" s="2"/>
      <c r="O833" s="2"/>
      <c r="P833" s="2"/>
      <c r="Q833" s="2"/>
      <c r="R833" s="9"/>
      <c r="S833" s="9"/>
      <c r="T833" s="9"/>
      <c r="U833" s="9"/>
      <c r="V833" s="9"/>
      <c r="W833" s="9"/>
      <c r="X833" s="9"/>
      <c r="Y833" s="9"/>
      <c r="Z833" s="9"/>
      <c r="AA833" s="9"/>
      <c r="AB833" s="9"/>
      <c r="AC833" s="9"/>
      <c r="AD833" s="9"/>
    </row>
    <row r="834" spans="1:30" ht="13.5" customHeight="1" x14ac:dyDescent="0.25">
      <c r="A834" s="2"/>
      <c r="B834" s="2"/>
      <c r="C834" s="2"/>
      <c r="D834" s="2"/>
      <c r="E834" s="2"/>
      <c r="F834" s="2"/>
      <c r="G834" s="2"/>
      <c r="H834" s="2"/>
      <c r="I834" s="2"/>
      <c r="J834" s="2"/>
      <c r="K834" s="2"/>
      <c r="L834" s="2"/>
      <c r="M834" s="2"/>
      <c r="N834" s="2"/>
      <c r="O834" s="2"/>
      <c r="P834" s="2"/>
      <c r="Q834" s="2"/>
      <c r="R834" s="9"/>
      <c r="S834" s="9"/>
      <c r="T834" s="9"/>
      <c r="U834" s="9"/>
      <c r="V834" s="9"/>
      <c r="W834" s="9"/>
      <c r="X834" s="9"/>
      <c r="Y834" s="9"/>
      <c r="Z834" s="9"/>
      <c r="AA834" s="9"/>
      <c r="AB834" s="9"/>
      <c r="AC834" s="9"/>
      <c r="AD834" s="9"/>
    </row>
    <row r="835" spans="1:30" ht="13.5" customHeight="1" x14ac:dyDescent="0.25">
      <c r="A835" s="2"/>
      <c r="B835" s="2"/>
      <c r="C835" s="2"/>
      <c r="D835" s="2"/>
      <c r="E835" s="2"/>
      <c r="F835" s="2"/>
      <c r="G835" s="2"/>
      <c r="H835" s="2"/>
      <c r="I835" s="2"/>
      <c r="J835" s="2"/>
      <c r="K835" s="2"/>
      <c r="L835" s="2"/>
      <c r="M835" s="2"/>
      <c r="N835" s="2"/>
      <c r="O835" s="2"/>
      <c r="P835" s="2"/>
      <c r="Q835" s="2"/>
      <c r="R835" s="9"/>
      <c r="S835" s="9"/>
      <c r="T835" s="9"/>
      <c r="U835" s="9"/>
      <c r="V835" s="9"/>
      <c r="W835" s="9"/>
      <c r="X835" s="9"/>
      <c r="Y835" s="9"/>
      <c r="Z835" s="9"/>
      <c r="AA835" s="9"/>
      <c r="AB835" s="9"/>
      <c r="AC835" s="9"/>
      <c r="AD835" s="9"/>
    </row>
    <row r="836" spans="1:30" ht="13.5" customHeight="1" x14ac:dyDescent="0.25">
      <c r="A836" s="2"/>
      <c r="B836" s="2"/>
      <c r="C836" s="2"/>
      <c r="D836" s="2"/>
      <c r="E836" s="2"/>
      <c r="F836" s="2"/>
      <c r="G836" s="2"/>
      <c r="H836" s="2"/>
      <c r="I836" s="2"/>
      <c r="J836" s="2"/>
      <c r="K836" s="2"/>
      <c r="L836" s="2"/>
      <c r="M836" s="2"/>
      <c r="N836" s="2"/>
      <c r="O836" s="2"/>
      <c r="P836" s="2"/>
      <c r="Q836" s="2"/>
      <c r="R836" s="9"/>
      <c r="S836" s="9"/>
      <c r="T836" s="9"/>
      <c r="U836" s="9"/>
      <c r="V836" s="9"/>
      <c r="W836" s="9"/>
      <c r="X836" s="9"/>
      <c r="Y836" s="9"/>
      <c r="Z836" s="9"/>
      <c r="AA836" s="9"/>
      <c r="AB836" s="9"/>
      <c r="AC836" s="9"/>
      <c r="AD836" s="9"/>
    </row>
    <row r="837" spans="1:30" ht="13.5" customHeight="1" x14ac:dyDescent="0.25">
      <c r="A837" s="2"/>
      <c r="B837" s="2"/>
      <c r="C837" s="2"/>
      <c r="D837" s="2"/>
      <c r="E837" s="2"/>
      <c r="F837" s="2"/>
      <c r="G837" s="2"/>
      <c r="H837" s="2"/>
      <c r="I837" s="2"/>
      <c r="J837" s="2"/>
      <c r="K837" s="2"/>
      <c r="L837" s="2"/>
      <c r="M837" s="2"/>
      <c r="N837" s="2"/>
      <c r="O837" s="2"/>
      <c r="P837" s="2"/>
      <c r="Q837" s="2"/>
      <c r="R837" s="9"/>
      <c r="S837" s="9"/>
      <c r="T837" s="9"/>
      <c r="U837" s="9"/>
      <c r="V837" s="9"/>
      <c r="W837" s="9"/>
      <c r="X837" s="9"/>
      <c r="Y837" s="9"/>
      <c r="Z837" s="9"/>
      <c r="AA837" s="9"/>
      <c r="AB837" s="9"/>
      <c r="AC837" s="9"/>
      <c r="AD837" s="9"/>
    </row>
    <row r="838" spans="1:30" ht="13.5" customHeight="1" x14ac:dyDescent="0.25">
      <c r="A838" s="2"/>
      <c r="B838" s="2"/>
      <c r="C838" s="2"/>
      <c r="D838" s="2"/>
      <c r="E838" s="2"/>
      <c r="F838" s="2"/>
      <c r="G838" s="2"/>
      <c r="H838" s="2"/>
      <c r="I838" s="2"/>
      <c r="J838" s="2"/>
      <c r="K838" s="2"/>
      <c r="L838" s="2"/>
      <c r="M838" s="2"/>
      <c r="N838" s="2"/>
      <c r="O838" s="2"/>
      <c r="P838" s="2"/>
      <c r="Q838" s="2"/>
      <c r="R838" s="9"/>
      <c r="S838" s="9"/>
      <c r="T838" s="9"/>
      <c r="U838" s="9"/>
      <c r="V838" s="9"/>
      <c r="W838" s="9"/>
      <c r="X838" s="9"/>
      <c r="Y838" s="9"/>
      <c r="Z838" s="9"/>
      <c r="AA838" s="9"/>
      <c r="AB838" s="9"/>
      <c r="AC838" s="9"/>
      <c r="AD838" s="9"/>
    </row>
    <row r="839" spans="1:30" ht="13.5" customHeight="1" x14ac:dyDescent="0.25">
      <c r="A839" s="2"/>
      <c r="B839" s="2"/>
      <c r="C839" s="2"/>
      <c r="D839" s="2"/>
      <c r="E839" s="2"/>
      <c r="F839" s="2"/>
      <c r="G839" s="2"/>
      <c r="H839" s="2"/>
      <c r="I839" s="2"/>
      <c r="J839" s="2"/>
      <c r="K839" s="2"/>
      <c r="L839" s="2"/>
      <c r="M839" s="2"/>
      <c r="N839" s="2"/>
      <c r="O839" s="2"/>
      <c r="P839" s="2"/>
      <c r="Q839" s="2"/>
      <c r="R839" s="9"/>
      <c r="S839" s="9"/>
      <c r="T839" s="9"/>
      <c r="U839" s="9"/>
      <c r="V839" s="9"/>
      <c r="W839" s="9"/>
      <c r="X839" s="9"/>
      <c r="Y839" s="9"/>
      <c r="Z839" s="9"/>
      <c r="AA839" s="9"/>
      <c r="AB839" s="9"/>
      <c r="AC839" s="9"/>
      <c r="AD839" s="9"/>
    </row>
    <row r="840" spans="1:30" ht="13.5" customHeight="1" x14ac:dyDescent="0.25">
      <c r="A840" s="2"/>
      <c r="B840" s="2"/>
      <c r="C840" s="2"/>
      <c r="D840" s="2"/>
      <c r="E840" s="2"/>
      <c r="F840" s="2"/>
      <c r="G840" s="2"/>
      <c r="H840" s="2"/>
      <c r="I840" s="2"/>
      <c r="J840" s="2"/>
      <c r="K840" s="2"/>
      <c r="L840" s="2"/>
      <c r="M840" s="2"/>
      <c r="N840" s="2"/>
      <c r="O840" s="2"/>
      <c r="P840" s="2"/>
      <c r="Q840" s="2"/>
      <c r="R840" s="9"/>
      <c r="S840" s="9"/>
      <c r="T840" s="9"/>
      <c r="U840" s="9"/>
      <c r="V840" s="9"/>
      <c r="W840" s="9"/>
      <c r="X840" s="9"/>
      <c r="Y840" s="9"/>
      <c r="Z840" s="9"/>
      <c r="AA840" s="9"/>
      <c r="AB840" s="9"/>
      <c r="AC840" s="9"/>
      <c r="AD840" s="9"/>
    </row>
    <row r="841" spans="1:30" ht="13.5" customHeight="1" x14ac:dyDescent="0.25">
      <c r="A841" s="2"/>
      <c r="B841" s="2"/>
      <c r="C841" s="2"/>
      <c r="D841" s="2"/>
      <c r="E841" s="2"/>
      <c r="F841" s="2"/>
      <c r="G841" s="2"/>
      <c r="H841" s="2"/>
      <c r="I841" s="2"/>
      <c r="J841" s="2"/>
      <c r="K841" s="2"/>
      <c r="L841" s="2"/>
      <c r="M841" s="2"/>
      <c r="N841" s="2"/>
      <c r="O841" s="2"/>
      <c r="P841" s="2"/>
      <c r="Q841" s="2"/>
      <c r="R841" s="9"/>
      <c r="S841" s="9"/>
      <c r="T841" s="9"/>
      <c r="U841" s="9"/>
      <c r="V841" s="9"/>
      <c r="W841" s="9"/>
      <c r="X841" s="9"/>
      <c r="Y841" s="9"/>
      <c r="Z841" s="9"/>
      <c r="AA841" s="9"/>
      <c r="AB841" s="9"/>
      <c r="AC841" s="9"/>
      <c r="AD841" s="9"/>
    </row>
    <row r="842" spans="1:30" ht="13.5" customHeight="1" x14ac:dyDescent="0.25">
      <c r="A842" s="2"/>
      <c r="B842" s="2"/>
      <c r="C842" s="2"/>
      <c r="D842" s="2"/>
      <c r="E842" s="2"/>
      <c r="F842" s="2"/>
      <c r="G842" s="2"/>
      <c r="H842" s="2"/>
      <c r="I842" s="2"/>
      <c r="J842" s="2"/>
      <c r="K842" s="2"/>
      <c r="L842" s="2"/>
      <c r="M842" s="2"/>
      <c r="N842" s="2"/>
      <c r="O842" s="2"/>
      <c r="P842" s="2"/>
      <c r="Q842" s="2"/>
      <c r="R842" s="9"/>
      <c r="S842" s="9"/>
      <c r="T842" s="9"/>
      <c r="U842" s="9"/>
      <c r="V842" s="9"/>
      <c r="W842" s="9"/>
      <c r="X842" s="9"/>
      <c r="Y842" s="9"/>
      <c r="Z842" s="9"/>
      <c r="AA842" s="9"/>
      <c r="AB842" s="9"/>
      <c r="AC842" s="9"/>
      <c r="AD842" s="9"/>
    </row>
    <row r="843" spans="1:30" ht="13.5" customHeight="1" x14ac:dyDescent="0.25">
      <c r="A843" s="2"/>
      <c r="B843" s="2"/>
      <c r="C843" s="2"/>
      <c r="D843" s="2"/>
      <c r="E843" s="2"/>
      <c r="F843" s="2"/>
      <c r="G843" s="2"/>
      <c r="H843" s="2"/>
      <c r="I843" s="2"/>
      <c r="J843" s="2"/>
      <c r="K843" s="2"/>
      <c r="L843" s="2"/>
      <c r="M843" s="2"/>
      <c r="N843" s="2"/>
      <c r="O843" s="2"/>
      <c r="P843" s="2"/>
      <c r="Q843" s="2"/>
      <c r="R843" s="9"/>
      <c r="S843" s="9"/>
      <c r="T843" s="9"/>
      <c r="U843" s="9"/>
      <c r="V843" s="9"/>
      <c r="W843" s="9"/>
      <c r="X843" s="9"/>
      <c r="Y843" s="9"/>
      <c r="Z843" s="9"/>
      <c r="AA843" s="9"/>
      <c r="AB843" s="9"/>
      <c r="AC843" s="9"/>
      <c r="AD843" s="9"/>
    </row>
    <row r="844" spans="1:30" ht="13.5" customHeight="1" x14ac:dyDescent="0.25">
      <c r="A844" s="2"/>
      <c r="B844" s="2"/>
      <c r="C844" s="2"/>
      <c r="D844" s="2"/>
      <c r="E844" s="2"/>
      <c r="F844" s="2"/>
      <c r="G844" s="2"/>
      <c r="H844" s="2"/>
      <c r="I844" s="2"/>
      <c r="J844" s="2"/>
      <c r="K844" s="2"/>
      <c r="L844" s="2"/>
      <c r="M844" s="2"/>
      <c r="N844" s="2"/>
      <c r="O844" s="2"/>
      <c r="P844" s="2"/>
      <c r="Q844" s="2"/>
      <c r="R844" s="9"/>
      <c r="S844" s="9"/>
      <c r="T844" s="9"/>
      <c r="U844" s="9"/>
      <c r="V844" s="9"/>
      <c r="W844" s="9"/>
      <c r="X844" s="9"/>
      <c r="Y844" s="9"/>
      <c r="Z844" s="9"/>
      <c r="AA844" s="9"/>
      <c r="AB844" s="9"/>
      <c r="AC844" s="9"/>
      <c r="AD844" s="9"/>
    </row>
    <row r="845" spans="1:30" ht="13.5" customHeight="1" x14ac:dyDescent="0.25">
      <c r="A845" s="2"/>
      <c r="B845" s="2"/>
      <c r="C845" s="2"/>
      <c r="D845" s="2"/>
      <c r="E845" s="2"/>
      <c r="F845" s="2"/>
      <c r="G845" s="2"/>
      <c r="H845" s="2"/>
      <c r="I845" s="2"/>
      <c r="J845" s="2"/>
      <c r="K845" s="2"/>
      <c r="L845" s="2"/>
      <c r="M845" s="2"/>
      <c r="N845" s="2"/>
      <c r="O845" s="2"/>
      <c r="P845" s="2"/>
      <c r="Q845" s="2"/>
      <c r="R845" s="9"/>
      <c r="S845" s="9"/>
      <c r="T845" s="9"/>
      <c r="U845" s="9"/>
      <c r="V845" s="9"/>
      <c r="W845" s="9"/>
      <c r="X845" s="9"/>
      <c r="Y845" s="9"/>
      <c r="Z845" s="9"/>
      <c r="AA845" s="9"/>
      <c r="AB845" s="9"/>
      <c r="AC845" s="9"/>
      <c r="AD845" s="9"/>
    </row>
    <row r="846" spans="1:30" ht="13.5" customHeight="1" x14ac:dyDescent="0.25">
      <c r="A846" s="2"/>
      <c r="B846" s="2"/>
      <c r="C846" s="2"/>
      <c r="D846" s="2"/>
      <c r="E846" s="2"/>
      <c r="F846" s="2"/>
      <c r="G846" s="2"/>
      <c r="H846" s="2"/>
      <c r="I846" s="2"/>
      <c r="J846" s="2"/>
      <c r="K846" s="2"/>
      <c r="L846" s="2"/>
      <c r="M846" s="2"/>
      <c r="N846" s="2"/>
      <c r="O846" s="2"/>
      <c r="P846" s="2"/>
      <c r="Q846" s="2"/>
      <c r="R846" s="9"/>
      <c r="S846" s="9"/>
      <c r="T846" s="9"/>
      <c r="U846" s="9"/>
      <c r="V846" s="9"/>
      <c r="W846" s="9"/>
      <c r="X846" s="9"/>
      <c r="Y846" s="9"/>
      <c r="Z846" s="9"/>
      <c r="AA846" s="9"/>
      <c r="AB846" s="9"/>
      <c r="AC846" s="9"/>
      <c r="AD846" s="9"/>
    </row>
    <row r="847" spans="1:30" ht="13.5" customHeight="1" x14ac:dyDescent="0.25">
      <c r="A847" s="2"/>
      <c r="B847" s="2"/>
      <c r="C847" s="2"/>
      <c r="D847" s="2"/>
      <c r="E847" s="2"/>
      <c r="F847" s="2"/>
      <c r="G847" s="2"/>
      <c r="H847" s="2"/>
      <c r="I847" s="2"/>
      <c r="J847" s="2"/>
      <c r="K847" s="2"/>
      <c r="L847" s="2"/>
      <c r="M847" s="2"/>
      <c r="N847" s="2"/>
      <c r="O847" s="2"/>
      <c r="P847" s="2"/>
      <c r="Q847" s="2"/>
      <c r="R847" s="9"/>
      <c r="S847" s="9"/>
      <c r="T847" s="9"/>
      <c r="U847" s="9"/>
      <c r="V847" s="9"/>
      <c r="W847" s="9"/>
      <c r="X847" s="9"/>
      <c r="Y847" s="9"/>
      <c r="Z847" s="9"/>
      <c r="AA847" s="9"/>
      <c r="AB847" s="9"/>
      <c r="AC847" s="9"/>
      <c r="AD847" s="9"/>
    </row>
    <row r="848" spans="1:30" ht="13.5" customHeight="1" x14ac:dyDescent="0.25">
      <c r="A848" s="2"/>
      <c r="B848" s="2"/>
      <c r="C848" s="2"/>
      <c r="D848" s="2"/>
      <c r="E848" s="2"/>
      <c r="F848" s="2"/>
      <c r="G848" s="2"/>
      <c r="H848" s="2"/>
      <c r="I848" s="2"/>
      <c r="J848" s="2"/>
      <c r="K848" s="2"/>
      <c r="L848" s="2"/>
      <c r="M848" s="2"/>
      <c r="N848" s="2"/>
      <c r="O848" s="2"/>
      <c r="P848" s="2"/>
      <c r="Q848" s="2"/>
      <c r="R848" s="9"/>
      <c r="S848" s="9"/>
      <c r="T848" s="9"/>
      <c r="U848" s="9"/>
      <c r="V848" s="9"/>
      <c r="W848" s="9"/>
      <c r="X848" s="9"/>
      <c r="Y848" s="9"/>
      <c r="Z848" s="9"/>
      <c r="AA848" s="9"/>
      <c r="AB848" s="9"/>
      <c r="AC848" s="9"/>
      <c r="AD848" s="9"/>
    </row>
    <row r="849" spans="1:30" ht="13.5" customHeight="1" x14ac:dyDescent="0.25">
      <c r="A849" s="2"/>
      <c r="B849" s="2"/>
      <c r="C849" s="2"/>
      <c r="D849" s="2"/>
      <c r="E849" s="2"/>
      <c r="F849" s="2"/>
      <c r="G849" s="2"/>
      <c r="H849" s="2"/>
      <c r="I849" s="2"/>
      <c r="J849" s="2"/>
      <c r="K849" s="2"/>
      <c r="L849" s="2"/>
      <c r="M849" s="2"/>
      <c r="N849" s="2"/>
      <c r="O849" s="2"/>
      <c r="P849" s="2"/>
      <c r="Q849" s="2"/>
      <c r="R849" s="9"/>
      <c r="S849" s="9"/>
      <c r="T849" s="9"/>
      <c r="U849" s="9"/>
      <c r="V849" s="9"/>
      <c r="W849" s="9"/>
      <c r="X849" s="9"/>
      <c r="Y849" s="9"/>
      <c r="Z849" s="9"/>
      <c r="AA849" s="9"/>
      <c r="AB849" s="9"/>
      <c r="AC849" s="9"/>
      <c r="AD849" s="9"/>
    </row>
    <row r="850" spans="1:30" ht="13.5" customHeight="1" x14ac:dyDescent="0.25">
      <c r="A850" s="2"/>
      <c r="B850" s="2"/>
      <c r="C850" s="2"/>
      <c r="D850" s="2"/>
      <c r="E850" s="2"/>
      <c r="F850" s="2"/>
      <c r="G850" s="2"/>
      <c r="H850" s="2"/>
      <c r="I850" s="2"/>
      <c r="J850" s="2"/>
      <c r="K850" s="2"/>
      <c r="L850" s="2"/>
      <c r="M850" s="2"/>
      <c r="N850" s="2"/>
      <c r="O850" s="2"/>
      <c r="P850" s="2"/>
      <c r="Q850" s="2"/>
      <c r="R850" s="9"/>
      <c r="S850" s="9"/>
      <c r="T850" s="9"/>
      <c r="U850" s="9"/>
      <c r="V850" s="9"/>
      <c r="W850" s="9"/>
      <c r="X850" s="9"/>
      <c r="Y850" s="9"/>
      <c r="Z850" s="9"/>
      <c r="AA850" s="9"/>
      <c r="AB850" s="9"/>
      <c r="AC850" s="9"/>
      <c r="AD850" s="9"/>
    </row>
    <row r="851" spans="1:30" ht="13.5" customHeight="1" x14ac:dyDescent="0.25">
      <c r="A851" s="2"/>
      <c r="B851" s="2"/>
      <c r="C851" s="2"/>
      <c r="D851" s="2"/>
      <c r="E851" s="2"/>
      <c r="F851" s="2"/>
      <c r="G851" s="2"/>
      <c r="H851" s="2"/>
      <c r="I851" s="2"/>
      <c r="J851" s="2"/>
      <c r="K851" s="2"/>
      <c r="L851" s="2"/>
      <c r="M851" s="2"/>
      <c r="N851" s="2"/>
      <c r="O851" s="2"/>
      <c r="P851" s="2"/>
      <c r="Q851" s="2"/>
      <c r="R851" s="9"/>
      <c r="S851" s="9"/>
      <c r="T851" s="9"/>
      <c r="U851" s="9"/>
      <c r="V851" s="9"/>
      <c r="W851" s="9"/>
      <c r="X851" s="9"/>
      <c r="Y851" s="9"/>
      <c r="Z851" s="9"/>
      <c r="AA851" s="9"/>
      <c r="AB851" s="9"/>
      <c r="AC851" s="9"/>
      <c r="AD851" s="9"/>
    </row>
    <row r="852" spans="1:30" ht="13.5" customHeight="1" x14ac:dyDescent="0.25">
      <c r="A852" s="2"/>
      <c r="B852" s="2"/>
      <c r="C852" s="2"/>
      <c r="D852" s="2"/>
      <c r="E852" s="2"/>
      <c r="F852" s="2"/>
      <c r="G852" s="2"/>
      <c r="H852" s="2"/>
      <c r="I852" s="2"/>
      <c r="J852" s="2"/>
      <c r="K852" s="2"/>
      <c r="L852" s="2"/>
      <c r="M852" s="2"/>
      <c r="N852" s="2"/>
      <c r="O852" s="2"/>
      <c r="P852" s="2"/>
      <c r="Q852" s="2"/>
      <c r="R852" s="9"/>
      <c r="S852" s="9"/>
      <c r="T852" s="9"/>
      <c r="U852" s="9"/>
      <c r="V852" s="9"/>
      <c r="W852" s="9"/>
      <c r="X852" s="9"/>
      <c r="Y852" s="9"/>
      <c r="Z852" s="9"/>
      <c r="AA852" s="9"/>
      <c r="AB852" s="9"/>
      <c r="AC852" s="9"/>
      <c r="AD852" s="9"/>
    </row>
    <row r="853" spans="1:30" ht="13.5" customHeight="1" x14ac:dyDescent="0.25">
      <c r="A853" s="2"/>
      <c r="B853" s="2"/>
      <c r="C853" s="2"/>
      <c r="D853" s="2"/>
      <c r="E853" s="2"/>
      <c r="F853" s="2"/>
      <c r="G853" s="2"/>
      <c r="H853" s="2"/>
      <c r="I853" s="2"/>
      <c r="J853" s="2"/>
      <c r="K853" s="2"/>
      <c r="L853" s="2"/>
      <c r="M853" s="2"/>
      <c r="N853" s="2"/>
      <c r="O853" s="2"/>
      <c r="P853" s="2"/>
      <c r="Q853" s="2"/>
      <c r="R853" s="9"/>
      <c r="S853" s="9"/>
      <c r="T853" s="9"/>
      <c r="U853" s="9"/>
      <c r="V853" s="9"/>
      <c r="W853" s="9"/>
      <c r="X853" s="9"/>
      <c r="Y853" s="9"/>
      <c r="Z853" s="9"/>
      <c r="AA853" s="9"/>
      <c r="AB853" s="9"/>
      <c r="AC853" s="9"/>
      <c r="AD853" s="9"/>
    </row>
    <row r="854" spans="1:30" ht="13.5" customHeight="1" x14ac:dyDescent="0.25">
      <c r="A854" s="2"/>
      <c r="B854" s="2"/>
      <c r="C854" s="2"/>
      <c r="D854" s="2"/>
      <c r="E854" s="2"/>
      <c r="F854" s="2"/>
      <c r="G854" s="2"/>
      <c r="H854" s="2"/>
      <c r="I854" s="2"/>
      <c r="J854" s="2"/>
      <c r="K854" s="2"/>
      <c r="L854" s="2"/>
      <c r="M854" s="2"/>
      <c r="N854" s="2"/>
      <c r="O854" s="2"/>
      <c r="P854" s="2"/>
      <c r="Q854" s="2"/>
      <c r="R854" s="9"/>
      <c r="S854" s="9"/>
      <c r="T854" s="9"/>
      <c r="U854" s="9"/>
      <c r="V854" s="9"/>
      <c r="W854" s="9"/>
      <c r="X854" s="9"/>
      <c r="Y854" s="9"/>
      <c r="Z854" s="9"/>
      <c r="AA854" s="9"/>
      <c r="AB854" s="9"/>
      <c r="AC854" s="9"/>
      <c r="AD854" s="9"/>
    </row>
    <row r="855" spans="1:30" ht="13.5" customHeight="1" x14ac:dyDescent="0.25">
      <c r="A855" s="2"/>
      <c r="B855" s="2"/>
      <c r="C855" s="2"/>
      <c r="D855" s="2"/>
      <c r="E855" s="2"/>
      <c r="F855" s="2"/>
      <c r="G855" s="2"/>
      <c r="H855" s="2"/>
      <c r="I855" s="2"/>
      <c r="J855" s="2"/>
      <c r="K855" s="2"/>
      <c r="L855" s="2"/>
      <c r="M855" s="2"/>
      <c r="N855" s="2"/>
      <c r="O855" s="2"/>
      <c r="P855" s="2"/>
      <c r="Q855" s="2"/>
      <c r="R855" s="9"/>
      <c r="S855" s="9"/>
      <c r="T855" s="9"/>
      <c r="U855" s="9"/>
      <c r="V855" s="9"/>
      <c r="W855" s="9"/>
      <c r="X855" s="9"/>
      <c r="Y855" s="9"/>
      <c r="Z855" s="9"/>
      <c r="AA855" s="9"/>
      <c r="AB855" s="9"/>
      <c r="AC855" s="9"/>
      <c r="AD855" s="9"/>
    </row>
    <row r="856" spans="1:30" ht="13.5" customHeight="1" x14ac:dyDescent="0.25">
      <c r="A856" s="2"/>
      <c r="B856" s="2"/>
      <c r="C856" s="2"/>
      <c r="D856" s="2"/>
      <c r="E856" s="2"/>
      <c r="F856" s="2"/>
      <c r="G856" s="2"/>
      <c r="H856" s="2"/>
      <c r="I856" s="2"/>
      <c r="J856" s="2"/>
      <c r="K856" s="2"/>
      <c r="L856" s="2"/>
      <c r="M856" s="2"/>
      <c r="N856" s="2"/>
      <c r="O856" s="2"/>
      <c r="P856" s="2"/>
      <c r="Q856" s="2"/>
      <c r="R856" s="9"/>
      <c r="S856" s="9"/>
      <c r="T856" s="9"/>
      <c r="U856" s="9"/>
      <c r="V856" s="9"/>
      <c r="W856" s="9"/>
      <c r="X856" s="9"/>
      <c r="Y856" s="9"/>
      <c r="Z856" s="9"/>
      <c r="AA856" s="9"/>
      <c r="AB856" s="9"/>
      <c r="AC856" s="9"/>
      <c r="AD856" s="9"/>
    </row>
    <row r="857" spans="1:30" ht="13.5" customHeight="1" x14ac:dyDescent="0.25">
      <c r="A857" s="2"/>
      <c r="B857" s="2"/>
      <c r="C857" s="2"/>
      <c r="D857" s="2"/>
      <c r="E857" s="2"/>
      <c r="F857" s="2"/>
      <c r="G857" s="2"/>
      <c r="H857" s="2"/>
      <c r="I857" s="2"/>
      <c r="J857" s="2"/>
      <c r="K857" s="2"/>
      <c r="L857" s="2"/>
      <c r="M857" s="2"/>
      <c r="N857" s="2"/>
      <c r="O857" s="2"/>
      <c r="P857" s="2"/>
      <c r="Q857" s="2"/>
      <c r="R857" s="9"/>
      <c r="S857" s="9"/>
      <c r="T857" s="9"/>
      <c r="U857" s="9"/>
      <c r="V857" s="9"/>
      <c r="W857" s="9"/>
      <c r="X857" s="9"/>
      <c r="Y857" s="9"/>
      <c r="Z857" s="9"/>
      <c r="AA857" s="9"/>
      <c r="AB857" s="9"/>
      <c r="AC857" s="9"/>
      <c r="AD857" s="9"/>
    </row>
    <row r="858" spans="1:30" ht="13.5" customHeight="1" x14ac:dyDescent="0.25">
      <c r="A858" s="2"/>
      <c r="B858" s="2"/>
      <c r="C858" s="2"/>
      <c r="D858" s="2"/>
      <c r="E858" s="2"/>
      <c r="F858" s="2"/>
      <c r="G858" s="2"/>
      <c r="H858" s="2"/>
      <c r="I858" s="2"/>
      <c r="J858" s="2"/>
      <c r="K858" s="2"/>
      <c r="L858" s="2"/>
      <c r="M858" s="2"/>
      <c r="N858" s="2"/>
      <c r="O858" s="2"/>
      <c r="P858" s="2"/>
      <c r="Q858" s="2"/>
      <c r="R858" s="9"/>
      <c r="S858" s="9"/>
      <c r="T858" s="9"/>
      <c r="U858" s="9"/>
      <c r="V858" s="9"/>
      <c r="W858" s="9"/>
      <c r="X858" s="9"/>
      <c r="Y858" s="9"/>
      <c r="Z858" s="9"/>
      <c r="AA858" s="9"/>
      <c r="AB858" s="9"/>
      <c r="AC858" s="9"/>
      <c r="AD858" s="9"/>
    </row>
    <row r="859" spans="1:30" ht="13.5" customHeight="1" x14ac:dyDescent="0.25">
      <c r="A859" s="2"/>
      <c r="B859" s="2"/>
      <c r="C859" s="2"/>
      <c r="D859" s="2"/>
      <c r="E859" s="2"/>
      <c r="F859" s="2"/>
      <c r="G859" s="2"/>
      <c r="H859" s="2"/>
      <c r="I859" s="2"/>
      <c r="J859" s="2"/>
      <c r="K859" s="2"/>
      <c r="L859" s="2"/>
      <c r="M859" s="2"/>
      <c r="N859" s="2"/>
      <c r="O859" s="2"/>
      <c r="P859" s="2"/>
      <c r="Q859" s="2"/>
      <c r="R859" s="9"/>
      <c r="S859" s="9"/>
      <c r="T859" s="9"/>
      <c r="U859" s="9"/>
      <c r="V859" s="9"/>
      <c r="W859" s="9"/>
      <c r="X859" s="9"/>
      <c r="Y859" s="9"/>
      <c r="Z859" s="9"/>
      <c r="AA859" s="9"/>
      <c r="AB859" s="9"/>
      <c r="AC859" s="9"/>
      <c r="AD859" s="9"/>
    </row>
    <row r="860" spans="1:30" ht="13.5" customHeight="1" x14ac:dyDescent="0.25">
      <c r="A860" s="2"/>
      <c r="B860" s="2"/>
      <c r="C860" s="2"/>
      <c r="D860" s="2"/>
      <c r="E860" s="2"/>
      <c r="F860" s="2"/>
      <c r="G860" s="2"/>
      <c r="H860" s="2"/>
      <c r="I860" s="2"/>
      <c r="J860" s="2"/>
      <c r="K860" s="2"/>
      <c r="L860" s="2"/>
      <c r="M860" s="2"/>
      <c r="N860" s="2"/>
      <c r="O860" s="2"/>
      <c r="P860" s="2"/>
      <c r="Q860" s="2"/>
      <c r="R860" s="9"/>
      <c r="S860" s="9"/>
      <c r="T860" s="9"/>
      <c r="U860" s="9"/>
      <c r="V860" s="9"/>
      <c r="W860" s="9"/>
      <c r="X860" s="9"/>
      <c r="Y860" s="9"/>
      <c r="Z860" s="9"/>
      <c r="AA860" s="9"/>
      <c r="AB860" s="9"/>
      <c r="AC860" s="9"/>
      <c r="AD860" s="9"/>
    </row>
    <row r="861" spans="1:30" ht="13.5" customHeight="1" x14ac:dyDescent="0.25">
      <c r="A861" s="2"/>
      <c r="B861" s="2"/>
      <c r="C861" s="2"/>
      <c r="D861" s="2"/>
      <c r="E861" s="2"/>
      <c r="F861" s="2"/>
      <c r="G861" s="2"/>
      <c r="H861" s="2"/>
      <c r="I861" s="2"/>
      <c r="J861" s="2"/>
      <c r="K861" s="2"/>
      <c r="L861" s="2"/>
      <c r="M861" s="2"/>
      <c r="N861" s="2"/>
      <c r="O861" s="2"/>
      <c r="P861" s="2"/>
      <c r="Q861" s="2"/>
      <c r="R861" s="9"/>
      <c r="S861" s="9"/>
      <c r="T861" s="9"/>
      <c r="U861" s="9"/>
      <c r="V861" s="9"/>
      <c r="W861" s="9"/>
      <c r="X861" s="9"/>
      <c r="Y861" s="9"/>
      <c r="Z861" s="9"/>
      <c r="AA861" s="9"/>
      <c r="AB861" s="9"/>
      <c r="AC861" s="9"/>
      <c r="AD861" s="9"/>
    </row>
    <row r="862" spans="1:30" ht="13.5" customHeight="1" x14ac:dyDescent="0.25">
      <c r="A862" s="2"/>
      <c r="B862" s="2"/>
      <c r="C862" s="2"/>
      <c r="D862" s="2"/>
      <c r="E862" s="2"/>
      <c r="F862" s="2"/>
      <c r="G862" s="2"/>
      <c r="H862" s="2"/>
      <c r="I862" s="2"/>
      <c r="J862" s="2"/>
      <c r="K862" s="2"/>
      <c r="L862" s="2"/>
      <c r="M862" s="2"/>
      <c r="N862" s="2"/>
      <c r="O862" s="2"/>
      <c r="P862" s="2"/>
      <c r="Q862" s="2"/>
      <c r="R862" s="9"/>
      <c r="S862" s="9"/>
      <c r="T862" s="9"/>
      <c r="U862" s="9"/>
      <c r="V862" s="9"/>
      <c r="W862" s="9"/>
      <c r="X862" s="9"/>
      <c r="Y862" s="9"/>
      <c r="Z862" s="9"/>
      <c r="AA862" s="9"/>
      <c r="AB862" s="9"/>
      <c r="AC862" s="9"/>
      <c r="AD862" s="9"/>
    </row>
    <row r="863" spans="1:30" ht="13.5" customHeight="1" x14ac:dyDescent="0.25">
      <c r="A863" s="2"/>
      <c r="B863" s="2"/>
      <c r="C863" s="2"/>
      <c r="D863" s="2"/>
      <c r="E863" s="2"/>
      <c r="F863" s="2"/>
      <c r="G863" s="2"/>
      <c r="H863" s="2"/>
      <c r="I863" s="2"/>
      <c r="J863" s="2"/>
      <c r="K863" s="2"/>
      <c r="L863" s="2"/>
      <c r="M863" s="2"/>
      <c r="N863" s="2"/>
      <c r="O863" s="2"/>
      <c r="P863" s="2"/>
      <c r="Q863" s="2"/>
      <c r="R863" s="9"/>
      <c r="S863" s="9"/>
      <c r="T863" s="9"/>
      <c r="U863" s="9"/>
      <c r="V863" s="9"/>
      <c r="W863" s="9"/>
      <c r="X863" s="9"/>
      <c r="Y863" s="9"/>
      <c r="Z863" s="9"/>
      <c r="AA863" s="9"/>
      <c r="AB863" s="9"/>
      <c r="AC863" s="9"/>
      <c r="AD863" s="9"/>
    </row>
    <row r="864" spans="1:30" ht="13.5" customHeight="1" x14ac:dyDescent="0.25">
      <c r="A864" s="2"/>
      <c r="B864" s="2"/>
      <c r="C864" s="2"/>
      <c r="D864" s="2"/>
      <c r="E864" s="2"/>
      <c r="F864" s="2"/>
      <c r="G864" s="2"/>
      <c r="H864" s="2"/>
      <c r="I864" s="2"/>
      <c r="J864" s="2"/>
      <c r="K864" s="2"/>
      <c r="L864" s="2"/>
      <c r="M864" s="2"/>
      <c r="N864" s="2"/>
      <c r="O864" s="2"/>
      <c r="P864" s="2"/>
      <c r="Q864" s="2"/>
      <c r="R864" s="9"/>
      <c r="S864" s="9"/>
      <c r="T864" s="9"/>
      <c r="U864" s="9"/>
      <c r="V864" s="9"/>
      <c r="W864" s="9"/>
      <c r="X864" s="9"/>
      <c r="Y864" s="9"/>
      <c r="Z864" s="9"/>
      <c r="AA864" s="9"/>
      <c r="AB864" s="9"/>
      <c r="AC864" s="9"/>
      <c r="AD864" s="9"/>
    </row>
    <row r="865" spans="1:30" ht="13.5" customHeight="1" x14ac:dyDescent="0.25">
      <c r="A865" s="2"/>
      <c r="B865" s="2"/>
      <c r="C865" s="2"/>
      <c r="D865" s="2"/>
      <c r="E865" s="2"/>
      <c r="F865" s="2"/>
      <c r="G865" s="2"/>
      <c r="H865" s="2"/>
      <c r="I865" s="2"/>
      <c r="J865" s="2"/>
      <c r="K865" s="2"/>
      <c r="L865" s="2"/>
      <c r="M865" s="2"/>
      <c r="N865" s="2"/>
      <c r="O865" s="2"/>
      <c r="P865" s="2"/>
      <c r="Q865" s="2"/>
      <c r="R865" s="9"/>
      <c r="S865" s="9"/>
      <c r="T865" s="9"/>
      <c r="U865" s="9"/>
      <c r="V865" s="9"/>
      <c r="W865" s="9"/>
      <c r="X865" s="9"/>
      <c r="Y865" s="9"/>
      <c r="Z865" s="9"/>
      <c r="AA865" s="9"/>
      <c r="AB865" s="9"/>
      <c r="AC865" s="9"/>
      <c r="AD865" s="9"/>
    </row>
    <row r="866" spans="1:30" ht="13.5" customHeight="1" x14ac:dyDescent="0.25">
      <c r="A866" s="2"/>
      <c r="B866" s="2"/>
      <c r="C866" s="2"/>
      <c r="D866" s="2"/>
      <c r="E866" s="2"/>
      <c r="F866" s="2"/>
      <c r="G866" s="2"/>
      <c r="H866" s="2"/>
      <c r="I866" s="2"/>
      <c r="J866" s="2"/>
      <c r="K866" s="2"/>
      <c r="L866" s="2"/>
      <c r="M866" s="2"/>
      <c r="N866" s="2"/>
      <c r="O866" s="2"/>
      <c r="P866" s="2"/>
      <c r="Q866" s="2"/>
      <c r="R866" s="9"/>
      <c r="S866" s="9"/>
      <c r="T866" s="9"/>
      <c r="U866" s="9"/>
      <c r="V866" s="9"/>
      <c r="W866" s="9"/>
      <c r="X866" s="9"/>
      <c r="Y866" s="9"/>
      <c r="Z866" s="9"/>
      <c r="AA866" s="9"/>
      <c r="AB866" s="9"/>
      <c r="AC866" s="9"/>
      <c r="AD866" s="9"/>
    </row>
    <row r="867" spans="1:30" ht="13.5" customHeight="1" x14ac:dyDescent="0.25">
      <c r="A867" s="2"/>
      <c r="B867" s="2"/>
      <c r="C867" s="2"/>
      <c r="D867" s="2"/>
      <c r="E867" s="2"/>
      <c r="F867" s="2"/>
      <c r="G867" s="2"/>
      <c r="H867" s="2"/>
      <c r="I867" s="2"/>
      <c r="J867" s="2"/>
      <c r="K867" s="2"/>
      <c r="L867" s="2"/>
      <c r="M867" s="2"/>
      <c r="N867" s="2"/>
      <c r="O867" s="2"/>
      <c r="P867" s="2"/>
      <c r="Q867" s="2"/>
      <c r="R867" s="9"/>
      <c r="S867" s="9"/>
      <c r="T867" s="9"/>
      <c r="U867" s="9"/>
      <c r="V867" s="9"/>
      <c r="W867" s="9"/>
      <c r="X867" s="9"/>
      <c r="Y867" s="9"/>
      <c r="Z867" s="9"/>
      <c r="AA867" s="9"/>
      <c r="AB867" s="9"/>
      <c r="AC867" s="9"/>
      <c r="AD867" s="9"/>
    </row>
    <row r="868" spans="1:30" ht="13.5" customHeight="1" x14ac:dyDescent="0.25">
      <c r="A868" s="2"/>
      <c r="B868" s="2"/>
      <c r="C868" s="2"/>
      <c r="D868" s="2"/>
      <c r="E868" s="2"/>
      <c r="F868" s="2"/>
      <c r="G868" s="2"/>
      <c r="H868" s="2"/>
      <c r="I868" s="2"/>
      <c r="J868" s="2"/>
      <c r="K868" s="2"/>
      <c r="L868" s="2"/>
      <c r="M868" s="2"/>
      <c r="N868" s="2"/>
      <c r="O868" s="2"/>
      <c r="P868" s="2"/>
      <c r="Q868" s="2"/>
      <c r="R868" s="9"/>
      <c r="S868" s="9"/>
      <c r="T868" s="9"/>
      <c r="U868" s="9"/>
      <c r="V868" s="9"/>
      <c r="W868" s="9"/>
      <c r="X868" s="9"/>
      <c r="Y868" s="9"/>
      <c r="Z868" s="9"/>
      <c r="AA868" s="9"/>
      <c r="AB868" s="9"/>
      <c r="AC868" s="9"/>
      <c r="AD868" s="9"/>
    </row>
    <row r="869" spans="1:30" ht="13.5" customHeight="1" x14ac:dyDescent="0.25">
      <c r="A869" s="2"/>
      <c r="B869" s="2"/>
      <c r="C869" s="2"/>
      <c r="D869" s="2"/>
      <c r="E869" s="2"/>
      <c r="F869" s="2"/>
      <c r="G869" s="2"/>
      <c r="H869" s="2"/>
      <c r="I869" s="2"/>
      <c r="J869" s="2"/>
      <c r="K869" s="2"/>
      <c r="L869" s="2"/>
      <c r="M869" s="2"/>
      <c r="N869" s="2"/>
      <c r="O869" s="2"/>
      <c r="P869" s="2"/>
      <c r="Q869" s="2"/>
      <c r="R869" s="9"/>
      <c r="S869" s="9"/>
      <c r="T869" s="9"/>
      <c r="U869" s="9"/>
      <c r="V869" s="9"/>
      <c r="W869" s="9"/>
      <c r="X869" s="9"/>
      <c r="Y869" s="9"/>
      <c r="Z869" s="9"/>
      <c r="AA869" s="9"/>
      <c r="AB869" s="9"/>
      <c r="AC869" s="9"/>
      <c r="AD869" s="9"/>
    </row>
    <row r="870" spans="1:30" ht="13.5" customHeight="1" x14ac:dyDescent="0.25">
      <c r="A870" s="2"/>
      <c r="B870" s="2"/>
      <c r="C870" s="2"/>
      <c r="D870" s="2"/>
      <c r="E870" s="2"/>
      <c r="F870" s="2"/>
      <c r="G870" s="2"/>
      <c r="H870" s="2"/>
      <c r="I870" s="2"/>
      <c r="J870" s="2"/>
      <c r="K870" s="2"/>
      <c r="L870" s="2"/>
      <c r="M870" s="2"/>
      <c r="N870" s="2"/>
      <c r="O870" s="2"/>
      <c r="P870" s="2"/>
      <c r="Q870" s="2"/>
      <c r="R870" s="9"/>
      <c r="S870" s="9"/>
      <c r="T870" s="9"/>
      <c r="U870" s="9"/>
      <c r="V870" s="9"/>
      <c r="W870" s="9"/>
      <c r="X870" s="9"/>
      <c r="Y870" s="9"/>
      <c r="Z870" s="9"/>
      <c r="AA870" s="9"/>
      <c r="AB870" s="9"/>
      <c r="AC870" s="9"/>
      <c r="AD870" s="9"/>
    </row>
    <row r="871" spans="1:30" ht="13.5" customHeight="1" x14ac:dyDescent="0.25">
      <c r="A871" s="2"/>
      <c r="B871" s="2"/>
      <c r="C871" s="2"/>
      <c r="D871" s="2"/>
      <c r="E871" s="2"/>
      <c r="F871" s="2"/>
      <c r="G871" s="2"/>
      <c r="H871" s="2"/>
      <c r="I871" s="2"/>
      <c r="J871" s="2"/>
      <c r="K871" s="2"/>
      <c r="L871" s="2"/>
      <c r="M871" s="2"/>
      <c r="N871" s="2"/>
      <c r="O871" s="2"/>
      <c r="P871" s="2"/>
      <c r="Q871" s="2"/>
      <c r="R871" s="9"/>
      <c r="S871" s="9"/>
      <c r="T871" s="9"/>
      <c r="U871" s="9"/>
      <c r="V871" s="9"/>
      <c r="W871" s="9"/>
      <c r="X871" s="9"/>
      <c r="Y871" s="9"/>
      <c r="Z871" s="9"/>
      <c r="AA871" s="9"/>
      <c r="AB871" s="9"/>
      <c r="AC871" s="9"/>
      <c r="AD871" s="9"/>
    </row>
    <row r="872" spans="1:30" ht="13.5" customHeight="1" x14ac:dyDescent="0.25">
      <c r="A872" s="2"/>
      <c r="B872" s="2"/>
      <c r="C872" s="2"/>
      <c r="D872" s="2"/>
      <c r="E872" s="2"/>
      <c r="F872" s="2"/>
      <c r="G872" s="2"/>
      <c r="H872" s="2"/>
      <c r="I872" s="2"/>
      <c r="J872" s="2"/>
      <c r="K872" s="2"/>
      <c r="L872" s="2"/>
      <c r="M872" s="2"/>
      <c r="N872" s="2"/>
      <c r="O872" s="2"/>
      <c r="P872" s="2"/>
      <c r="Q872" s="2"/>
      <c r="R872" s="9"/>
      <c r="S872" s="9"/>
      <c r="T872" s="9"/>
      <c r="U872" s="9"/>
      <c r="V872" s="9"/>
      <c r="W872" s="9"/>
      <c r="X872" s="9"/>
      <c r="Y872" s="9"/>
      <c r="Z872" s="9"/>
      <c r="AA872" s="9"/>
      <c r="AB872" s="9"/>
      <c r="AC872" s="9"/>
      <c r="AD872" s="9"/>
    </row>
    <row r="873" spans="1:30" ht="13.5" customHeight="1" x14ac:dyDescent="0.25">
      <c r="A873" s="2"/>
      <c r="B873" s="2"/>
      <c r="C873" s="2"/>
      <c r="D873" s="2"/>
      <c r="E873" s="2"/>
      <c r="F873" s="2"/>
      <c r="G873" s="2"/>
      <c r="H873" s="2"/>
      <c r="I873" s="2"/>
      <c r="J873" s="2"/>
      <c r="K873" s="2"/>
      <c r="L873" s="2"/>
      <c r="M873" s="2"/>
      <c r="N873" s="2"/>
      <c r="O873" s="2"/>
      <c r="P873" s="2"/>
      <c r="Q873" s="2"/>
      <c r="R873" s="9"/>
      <c r="S873" s="9"/>
      <c r="T873" s="9"/>
      <c r="U873" s="9"/>
      <c r="V873" s="9"/>
      <c r="W873" s="9"/>
      <c r="X873" s="9"/>
      <c r="Y873" s="9"/>
      <c r="Z873" s="9"/>
      <c r="AA873" s="9"/>
      <c r="AB873" s="9"/>
      <c r="AC873" s="9"/>
      <c r="AD873" s="9"/>
    </row>
    <row r="874" spans="1:30" ht="13.5" customHeight="1" x14ac:dyDescent="0.25">
      <c r="A874" s="2"/>
      <c r="B874" s="2"/>
      <c r="C874" s="2"/>
      <c r="D874" s="2"/>
      <c r="E874" s="2"/>
      <c r="F874" s="2"/>
      <c r="G874" s="2"/>
      <c r="H874" s="2"/>
      <c r="I874" s="2"/>
      <c r="J874" s="2"/>
      <c r="K874" s="2"/>
      <c r="L874" s="2"/>
      <c r="M874" s="2"/>
      <c r="N874" s="2"/>
      <c r="O874" s="2"/>
      <c r="P874" s="2"/>
      <c r="Q874" s="2"/>
      <c r="R874" s="9"/>
      <c r="S874" s="9"/>
      <c r="T874" s="9"/>
      <c r="U874" s="9"/>
      <c r="V874" s="9"/>
      <c r="W874" s="9"/>
      <c r="X874" s="9"/>
      <c r="Y874" s="9"/>
      <c r="Z874" s="9"/>
      <c r="AA874" s="9"/>
      <c r="AB874" s="9"/>
      <c r="AC874" s="9"/>
      <c r="AD874" s="9"/>
    </row>
    <row r="875" spans="1:30" ht="13.5" customHeight="1" x14ac:dyDescent="0.25">
      <c r="A875" s="2"/>
      <c r="B875" s="2"/>
      <c r="C875" s="2"/>
      <c r="D875" s="2"/>
      <c r="E875" s="2"/>
      <c r="F875" s="2"/>
      <c r="G875" s="2"/>
      <c r="H875" s="2"/>
      <c r="I875" s="2"/>
      <c r="J875" s="2"/>
      <c r="K875" s="2"/>
      <c r="L875" s="2"/>
      <c r="M875" s="2"/>
      <c r="N875" s="2"/>
      <c r="O875" s="2"/>
      <c r="P875" s="2"/>
      <c r="Q875" s="2"/>
      <c r="R875" s="9"/>
      <c r="S875" s="9"/>
      <c r="T875" s="9"/>
      <c r="U875" s="9"/>
      <c r="V875" s="9"/>
      <c r="W875" s="9"/>
      <c r="X875" s="9"/>
      <c r="Y875" s="9"/>
      <c r="Z875" s="9"/>
      <c r="AA875" s="9"/>
      <c r="AB875" s="9"/>
      <c r="AC875" s="9"/>
      <c r="AD875" s="9"/>
    </row>
    <row r="876" spans="1:30" ht="13.5" customHeight="1" x14ac:dyDescent="0.25">
      <c r="A876" s="2"/>
      <c r="B876" s="2"/>
      <c r="C876" s="2"/>
      <c r="D876" s="2"/>
      <c r="E876" s="2"/>
      <c r="F876" s="2"/>
      <c r="G876" s="2"/>
      <c r="H876" s="2"/>
      <c r="I876" s="2"/>
      <c r="J876" s="2"/>
      <c r="K876" s="2"/>
      <c r="L876" s="2"/>
      <c r="M876" s="2"/>
      <c r="N876" s="2"/>
      <c r="O876" s="2"/>
      <c r="P876" s="2"/>
      <c r="Q876" s="2"/>
      <c r="R876" s="9"/>
      <c r="S876" s="9"/>
      <c r="T876" s="9"/>
      <c r="U876" s="9"/>
      <c r="V876" s="9"/>
      <c r="W876" s="9"/>
      <c r="X876" s="9"/>
      <c r="Y876" s="9"/>
      <c r="Z876" s="9"/>
      <c r="AA876" s="9"/>
      <c r="AB876" s="9"/>
      <c r="AC876" s="9"/>
      <c r="AD876" s="9"/>
    </row>
    <row r="877" spans="1:30" ht="13.5" customHeight="1" x14ac:dyDescent="0.25">
      <c r="A877" s="2"/>
      <c r="B877" s="2"/>
      <c r="C877" s="2"/>
      <c r="D877" s="2"/>
      <c r="E877" s="2"/>
      <c r="F877" s="2"/>
      <c r="G877" s="2"/>
      <c r="H877" s="2"/>
      <c r="I877" s="2"/>
      <c r="J877" s="2"/>
      <c r="K877" s="2"/>
      <c r="L877" s="2"/>
      <c r="M877" s="2"/>
      <c r="N877" s="2"/>
      <c r="O877" s="2"/>
      <c r="P877" s="2"/>
      <c r="Q877" s="2"/>
      <c r="R877" s="9"/>
      <c r="S877" s="9"/>
      <c r="T877" s="9"/>
      <c r="U877" s="9"/>
      <c r="V877" s="9"/>
      <c r="W877" s="9"/>
      <c r="X877" s="9"/>
      <c r="Y877" s="9"/>
      <c r="Z877" s="9"/>
      <c r="AA877" s="9"/>
      <c r="AB877" s="9"/>
      <c r="AC877" s="9"/>
      <c r="AD877" s="9"/>
    </row>
    <row r="878" spans="1:30" ht="13.5" customHeight="1" x14ac:dyDescent="0.25">
      <c r="A878" s="2"/>
      <c r="B878" s="2"/>
      <c r="C878" s="2"/>
      <c r="D878" s="2"/>
      <c r="E878" s="2"/>
      <c r="F878" s="2"/>
      <c r="G878" s="2"/>
      <c r="H878" s="2"/>
      <c r="I878" s="2"/>
      <c r="J878" s="2"/>
      <c r="K878" s="2"/>
      <c r="L878" s="2"/>
      <c r="M878" s="2"/>
      <c r="N878" s="2"/>
      <c r="O878" s="2"/>
      <c r="P878" s="2"/>
      <c r="Q878" s="2"/>
      <c r="R878" s="9"/>
      <c r="S878" s="9"/>
      <c r="T878" s="9"/>
      <c r="U878" s="9"/>
      <c r="V878" s="9"/>
      <c r="W878" s="9"/>
      <c r="X878" s="9"/>
      <c r="Y878" s="9"/>
      <c r="Z878" s="9"/>
      <c r="AA878" s="9"/>
      <c r="AB878" s="9"/>
      <c r="AC878" s="9"/>
      <c r="AD878" s="9"/>
    </row>
    <row r="879" spans="1:30" ht="13.5" customHeight="1" x14ac:dyDescent="0.25">
      <c r="A879" s="2"/>
      <c r="B879" s="2"/>
      <c r="C879" s="2"/>
      <c r="D879" s="2"/>
      <c r="E879" s="2"/>
      <c r="F879" s="2"/>
      <c r="G879" s="2"/>
      <c r="H879" s="2"/>
      <c r="I879" s="2"/>
      <c r="J879" s="2"/>
      <c r="K879" s="2"/>
      <c r="L879" s="2"/>
      <c r="M879" s="2"/>
      <c r="N879" s="2"/>
      <c r="O879" s="2"/>
      <c r="P879" s="2"/>
      <c r="Q879" s="2"/>
      <c r="R879" s="9"/>
      <c r="S879" s="9"/>
      <c r="T879" s="9"/>
      <c r="U879" s="9"/>
      <c r="V879" s="9"/>
      <c r="W879" s="9"/>
      <c r="X879" s="9"/>
      <c r="Y879" s="9"/>
      <c r="Z879" s="9"/>
      <c r="AA879" s="9"/>
      <c r="AB879" s="9"/>
      <c r="AC879" s="9"/>
      <c r="AD879" s="9"/>
    </row>
    <row r="880" spans="1:30" ht="13.5" customHeight="1" x14ac:dyDescent="0.25">
      <c r="A880" s="2"/>
      <c r="B880" s="2"/>
      <c r="C880" s="2"/>
      <c r="D880" s="2"/>
      <c r="E880" s="2"/>
      <c r="F880" s="2"/>
      <c r="G880" s="2"/>
      <c r="H880" s="2"/>
      <c r="I880" s="2"/>
      <c r="J880" s="2"/>
      <c r="K880" s="2"/>
      <c r="L880" s="2"/>
      <c r="M880" s="2"/>
      <c r="N880" s="2"/>
      <c r="O880" s="2"/>
      <c r="P880" s="2"/>
      <c r="Q880" s="2"/>
      <c r="R880" s="9"/>
      <c r="S880" s="9"/>
      <c r="T880" s="9"/>
      <c r="U880" s="9"/>
      <c r="V880" s="9"/>
      <c r="W880" s="9"/>
      <c r="X880" s="9"/>
      <c r="Y880" s="9"/>
      <c r="Z880" s="9"/>
      <c r="AA880" s="9"/>
      <c r="AB880" s="9"/>
      <c r="AC880" s="9"/>
      <c r="AD880" s="9"/>
    </row>
    <row r="881" spans="1:30" ht="13.5" customHeight="1" x14ac:dyDescent="0.25">
      <c r="A881" s="2"/>
      <c r="B881" s="2"/>
      <c r="C881" s="2"/>
      <c r="D881" s="2"/>
      <c r="E881" s="2"/>
      <c r="F881" s="2"/>
      <c r="G881" s="2"/>
      <c r="H881" s="2"/>
      <c r="I881" s="2"/>
      <c r="J881" s="2"/>
      <c r="K881" s="2"/>
      <c r="L881" s="2"/>
      <c r="M881" s="2"/>
      <c r="N881" s="2"/>
      <c r="O881" s="2"/>
      <c r="P881" s="2"/>
      <c r="Q881" s="2"/>
      <c r="R881" s="9"/>
      <c r="S881" s="9"/>
      <c r="T881" s="9"/>
      <c r="U881" s="9"/>
      <c r="V881" s="9"/>
      <c r="W881" s="9"/>
      <c r="X881" s="9"/>
      <c r="Y881" s="9"/>
      <c r="Z881" s="9"/>
      <c r="AA881" s="9"/>
      <c r="AB881" s="9"/>
      <c r="AC881" s="9"/>
      <c r="AD881" s="9"/>
    </row>
    <row r="882" spans="1:30" ht="13.5" customHeight="1" x14ac:dyDescent="0.25">
      <c r="A882" s="2"/>
      <c r="B882" s="2"/>
      <c r="C882" s="2"/>
      <c r="D882" s="2"/>
      <c r="E882" s="2"/>
      <c r="F882" s="2"/>
      <c r="G882" s="2"/>
      <c r="H882" s="2"/>
      <c r="I882" s="2"/>
      <c r="J882" s="2"/>
      <c r="K882" s="2"/>
      <c r="L882" s="2"/>
      <c r="M882" s="2"/>
      <c r="N882" s="2"/>
      <c r="O882" s="2"/>
      <c r="P882" s="2"/>
      <c r="Q882" s="2"/>
      <c r="R882" s="9"/>
      <c r="S882" s="9"/>
      <c r="T882" s="9"/>
      <c r="U882" s="9"/>
      <c r="V882" s="9"/>
      <c r="W882" s="9"/>
      <c r="X882" s="9"/>
      <c r="Y882" s="9"/>
      <c r="Z882" s="9"/>
      <c r="AA882" s="9"/>
      <c r="AB882" s="9"/>
      <c r="AC882" s="9"/>
      <c r="AD882" s="9"/>
    </row>
    <row r="883" spans="1:30" ht="13.5" customHeight="1" x14ac:dyDescent="0.25">
      <c r="A883" s="2"/>
      <c r="B883" s="2"/>
      <c r="C883" s="2"/>
      <c r="D883" s="2"/>
      <c r="E883" s="2"/>
      <c r="F883" s="2"/>
      <c r="G883" s="2"/>
      <c r="H883" s="2"/>
      <c r="I883" s="2"/>
      <c r="J883" s="2"/>
      <c r="K883" s="2"/>
      <c r="L883" s="2"/>
      <c r="M883" s="2"/>
      <c r="N883" s="2"/>
      <c r="O883" s="2"/>
      <c r="P883" s="2"/>
      <c r="Q883" s="2"/>
      <c r="R883" s="9"/>
      <c r="S883" s="9"/>
      <c r="T883" s="9"/>
      <c r="U883" s="9"/>
      <c r="V883" s="9"/>
      <c r="W883" s="9"/>
      <c r="X883" s="9"/>
      <c r="Y883" s="9"/>
      <c r="Z883" s="9"/>
      <c r="AA883" s="9"/>
      <c r="AB883" s="9"/>
      <c r="AC883" s="9"/>
      <c r="AD883" s="9"/>
    </row>
    <row r="884" spans="1:30" ht="13.5" customHeight="1" x14ac:dyDescent="0.25">
      <c r="A884" s="2"/>
      <c r="B884" s="2"/>
      <c r="C884" s="2"/>
      <c r="D884" s="2"/>
      <c r="E884" s="2"/>
      <c r="F884" s="2"/>
      <c r="G884" s="2"/>
      <c r="H884" s="2"/>
      <c r="I884" s="2"/>
      <c r="J884" s="2"/>
      <c r="K884" s="2"/>
      <c r="L884" s="2"/>
      <c r="M884" s="2"/>
      <c r="N884" s="2"/>
      <c r="O884" s="2"/>
      <c r="P884" s="2"/>
      <c r="Q884" s="2"/>
      <c r="R884" s="9"/>
      <c r="S884" s="9"/>
      <c r="T884" s="9"/>
      <c r="U884" s="9"/>
      <c r="V884" s="9"/>
      <c r="W884" s="9"/>
      <c r="X884" s="9"/>
      <c r="Y884" s="9"/>
      <c r="Z884" s="9"/>
      <c r="AA884" s="9"/>
      <c r="AB884" s="9"/>
      <c r="AC884" s="9"/>
      <c r="AD884" s="9"/>
    </row>
    <row r="885" spans="1:30" ht="13.5" customHeight="1" x14ac:dyDescent="0.25">
      <c r="A885" s="2"/>
      <c r="B885" s="2"/>
      <c r="C885" s="2"/>
      <c r="D885" s="2"/>
      <c r="E885" s="2"/>
      <c r="F885" s="2"/>
      <c r="G885" s="2"/>
      <c r="H885" s="2"/>
      <c r="I885" s="2"/>
      <c r="J885" s="2"/>
      <c r="K885" s="2"/>
      <c r="L885" s="2"/>
      <c r="M885" s="2"/>
      <c r="N885" s="2"/>
      <c r="O885" s="2"/>
      <c r="P885" s="2"/>
      <c r="Q885" s="2"/>
      <c r="R885" s="9"/>
      <c r="S885" s="9"/>
      <c r="T885" s="9"/>
      <c r="U885" s="9"/>
      <c r="V885" s="9"/>
      <c r="W885" s="9"/>
      <c r="X885" s="9"/>
      <c r="Y885" s="9"/>
      <c r="Z885" s="9"/>
      <c r="AA885" s="9"/>
      <c r="AB885" s="9"/>
      <c r="AC885" s="9"/>
      <c r="AD885" s="9"/>
    </row>
    <row r="886" spans="1:30" ht="13.5" customHeight="1" x14ac:dyDescent="0.25">
      <c r="A886" s="2"/>
      <c r="B886" s="2"/>
      <c r="C886" s="2"/>
      <c r="D886" s="2"/>
      <c r="E886" s="2"/>
      <c r="F886" s="2"/>
      <c r="G886" s="2"/>
      <c r="H886" s="2"/>
      <c r="I886" s="2"/>
      <c r="J886" s="2"/>
      <c r="K886" s="2"/>
      <c r="L886" s="2"/>
      <c r="M886" s="2"/>
      <c r="N886" s="2"/>
      <c r="O886" s="2"/>
      <c r="P886" s="2"/>
      <c r="Q886" s="2"/>
      <c r="R886" s="9"/>
      <c r="S886" s="9"/>
      <c r="T886" s="9"/>
      <c r="U886" s="9"/>
      <c r="V886" s="9"/>
      <c r="W886" s="9"/>
      <c r="X886" s="9"/>
      <c r="Y886" s="9"/>
      <c r="Z886" s="9"/>
      <c r="AA886" s="9"/>
      <c r="AB886" s="9"/>
      <c r="AC886" s="9"/>
      <c r="AD886" s="9"/>
    </row>
    <row r="887" spans="1:30" ht="13.5" customHeight="1" x14ac:dyDescent="0.25">
      <c r="A887" s="2"/>
      <c r="B887" s="2"/>
      <c r="C887" s="2"/>
      <c r="D887" s="2"/>
      <c r="E887" s="2"/>
      <c r="F887" s="2"/>
      <c r="G887" s="2"/>
      <c r="H887" s="2"/>
      <c r="I887" s="2"/>
      <c r="J887" s="2"/>
      <c r="K887" s="2"/>
      <c r="L887" s="2"/>
      <c r="M887" s="2"/>
      <c r="N887" s="2"/>
      <c r="O887" s="2"/>
      <c r="P887" s="2"/>
      <c r="Q887" s="2"/>
      <c r="R887" s="9"/>
      <c r="S887" s="9"/>
      <c r="T887" s="9"/>
      <c r="U887" s="9"/>
      <c r="V887" s="9"/>
      <c r="W887" s="9"/>
      <c r="X887" s="9"/>
      <c r="Y887" s="9"/>
      <c r="Z887" s="9"/>
      <c r="AA887" s="9"/>
      <c r="AB887" s="9"/>
      <c r="AC887" s="9"/>
      <c r="AD887" s="9"/>
    </row>
    <row r="888" spans="1:30" ht="13.5" customHeight="1" x14ac:dyDescent="0.25">
      <c r="A888" s="2"/>
      <c r="B888" s="2"/>
      <c r="C888" s="2"/>
      <c r="D888" s="2"/>
      <c r="E888" s="2"/>
      <c r="F888" s="2"/>
      <c r="G888" s="2"/>
      <c r="H888" s="2"/>
      <c r="I888" s="2"/>
      <c r="J888" s="2"/>
      <c r="K888" s="2"/>
      <c r="L888" s="2"/>
      <c r="M888" s="2"/>
      <c r="N888" s="2"/>
      <c r="O888" s="2"/>
      <c r="P888" s="2"/>
      <c r="Q888" s="2"/>
      <c r="R888" s="9"/>
      <c r="S888" s="9"/>
      <c r="T888" s="9"/>
      <c r="U888" s="9"/>
      <c r="V888" s="9"/>
      <c r="W888" s="9"/>
      <c r="X888" s="9"/>
      <c r="Y888" s="9"/>
      <c r="Z888" s="9"/>
      <c r="AA888" s="9"/>
      <c r="AB888" s="9"/>
      <c r="AC888" s="9"/>
      <c r="AD888" s="9"/>
    </row>
    <row r="889" spans="1:30" ht="13.5" customHeight="1" x14ac:dyDescent="0.25">
      <c r="A889" s="2"/>
      <c r="B889" s="2"/>
      <c r="C889" s="2"/>
      <c r="D889" s="2"/>
      <c r="E889" s="2"/>
      <c r="F889" s="2"/>
      <c r="G889" s="2"/>
      <c r="H889" s="2"/>
      <c r="I889" s="2"/>
      <c r="J889" s="2"/>
      <c r="K889" s="2"/>
      <c r="L889" s="2"/>
      <c r="M889" s="2"/>
      <c r="N889" s="2"/>
      <c r="O889" s="2"/>
      <c r="P889" s="2"/>
      <c r="Q889" s="2"/>
      <c r="R889" s="9"/>
      <c r="S889" s="9"/>
      <c r="T889" s="9"/>
      <c r="U889" s="9"/>
      <c r="V889" s="9"/>
      <c r="W889" s="9"/>
      <c r="X889" s="9"/>
      <c r="Y889" s="9"/>
      <c r="Z889" s="9"/>
      <c r="AA889" s="9"/>
      <c r="AB889" s="9"/>
      <c r="AC889" s="9"/>
      <c r="AD889" s="9"/>
    </row>
    <row r="890" spans="1:30" ht="13.5" customHeight="1" x14ac:dyDescent="0.25">
      <c r="A890" s="2"/>
      <c r="B890" s="2"/>
      <c r="C890" s="2"/>
      <c r="D890" s="2"/>
      <c r="E890" s="2"/>
      <c r="F890" s="2"/>
      <c r="G890" s="2"/>
      <c r="H890" s="2"/>
      <c r="I890" s="2"/>
      <c r="J890" s="2"/>
      <c r="K890" s="2"/>
      <c r="L890" s="2"/>
      <c r="M890" s="2"/>
      <c r="N890" s="2"/>
      <c r="O890" s="2"/>
      <c r="P890" s="2"/>
      <c r="Q890" s="2"/>
      <c r="R890" s="9"/>
      <c r="S890" s="9"/>
      <c r="T890" s="9"/>
      <c r="U890" s="9"/>
      <c r="V890" s="9"/>
      <c r="W890" s="9"/>
      <c r="X890" s="9"/>
      <c r="Y890" s="9"/>
      <c r="Z890" s="9"/>
      <c r="AA890" s="9"/>
      <c r="AB890" s="9"/>
      <c r="AC890" s="9"/>
      <c r="AD890" s="9"/>
    </row>
    <row r="891" spans="1:30" ht="13.5" customHeight="1" x14ac:dyDescent="0.25">
      <c r="A891" s="2"/>
      <c r="B891" s="2"/>
      <c r="C891" s="2"/>
      <c r="D891" s="2"/>
      <c r="E891" s="2"/>
      <c r="F891" s="2"/>
      <c r="G891" s="2"/>
      <c r="H891" s="2"/>
      <c r="I891" s="2"/>
      <c r="J891" s="2"/>
      <c r="K891" s="2"/>
      <c r="L891" s="2"/>
      <c r="M891" s="2"/>
      <c r="N891" s="2"/>
      <c r="O891" s="2"/>
      <c r="P891" s="2"/>
      <c r="Q891" s="2"/>
      <c r="R891" s="9"/>
      <c r="S891" s="9"/>
      <c r="T891" s="9"/>
      <c r="U891" s="9"/>
      <c r="V891" s="9"/>
      <c r="W891" s="9"/>
      <c r="X891" s="9"/>
      <c r="Y891" s="9"/>
      <c r="Z891" s="9"/>
      <c r="AA891" s="9"/>
      <c r="AB891" s="9"/>
      <c r="AC891" s="9"/>
      <c r="AD891" s="9"/>
    </row>
    <row r="892" spans="1:30" ht="13.5" customHeight="1" x14ac:dyDescent="0.25">
      <c r="A892" s="2"/>
      <c r="B892" s="2"/>
      <c r="C892" s="2"/>
      <c r="D892" s="2"/>
      <c r="E892" s="2"/>
      <c r="F892" s="2"/>
      <c r="G892" s="2"/>
      <c r="H892" s="2"/>
      <c r="I892" s="2"/>
      <c r="J892" s="2"/>
      <c r="K892" s="2"/>
      <c r="L892" s="2"/>
      <c r="M892" s="2"/>
      <c r="N892" s="2"/>
      <c r="O892" s="2"/>
      <c r="P892" s="2"/>
      <c r="Q892" s="2"/>
      <c r="R892" s="9"/>
      <c r="S892" s="9"/>
      <c r="T892" s="9"/>
      <c r="U892" s="9"/>
      <c r="V892" s="9"/>
      <c r="W892" s="9"/>
      <c r="X892" s="9"/>
      <c r="Y892" s="9"/>
      <c r="Z892" s="9"/>
      <c r="AA892" s="9"/>
      <c r="AB892" s="9"/>
      <c r="AC892" s="9"/>
      <c r="AD892" s="9"/>
    </row>
    <row r="893" spans="1:30" ht="13.5" customHeight="1" x14ac:dyDescent="0.25">
      <c r="A893" s="2"/>
      <c r="B893" s="2"/>
      <c r="C893" s="2"/>
      <c r="D893" s="2"/>
      <c r="E893" s="2"/>
      <c r="F893" s="2"/>
      <c r="G893" s="2"/>
      <c r="H893" s="2"/>
      <c r="I893" s="2"/>
      <c r="J893" s="2"/>
      <c r="K893" s="2"/>
      <c r="L893" s="2"/>
      <c r="M893" s="2"/>
      <c r="N893" s="2"/>
      <c r="O893" s="2"/>
      <c r="P893" s="2"/>
      <c r="Q893" s="2"/>
      <c r="R893" s="9"/>
      <c r="S893" s="9"/>
      <c r="T893" s="9"/>
      <c r="U893" s="9"/>
      <c r="V893" s="9"/>
      <c r="W893" s="9"/>
      <c r="X893" s="9"/>
      <c r="Y893" s="9"/>
      <c r="Z893" s="9"/>
      <c r="AA893" s="9"/>
      <c r="AB893" s="9"/>
      <c r="AC893" s="9"/>
      <c r="AD893" s="9"/>
    </row>
    <row r="894" spans="1:30" ht="13.5" customHeight="1" x14ac:dyDescent="0.25">
      <c r="A894" s="2"/>
      <c r="B894" s="2"/>
      <c r="C894" s="2"/>
      <c r="D894" s="2"/>
      <c r="E894" s="2"/>
      <c r="F894" s="2"/>
      <c r="G894" s="2"/>
      <c r="H894" s="2"/>
      <c r="I894" s="2"/>
      <c r="J894" s="2"/>
      <c r="K894" s="2"/>
      <c r="L894" s="2"/>
      <c r="M894" s="2"/>
      <c r="N894" s="2"/>
      <c r="O894" s="2"/>
      <c r="P894" s="2"/>
      <c r="Q894" s="2"/>
      <c r="R894" s="9"/>
      <c r="S894" s="9"/>
      <c r="T894" s="9"/>
      <c r="U894" s="9"/>
      <c r="V894" s="9"/>
      <c r="W894" s="9"/>
      <c r="X894" s="9"/>
      <c r="Y894" s="9"/>
      <c r="Z894" s="9"/>
      <c r="AA894" s="9"/>
      <c r="AB894" s="9"/>
      <c r="AC894" s="9"/>
      <c r="AD894" s="9"/>
    </row>
    <row r="895" spans="1:30" ht="13.5" customHeight="1" x14ac:dyDescent="0.25">
      <c r="A895" s="2"/>
      <c r="B895" s="2"/>
      <c r="C895" s="2"/>
      <c r="D895" s="2"/>
      <c r="E895" s="2"/>
      <c r="F895" s="2"/>
      <c r="G895" s="2"/>
      <c r="H895" s="2"/>
      <c r="I895" s="2"/>
      <c r="J895" s="2"/>
      <c r="K895" s="2"/>
      <c r="L895" s="2"/>
      <c r="M895" s="2"/>
      <c r="N895" s="2"/>
      <c r="O895" s="2"/>
      <c r="P895" s="2"/>
      <c r="Q895" s="2"/>
      <c r="R895" s="9"/>
      <c r="S895" s="9"/>
      <c r="T895" s="9"/>
      <c r="U895" s="9"/>
      <c r="V895" s="9"/>
      <c r="W895" s="9"/>
      <c r="X895" s="9"/>
      <c r="Y895" s="9"/>
      <c r="Z895" s="9"/>
      <c r="AA895" s="9"/>
      <c r="AB895" s="9"/>
      <c r="AC895" s="9"/>
      <c r="AD895" s="9"/>
    </row>
    <row r="896" spans="1:30" ht="13.5" customHeight="1" x14ac:dyDescent="0.25">
      <c r="A896" s="2"/>
      <c r="B896" s="2"/>
      <c r="C896" s="2"/>
      <c r="D896" s="2"/>
      <c r="E896" s="2"/>
      <c r="F896" s="2"/>
      <c r="G896" s="2"/>
      <c r="H896" s="2"/>
      <c r="I896" s="2"/>
      <c r="J896" s="2"/>
      <c r="K896" s="2"/>
      <c r="L896" s="2"/>
      <c r="M896" s="2"/>
      <c r="N896" s="2"/>
      <c r="O896" s="2"/>
      <c r="P896" s="2"/>
      <c r="Q896" s="2"/>
      <c r="R896" s="9"/>
      <c r="S896" s="9"/>
      <c r="T896" s="9"/>
      <c r="U896" s="9"/>
      <c r="V896" s="9"/>
      <c r="W896" s="9"/>
      <c r="X896" s="9"/>
      <c r="Y896" s="9"/>
      <c r="Z896" s="9"/>
      <c r="AA896" s="9"/>
      <c r="AB896" s="9"/>
      <c r="AC896" s="9"/>
      <c r="AD896" s="9"/>
    </row>
    <row r="897" spans="1:30" ht="13.5" customHeight="1" x14ac:dyDescent="0.25">
      <c r="A897" s="2"/>
      <c r="B897" s="2"/>
      <c r="C897" s="2"/>
      <c r="D897" s="2"/>
      <c r="E897" s="2"/>
      <c r="F897" s="2"/>
      <c r="G897" s="2"/>
      <c r="H897" s="2"/>
      <c r="I897" s="2"/>
      <c r="J897" s="2"/>
      <c r="K897" s="2"/>
      <c r="L897" s="2"/>
      <c r="M897" s="2"/>
      <c r="N897" s="2"/>
      <c r="O897" s="2"/>
      <c r="P897" s="2"/>
      <c r="Q897" s="2"/>
      <c r="R897" s="9"/>
      <c r="S897" s="9"/>
      <c r="T897" s="9"/>
      <c r="U897" s="9"/>
      <c r="V897" s="9"/>
      <c r="W897" s="9"/>
      <c r="X897" s="9"/>
      <c r="Y897" s="9"/>
      <c r="Z897" s="9"/>
      <c r="AA897" s="9"/>
      <c r="AB897" s="9"/>
      <c r="AC897" s="9"/>
      <c r="AD897" s="9"/>
    </row>
    <row r="898" spans="1:30" ht="13.5" customHeight="1" x14ac:dyDescent="0.25">
      <c r="A898" s="2"/>
      <c r="B898" s="2"/>
      <c r="C898" s="2"/>
      <c r="D898" s="2"/>
      <c r="E898" s="2"/>
      <c r="F898" s="2"/>
      <c r="G898" s="2"/>
      <c r="H898" s="2"/>
      <c r="I898" s="2"/>
      <c r="J898" s="2"/>
      <c r="K898" s="2"/>
      <c r="L898" s="2"/>
      <c r="M898" s="2"/>
      <c r="N898" s="2"/>
      <c r="O898" s="2"/>
      <c r="P898" s="2"/>
      <c r="Q898" s="2"/>
      <c r="R898" s="9"/>
      <c r="S898" s="9"/>
      <c r="T898" s="9"/>
      <c r="U898" s="9"/>
      <c r="V898" s="9"/>
      <c r="W898" s="9"/>
      <c r="X898" s="9"/>
      <c r="Y898" s="9"/>
      <c r="Z898" s="9"/>
      <c r="AA898" s="9"/>
      <c r="AB898" s="9"/>
      <c r="AC898" s="9"/>
      <c r="AD898" s="9"/>
    </row>
    <row r="899" spans="1:30" ht="13.5" customHeight="1" x14ac:dyDescent="0.25">
      <c r="A899" s="2"/>
      <c r="B899" s="2"/>
      <c r="C899" s="2"/>
      <c r="D899" s="2"/>
      <c r="E899" s="2"/>
      <c r="F899" s="2"/>
      <c r="G899" s="2"/>
      <c r="H899" s="2"/>
      <c r="I899" s="2"/>
      <c r="J899" s="2"/>
      <c r="K899" s="2"/>
      <c r="L899" s="2"/>
      <c r="M899" s="2"/>
      <c r="N899" s="2"/>
      <c r="O899" s="2"/>
      <c r="P899" s="2"/>
      <c r="Q899" s="2"/>
      <c r="R899" s="9"/>
      <c r="S899" s="9"/>
      <c r="T899" s="9"/>
      <c r="U899" s="9"/>
      <c r="V899" s="9"/>
      <c r="W899" s="9"/>
      <c r="X899" s="9"/>
      <c r="Y899" s="9"/>
      <c r="Z899" s="9"/>
      <c r="AA899" s="9"/>
      <c r="AB899" s="9"/>
      <c r="AC899" s="9"/>
      <c r="AD899" s="9"/>
    </row>
    <row r="900" spans="1:30" ht="13.5" customHeight="1" x14ac:dyDescent="0.25">
      <c r="A900" s="2"/>
      <c r="B900" s="2"/>
      <c r="C900" s="2"/>
      <c r="D900" s="2"/>
      <c r="E900" s="2"/>
      <c r="F900" s="2"/>
      <c r="G900" s="2"/>
      <c r="H900" s="2"/>
      <c r="I900" s="2"/>
      <c r="J900" s="2"/>
      <c r="K900" s="2"/>
      <c r="L900" s="2"/>
      <c r="M900" s="2"/>
      <c r="N900" s="2"/>
      <c r="O900" s="2"/>
      <c r="P900" s="2"/>
      <c r="Q900" s="2"/>
      <c r="R900" s="9"/>
      <c r="S900" s="9"/>
      <c r="T900" s="9"/>
      <c r="U900" s="9"/>
      <c r="V900" s="9"/>
      <c r="W900" s="9"/>
      <c r="X900" s="9"/>
      <c r="Y900" s="9"/>
      <c r="Z900" s="9"/>
      <c r="AA900" s="9"/>
      <c r="AB900" s="9"/>
      <c r="AC900" s="9"/>
      <c r="AD900" s="9"/>
    </row>
    <row r="901" spans="1:30" ht="13.5" customHeight="1" x14ac:dyDescent="0.25">
      <c r="A901" s="2"/>
      <c r="B901" s="2"/>
      <c r="C901" s="2"/>
      <c r="D901" s="2"/>
      <c r="E901" s="2"/>
      <c r="F901" s="2"/>
      <c r="G901" s="2"/>
      <c r="H901" s="2"/>
      <c r="I901" s="2"/>
      <c r="J901" s="2"/>
      <c r="K901" s="2"/>
      <c r="L901" s="2"/>
      <c r="M901" s="2"/>
      <c r="N901" s="2"/>
      <c r="O901" s="2"/>
      <c r="P901" s="2"/>
      <c r="Q901" s="2"/>
      <c r="R901" s="9"/>
      <c r="S901" s="9"/>
      <c r="T901" s="9"/>
      <c r="U901" s="9"/>
      <c r="V901" s="9"/>
      <c r="W901" s="9"/>
      <c r="X901" s="9"/>
      <c r="Y901" s="9"/>
      <c r="Z901" s="9"/>
      <c r="AA901" s="9"/>
      <c r="AB901" s="9"/>
      <c r="AC901" s="9"/>
      <c r="AD901" s="9"/>
    </row>
    <row r="902" spans="1:30" ht="13.5" customHeight="1" x14ac:dyDescent="0.25">
      <c r="A902" s="2"/>
      <c r="B902" s="2"/>
      <c r="C902" s="2"/>
      <c r="D902" s="2"/>
      <c r="E902" s="2"/>
      <c r="F902" s="2"/>
      <c r="G902" s="2"/>
      <c r="H902" s="2"/>
      <c r="I902" s="2"/>
      <c r="J902" s="2"/>
      <c r="K902" s="2"/>
      <c r="L902" s="2"/>
      <c r="M902" s="2"/>
      <c r="N902" s="2"/>
      <c r="O902" s="2"/>
      <c r="P902" s="2"/>
      <c r="Q902" s="2"/>
      <c r="R902" s="9"/>
      <c r="S902" s="9"/>
      <c r="T902" s="9"/>
      <c r="U902" s="9"/>
      <c r="V902" s="9"/>
      <c r="W902" s="9"/>
      <c r="X902" s="9"/>
      <c r="Y902" s="9"/>
      <c r="Z902" s="9"/>
      <c r="AA902" s="9"/>
      <c r="AB902" s="9"/>
      <c r="AC902" s="9"/>
      <c r="AD902" s="9"/>
    </row>
    <row r="903" spans="1:30" ht="13.5" customHeight="1" x14ac:dyDescent="0.25">
      <c r="A903" s="2"/>
      <c r="B903" s="2"/>
      <c r="C903" s="2"/>
      <c r="D903" s="2"/>
      <c r="E903" s="2"/>
      <c r="F903" s="2"/>
      <c r="G903" s="2"/>
      <c r="H903" s="2"/>
      <c r="I903" s="2"/>
      <c r="J903" s="2"/>
      <c r="K903" s="2"/>
      <c r="L903" s="2"/>
      <c r="M903" s="2"/>
      <c r="N903" s="2"/>
      <c r="O903" s="2"/>
      <c r="P903" s="2"/>
      <c r="Q903" s="2"/>
      <c r="R903" s="9"/>
      <c r="S903" s="9"/>
      <c r="T903" s="9"/>
      <c r="U903" s="9"/>
      <c r="V903" s="9"/>
      <c r="W903" s="9"/>
      <c r="X903" s="9"/>
      <c r="Y903" s="9"/>
      <c r="Z903" s="9"/>
      <c r="AA903" s="9"/>
      <c r="AB903" s="9"/>
      <c r="AC903" s="9"/>
      <c r="AD903" s="9"/>
    </row>
    <row r="904" spans="1:30" ht="13.5" customHeight="1" x14ac:dyDescent="0.25">
      <c r="A904" s="2"/>
      <c r="B904" s="2"/>
      <c r="C904" s="2"/>
      <c r="D904" s="2"/>
      <c r="E904" s="2"/>
      <c r="F904" s="2"/>
      <c r="G904" s="2"/>
      <c r="H904" s="2"/>
      <c r="I904" s="2"/>
      <c r="J904" s="2"/>
      <c r="K904" s="2"/>
      <c r="L904" s="2"/>
      <c r="M904" s="2"/>
      <c r="N904" s="2"/>
      <c r="O904" s="2"/>
      <c r="P904" s="2"/>
      <c r="Q904" s="2"/>
      <c r="R904" s="9"/>
      <c r="S904" s="9"/>
      <c r="T904" s="9"/>
      <c r="U904" s="9"/>
      <c r="V904" s="9"/>
      <c r="W904" s="9"/>
      <c r="X904" s="9"/>
      <c r="Y904" s="9"/>
      <c r="Z904" s="9"/>
      <c r="AA904" s="9"/>
      <c r="AB904" s="9"/>
      <c r="AC904" s="9"/>
      <c r="AD904" s="9"/>
    </row>
    <row r="905" spans="1:30" ht="13.5" customHeight="1" x14ac:dyDescent="0.25">
      <c r="A905" s="2"/>
      <c r="B905" s="2"/>
      <c r="C905" s="2"/>
      <c r="D905" s="2"/>
      <c r="E905" s="2"/>
      <c r="F905" s="2"/>
      <c r="G905" s="2"/>
      <c r="H905" s="2"/>
      <c r="I905" s="2"/>
      <c r="J905" s="2"/>
      <c r="K905" s="2"/>
      <c r="L905" s="2"/>
      <c r="M905" s="2"/>
      <c r="N905" s="2"/>
      <c r="O905" s="2"/>
      <c r="P905" s="2"/>
      <c r="Q905" s="2"/>
      <c r="R905" s="9"/>
      <c r="S905" s="9"/>
      <c r="T905" s="9"/>
      <c r="U905" s="9"/>
      <c r="V905" s="9"/>
      <c r="W905" s="9"/>
      <c r="X905" s="9"/>
      <c r="Y905" s="9"/>
      <c r="Z905" s="9"/>
      <c r="AA905" s="9"/>
      <c r="AB905" s="9"/>
      <c r="AC905" s="9"/>
      <c r="AD905" s="9"/>
    </row>
    <row r="906" spans="1:30" ht="13.5" customHeight="1" x14ac:dyDescent="0.25">
      <c r="A906" s="2"/>
      <c r="B906" s="2"/>
      <c r="C906" s="2"/>
      <c r="D906" s="2"/>
      <c r="E906" s="2"/>
      <c r="F906" s="2"/>
      <c r="G906" s="2"/>
      <c r="H906" s="2"/>
      <c r="I906" s="2"/>
      <c r="J906" s="2"/>
      <c r="K906" s="2"/>
      <c r="L906" s="2"/>
      <c r="M906" s="2"/>
      <c r="N906" s="2"/>
      <c r="O906" s="2"/>
      <c r="P906" s="2"/>
      <c r="Q906" s="2"/>
      <c r="R906" s="9"/>
      <c r="S906" s="9"/>
      <c r="T906" s="9"/>
      <c r="U906" s="9"/>
      <c r="V906" s="9"/>
      <c r="W906" s="9"/>
      <c r="X906" s="9"/>
      <c r="Y906" s="9"/>
      <c r="Z906" s="9"/>
      <c r="AA906" s="9"/>
      <c r="AB906" s="9"/>
      <c r="AC906" s="9"/>
      <c r="AD906" s="9"/>
    </row>
    <row r="907" spans="1:30" ht="13.5" customHeight="1" x14ac:dyDescent="0.25">
      <c r="A907" s="2"/>
      <c r="B907" s="2"/>
      <c r="C907" s="2"/>
      <c r="D907" s="2"/>
      <c r="E907" s="2"/>
      <c r="F907" s="2"/>
      <c r="G907" s="2"/>
      <c r="H907" s="2"/>
      <c r="I907" s="2"/>
      <c r="J907" s="2"/>
      <c r="K907" s="2"/>
      <c r="L907" s="2"/>
      <c r="M907" s="2"/>
      <c r="N907" s="2"/>
      <c r="O907" s="2"/>
      <c r="P907" s="2"/>
      <c r="Q907" s="2"/>
      <c r="R907" s="9"/>
      <c r="S907" s="9"/>
      <c r="T907" s="9"/>
      <c r="U907" s="9"/>
      <c r="V907" s="9"/>
      <c r="W907" s="9"/>
      <c r="X907" s="9"/>
      <c r="Y907" s="9"/>
      <c r="Z907" s="9"/>
      <c r="AA907" s="9"/>
      <c r="AB907" s="9"/>
      <c r="AC907" s="9"/>
      <c r="AD907" s="9"/>
    </row>
    <row r="908" spans="1:30" ht="13.5" customHeight="1" x14ac:dyDescent="0.25">
      <c r="A908" s="2"/>
      <c r="B908" s="2"/>
      <c r="C908" s="2"/>
      <c r="D908" s="2"/>
      <c r="E908" s="2"/>
      <c r="F908" s="2"/>
      <c r="G908" s="2"/>
      <c r="H908" s="2"/>
      <c r="I908" s="2"/>
      <c r="J908" s="2"/>
      <c r="K908" s="2"/>
      <c r="L908" s="2"/>
      <c r="M908" s="2"/>
      <c r="N908" s="2"/>
      <c r="O908" s="2"/>
      <c r="P908" s="2"/>
      <c r="Q908" s="2"/>
      <c r="R908" s="9"/>
      <c r="S908" s="9"/>
      <c r="T908" s="9"/>
      <c r="U908" s="9"/>
      <c r="V908" s="9"/>
      <c r="W908" s="9"/>
      <c r="X908" s="9"/>
      <c r="Y908" s="9"/>
      <c r="Z908" s="9"/>
      <c r="AA908" s="9"/>
      <c r="AB908" s="9"/>
      <c r="AC908" s="9"/>
      <c r="AD908" s="9"/>
    </row>
    <row r="909" spans="1:30" ht="13.5" customHeight="1" x14ac:dyDescent="0.25">
      <c r="A909" s="2"/>
      <c r="B909" s="2"/>
      <c r="C909" s="2"/>
      <c r="D909" s="2"/>
      <c r="E909" s="2"/>
      <c r="F909" s="2"/>
      <c r="G909" s="2"/>
      <c r="H909" s="2"/>
      <c r="I909" s="2"/>
      <c r="J909" s="2"/>
      <c r="K909" s="2"/>
      <c r="L909" s="2"/>
      <c r="M909" s="2"/>
      <c r="N909" s="2"/>
      <c r="O909" s="2"/>
      <c r="P909" s="2"/>
      <c r="Q909" s="2"/>
      <c r="R909" s="9"/>
      <c r="S909" s="9"/>
      <c r="T909" s="9"/>
      <c r="U909" s="9"/>
      <c r="V909" s="9"/>
      <c r="W909" s="9"/>
      <c r="X909" s="9"/>
      <c r="Y909" s="9"/>
      <c r="Z909" s="9"/>
      <c r="AA909" s="9"/>
      <c r="AB909" s="9"/>
      <c r="AC909" s="9"/>
      <c r="AD909" s="9"/>
    </row>
    <row r="910" spans="1:30" ht="13.5" customHeight="1" x14ac:dyDescent="0.25">
      <c r="A910" s="2"/>
      <c r="B910" s="2"/>
      <c r="C910" s="2"/>
      <c r="D910" s="2"/>
      <c r="E910" s="2"/>
      <c r="F910" s="2"/>
      <c r="G910" s="2"/>
      <c r="H910" s="2"/>
      <c r="I910" s="2"/>
      <c r="J910" s="2"/>
      <c r="K910" s="2"/>
      <c r="L910" s="2"/>
      <c r="M910" s="2"/>
      <c r="N910" s="2"/>
      <c r="O910" s="2"/>
      <c r="P910" s="2"/>
      <c r="Q910" s="2"/>
      <c r="R910" s="9"/>
      <c r="S910" s="9"/>
      <c r="T910" s="9"/>
      <c r="U910" s="9"/>
      <c r="V910" s="9"/>
      <c r="W910" s="9"/>
      <c r="X910" s="9"/>
      <c r="Y910" s="9"/>
      <c r="Z910" s="9"/>
      <c r="AA910" s="9"/>
      <c r="AB910" s="9"/>
      <c r="AC910" s="9"/>
      <c r="AD910" s="9"/>
    </row>
    <row r="911" spans="1:30" ht="13.5" customHeight="1" x14ac:dyDescent="0.25">
      <c r="A911" s="2"/>
      <c r="B911" s="2"/>
      <c r="C911" s="2"/>
      <c r="D911" s="2"/>
      <c r="E911" s="2"/>
      <c r="F911" s="2"/>
      <c r="G911" s="2"/>
      <c r="H911" s="2"/>
      <c r="I911" s="2"/>
      <c r="J911" s="2"/>
      <c r="K911" s="2"/>
      <c r="L911" s="2"/>
      <c r="M911" s="2"/>
      <c r="N911" s="2"/>
      <c r="O911" s="2"/>
      <c r="P911" s="2"/>
      <c r="Q911" s="2"/>
      <c r="R911" s="9"/>
      <c r="S911" s="9"/>
      <c r="T911" s="9"/>
      <c r="U911" s="9"/>
      <c r="V911" s="9"/>
      <c r="W911" s="9"/>
      <c r="X911" s="9"/>
      <c r="Y911" s="9"/>
      <c r="Z911" s="9"/>
      <c r="AA911" s="9"/>
      <c r="AB911" s="9"/>
      <c r="AC911" s="9"/>
      <c r="AD911" s="9"/>
    </row>
    <row r="912" spans="1:30" ht="13.5" customHeight="1" x14ac:dyDescent="0.25">
      <c r="A912" s="2"/>
      <c r="B912" s="2"/>
      <c r="C912" s="2"/>
      <c r="D912" s="2"/>
      <c r="E912" s="2"/>
      <c r="F912" s="2"/>
      <c r="G912" s="2"/>
      <c r="H912" s="2"/>
      <c r="I912" s="2"/>
      <c r="J912" s="2"/>
      <c r="K912" s="2"/>
      <c r="L912" s="2"/>
      <c r="M912" s="2"/>
      <c r="N912" s="2"/>
      <c r="O912" s="2"/>
      <c r="P912" s="2"/>
      <c r="Q912" s="2"/>
      <c r="R912" s="9"/>
      <c r="S912" s="9"/>
      <c r="T912" s="9"/>
      <c r="U912" s="9"/>
      <c r="V912" s="9"/>
      <c r="W912" s="9"/>
      <c r="X912" s="9"/>
      <c r="Y912" s="9"/>
      <c r="Z912" s="9"/>
      <c r="AA912" s="9"/>
      <c r="AB912" s="9"/>
      <c r="AC912" s="9"/>
      <c r="AD912" s="9"/>
    </row>
    <row r="913" spans="1:30" ht="13.5" customHeight="1" x14ac:dyDescent="0.25">
      <c r="A913" s="2"/>
      <c r="B913" s="2"/>
      <c r="C913" s="2"/>
      <c r="D913" s="2"/>
      <c r="E913" s="2"/>
      <c r="F913" s="2"/>
      <c r="G913" s="2"/>
      <c r="H913" s="2"/>
      <c r="I913" s="2"/>
      <c r="J913" s="2"/>
      <c r="K913" s="2"/>
      <c r="L913" s="2"/>
      <c r="M913" s="2"/>
      <c r="N913" s="2"/>
      <c r="O913" s="2"/>
      <c r="P913" s="2"/>
      <c r="Q913" s="2"/>
      <c r="R913" s="9"/>
      <c r="S913" s="9"/>
      <c r="T913" s="9"/>
      <c r="U913" s="9"/>
      <c r="V913" s="9"/>
      <c r="W913" s="9"/>
      <c r="X913" s="9"/>
      <c r="Y913" s="9"/>
      <c r="Z913" s="9"/>
      <c r="AA913" s="9"/>
      <c r="AB913" s="9"/>
      <c r="AC913" s="9"/>
      <c r="AD913" s="9"/>
    </row>
    <row r="914" spans="1:30" ht="13.5" customHeight="1" x14ac:dyDescent="0.25">
      <c r="A914" s="2"/>
      <c r="B914" s="2"/>
      <c r="C914" s="2"/>
      <c r="D914" s="2"/>
      <c r="E914" s="2"/>
      <c r="F914" s="2"/>
      <c r="G914" s="2"/>
      <c r="H914" s="2"/>
      <c r="I914" s="2"/>
      <c r="J914" s="2"/>
      <c r="K914" s="2"/>
      <c r="L914" s="2"/>
      <c r="M914" s="2"/>
      <c r="N914" s="2"/>
      <c r="O914" s="2"/>
      <c r="P914" s="2"/>
      <c r="Q914" s="2"/>
      <c r="R914" s="9"/>
      <c r="S914" s="9"/>
      <c r="T914" s="9"/>
      <c r="U914" s="9"/>
      <c r="V914" s="9"/>
      <c r="W914" s="9"/>
      <c r="X914" s="9"/>
      <c r="Y914" s="9"/>
      <c r="Z914" s="9"/>
      <c r="AA914" s="9"/>
      <c r="AB914" s="9"/>
      <c r="AC914" s="9"/>
      <c r="AD914" s="9"/>
    </row>
    <row r="915" spans="1:30" ht="13.5" customHeight="1" x14ac:dyDescent="0.25">
      <c r="A915" s="2"/>
      <c r="B915" s="2"/>
      <c r="C915" s="2"/>
      <c r="D915" s="2"/>
      <c r="E915" s="2"/>
      <c r="F915" s="2"/>
      <c r="G915" s="2"/>
      <c r="H915" s="2"/>
      <c r="I915" s="2"/>
      <c r="J915" s="2"/>
      <c r="K915" s="2"/>
      <c r="L915" s="2"/>
      <c r="M915" s="2"/>
      <c r="N915" s="2"/>
      <c r="O915" s="2"/>
      <c r="P915" s="2"/>
      <c r="Q915" s="2"/>
      <c r="R915" s="9"/>
      <c r="S915" s="9"/>
      <c r="T915" s="9"/>
      <c r="U915" s="9"/>
      <c r="V915" s="9"/>
      <c r="W915" s="9"/>
      <c r="X915" s="9"/>
      <c r="Y915" s="9"/>
      <c r="Z915" s="9"/>
      <c r="AA915" s="9"/>
      <c r="AB915" s="9"/>
      <c r="AC915" s="9"/>
      <c r="AD915" s="9"/>
    </row>
    <row r="916" spans="1:30" ht="13.5" customHeight="1" x14ac:dyDescent="0.25">
      <c r="A916" s="2"/>
      <c r="B916" s="2"/>
      <c r="C916" s="2"/>
      <c r="D916" s="2"/>
      <c r="E916" s="2"/>
      <c r="F916" s="2"/>
      <c r="G916" s="2"/>
      <c r="H916" s="2"/>
      <c r="I916" s="2"/>
      <c r="J916" s="2"/>
      <c r="K916" s="2"/>
      <c r="L916" s="2"/>
      <c r="M916" s="2"/>
      <c r="N916" s="2"/>
      <c r="O916" s="2"/>
      <c r="P916" s="2"/>
      <c r="Q916" s="2"/>
      <c r="R916" s="9"/>
      <c r="S916" s="9"/>
      <c r="T916" s="9"/>
      <c r="U916" s="9"/>
      <c r="V916" s="9"/>
      <c r="W916" s="9"/>
      <c r="X916" s="9"/>
      <c r="Y916" s="9"/>
      <c r="Z916" s="9"/>
      <c r="AA916" s="9"/>
      <c r="AB916" s="9"/>
      <c r="AC916" s="9"/>
      <c r="AD916" s="9"/>
    </row>
    <row r="917" spans="1:30" ht="13.5" customHeight="1" x14ac:dyDescent="0.25">
      <c r="A917" s="2"/>
      <c r="B917" s="2"/>
      <c r="C917" s="2"/>
      <c r="D917" s="2"/>
      <c r="E917" s="2"/>
      <c r="F917" s="2"/>
      <c r="G917" s="2"/>
      <c r="H917" s="2"/>
      <c r="I917" s="2"/>
      <c r="J917" s="2"/>
      <c r="K917" s="2"/>
      <c r="L917" s="2"/>
      <c r="M917" s="2"/>
      <c r="N917" s="2"/>
      <c r="O917" s="2"/>
      <c r="P917" s="2"/>
      <c r="Q917" s="2"/>
      <c r="R917" s="9"/>
      <c r="S917" s="9"/>
      <c r="T917" s="9"/>
      <c r="U917" s="9"/>
      <c r="V917" s="9"/>
      <c r="W917" s="9"/>
      <c r="X917" s="9"/>
      <c r="Y917" s="9"/>
      <c r="Z917" s="9"/>
      <c r="AA917" s="9"/>
      <c r="AB917" s="9"/>
      <c r="AC917" s="9"/>
      <c r="AD917" s="9"/>
    </row>
    <row r="918" spans="1:30" ht="13.5" customHeight="1" x14ac:dyDescent="0.25">
      <c r="A918" s="2"/>
      <c r="B918" s="2"/>
      <c r="C918" s="2"/>
      <c r="D918" s="2"/>
      <c r="E918" s="2"/>
      <c r="F918" s="2"/>
      <c r="G918" s="2"/>
      <c r="H918" s="2"/>
      <c r="I918" s="2"/>
      <c r="J918" s="2"/>
      <c r="K918" s="2"/>
      <c r="L918" s="2"/>
      <c r="M918" s="2"/>
      <c r="N918" s="2"/>
      <c r="O918" s="2"/>
      <c r="P918" s="2"/>
      <c r="Q918" s="2"/>
      <c r="R918" s="9"/>
      <c r="S918" s="9"/>
      <c r="T918" s="9"/>
      <c r="U918" s="9"/>
      <c r="V918" s="9"/>
      <c r="W918" s="9"/>
      <c r="X918" s="9"/>
      <c r="Y918" s="9"/>
      <c r="Z918" s="9"/>
      <c r="AA918" s="9"/>
      <c r="AB918" s="9"/>
      <c r="AC918" s="9"/>
      <c r="AD918" s="9"/>
    </row>
    <row r="919" spans="1:30" ht="13.5" customHeight="1" x14ac:dyDescent="0.25">
      <c r="A919" s="2"/>
      <c r="B919" s="2"/>
      <c r="C919" s="2"/>
      <c r="D919" s="2"/>
      <c r="E919" s="2"/>
      <c r="F919" s="2"/>
      <c r="G919" s="2"/>
      <c r="H919" s="2"/>
      <c r="I919" s="2"/>
      <c r="J919" s="2"/>
      <c r="K919" s="2"/>
      <c r="L919" s="2"/>
      <c r="M919" s="2"/>
      <c r="N919" s="2"/>
      <c r="O919" s="2"/>
      <c r="P919" s="2"/>
      <c r="Q919" s="2"/>
      <c r="R919" s="9"/>
      <c r="S919" s="9"/>
      <c r="T919" s="9"/>
      <c r="U919" s="9"/>
      <c r="V919" s="9"/>
      <c r="W919" s="9"/>
      <c r="X919" s="9"/>
      <c r="Y919" s="9"/>
      <c r="Z919" s="9"/>
      <c r="AA919" s="9"/>
      <c r="AB919" s="9"/>
      <c r="AC919" s="9"/>
      <c r="AD919" s="9"/>
    </row>
    <row r="920" spans="1:30" ht="13.5" customHeight="1" x14ac:dyDescent="0.25">
      <c r="A920" s="2"/>
      <c r="B920" s="2"/>
      <c r="C920" s="2"/>
      <c r="D920" s="2"/>
      <c r="E920" s="2"/>
      <c r="F920" s="2"/>
      <c r="G920" s="2"/>
      <c r="H920" s="2"/>
      <c r="I920" s="2"/>
      <c r="J920" s="2"/>
      <c r="K920" s="2"/>
      <c r="L920" s="2"/>
      <c r="M920" s="2"/>
      <c r="N920" s="2"/>
      <c r="O920" s="2"/>
      <c r="P920" s="2"/>
      <c r="Q920" s="2"/>
      <c r="R920" s="9"/>
      <c r="S920" s="9"/>
      <c r="T920" s="9"/>
      <c r="U920" s="9"/>
      <c r="V920" s="9"/>
      <c r="W920" s="9"/>
      <c r="X920" s="9"/>
      <c r="Y920" s="9"/>
      <c r="Z920" s="9"/>
      <c r="AA920" s="9"/>
      <c r="AB920" s="9"/>
      <c r="AC920" s="9"/>
      <c r="AD920" s="9"/>
    </row>
    <row r="921" spans="1:30" ht="13.5" customHeight="1" x14ac:dyDescent="0.25">
      <c r="A921" s="2"/>
      <c r="B921" s="2"/>
      <c r="C921" s="2"/>
      <c r="D921" s="2"/>
      <c r="E921" s="2"/>
      <c r="F921" s="2"/>
      <c r="G921" s="2"/>
      <c r="H921" s="2"/>
      <c r="I921" s="2"/>
      <c r="J921" s="2"/>
      <c r="K921" s="2"/>
      <c r="L921" s="2"/>
      <c r="M921" s="2"/>
      <c r="N921" s="2"/>
      <c r="O921" s="2"/>
      <c r="P921" s="2"/>
      <c r="Q921" s="2"/>
      <c r="R921" s="9"/>
      <c r="S921" s="9"/>
      <c r="T921" s="9"/>
      <c r="U921" s="9"/>
      <c r="V921" s="9"/>
      <c r="W921" s="9"/>
      <c r="X921" s="9"/>
      <c r="Y921" s="9"/>
      <c r="Z921" s="9"/>
      <c r="AA921" s="9"/>
      <c r="AB921" s="9"/>
      <c r="AC921" s="9"/>
      <c r="AD921" s="9"/>
    </row>
    <row r="922" spans="1:30" ht="13.5" customHeight="1" x14ac:dyDescent="0.25">
      <c r="A922" s="2"/>
      <c r="B922" s="2"/>
      <c r="C922" s="2"/>
      <c r="D922" s="2"/>
      <c r="E922" s="2"/>
      <c r="F922" s="2"/>
      <c r="G922" s="2"/>
      <c r="H922" s="2"/>
      <c r="I922" s="2"/>
      <c r="J922" s="2"/>
      <c r="K922" s="2"/>
      <c r="L922" s="2"/>
      <c r="M922" s="2"/>
      <c r="N922" s="2"/>
      <c r="O922" s="2"/>
      <c r="P922" s="2"/>
      <c r="Q922" s="2"/>
      <c r="R922" s="9"/>
      <c r="S922" s="9"/>
      <c r="T922" s="9"/>
      <c r="U922" s="9"/>
      <c r="V922" s="9"/>
      <c r="W922" s="9"/>
      <c r="X922" s="9"/>
      <c r="Y922" s="9"/>
      <c r="Z922" s="9"/>
      <c r="AA922" s="9"/>
      <c r="AB922" s="9"/>
      <c r="AC922" s="9"/>
      <c r="AD922" s="9"/>
    </row>
    <row r="923" spans="1:30" ht="13.5" customHeight="1" x14ac:dyDescent="0.25">
      <c r="A923" s="2"/>
      <c r="B923" s="2"/>
      <c r="C923" s="2"/>
      <c r="D923" s="2"/>
      <c r="E923" s="2"/>
      <c r="F923" s="2"/>
      <c r="G923" s="2"/>
      <c r="H923" s="2"/>
      <c r="I923" s="2"/>
      <c r="J923" s="2"/>
      <c r="K923" s="2"/>
      <c r="L923" s="2"/>
      <c r="M923" s="2"/>
      <c r="N923" s="2"/>
      <c r="O923" s="2"/>
      <c r="P923" s="2"/>
      <c r="Q923" s="2"/>
      <c r="R923" s="9"/>
      <c r="S923" s="9"/>
      <c r="T923" s="9"/>
      <c r="U923" s="9"/>
      <c r="V923" s="9"/>
      <c r="W923" s="9"/>
      <c r="X923" s="9"/>
      <c r="Y923" s="9"/>
      <c r="Z923" s="9"/>
      <c r="AA923" s="9"/>
      <c r="AB923" s="9"/>
      <c r="AC923" s="9"/>
      <c r="AD923" s="9"/>
    </row>
    <row r="924" spans="1:30" ht="13.5" customHeight="1" x14ac:dyDescent="0.25">
      <c r="A924" s="2"/>
      <c r="B924" s="2"/>
      <c r="C924" s="2"/>
      <c r="D924" s="2"/>
      <c r="E924" s="2"/>
      <c r="F924" s="2"/>
      <c r="G924" s="2"/>
      <c r="H924" s="2"/>
      <c r="I924" s="2"/>
      <c r="J924" s="2"/>
      <c r="K924" s="2"/>
      <c r="L924" s="2"/>
      <c r="M924" s="2"/>
      <c r="N924" s="2"/>
      <c r="O924" s="2"/>
      <c r="P924" s="2"/>
      <c r="Q924" s="2"/>
      <c r="R924" s="9"/>
      <c r="S924" s="9"/>
      <c r="T924" s="9"/>
      <c r="U924" s="9"/>
      <c r="V924" s="9"/>
      <c r="W924" s="9"/>
      <c r="X924" s="9"/>
      <c r="Y924" s="9"/>
      <c r="Z924" s="9"/>
      <c r="AA924" s="9"/>
      <c r="AB924" s="9"/>
      <c r="AC924" s="9"/>
      <c r="AD924" s="9"/>
    </row>
    <row r="925" spans="1:30" ht="13.5" customHeight="1" x14ac:dyDescent="0.25">
      <c r="A925" s="2"/>
      <c r="B925" s="2"/>
      <c r="C925" s="2"/>
      <c r="D925" s="2"/>
      <c r="E925" s="2"/>
      <c r="F925" s="2"/>
      <c r="G925" s="2"/>
      <c r="H925" s="2"/>
      <c r="I925" s="2"/>
      <c r="J925" s="2"/>
      <c r="K925" s="2"/>
      <c r="L925" s="2"/>
      <c r="M925" s="2"/>
      <c r="N925" s="2"/>
      <c r="O925" s="2"/>
      <c r="P925" s="2"/>
      <c r="Q925" s="2"/>
      <c r="R925" s="9"/>
      <c r="S925" s="9"/>
      <c r="T925" s="9"/>
      <c r="U925" s="9"/>
      <c r="V925" s="9"/>
      <c r="W925" s="9"/>
      <c r="X925" s="9"/>
      <c r="Y925" s="9"/>
      <c r="Z925" s="9"/>
      <c r="AA925" s="9"/>
      <c r="AB925" s="9"/>
      <c r="AC925" s="9"/>
      <c r="AD925" s="9"/>
    </row>
    <row r="926" spans="1:30" ht="13.5" customHeight="1" x14ac:dyDescent="0.25">
      <c r="A926" s="2"/>
      <c r="B926" s="2"/>
      <c r="C926" s="2"/>
      <c r="D926" s="2"/>
      <c r="E926" s="2"/>
      <c r="F926" s="2"/>
      <c r="G926" s="2"/>
      <c r="H926" s="2"/>
      <c r="I926" s="2"/>
      <c r="J926" s="2"/>
      <c r="K926" s="2"/>
      <c r="L926" s="2"/>
      <c r="M926" s="2"/>
      <c r="N926" s="2"/>
      <c r="O926" s="2"/>
      <c r="P926" s="2"/>
      <c r="Q926" s="2"/>
      <c r="R926" s="9"/>
      <c r="S926" s="9"/>
      <c r="T926" s="9"/>
      <c r="U926" s="9"/>
      <c r="V926" s="9"/>
      <c r="W926" s="9"/>
      <c r="X926" s="9"/>
      <c r="Y926" s="9"/>
      <c r="Z926" s="9"/>
      <c r="AA926" s="9"/>
      <c r="AB926" s="9"/>
      <c r="AC926" s="9"/>
      <c r="AD926" s="9"/>
    </row>
    <row r="927" spans="1:30" ht="13.5" customHeight="1" x14ac:dyDescent="0.25">
      <c r="A927" s="2"/>
      <c r="B927" s="2"/>
      <c r="C927" s="2"/>
      <c r="D927" s="2"/>
      <c r="E927" s="2"/>
      <c r="F927" s="2"/>
      <c r="G927" s="2"/>
      <c r="H927" s="2"/>
      <c r="I927" s="2"/>
      <c r="J927" s="2"/>
      <c r="K927" s="2"/>
      <c r="L927" s="2"/>
      <c r="M927" s="2"/>
      <c r="N927" s="2"/>
      <c r="O927" s="2"/>
      <c r="P927" s="2"/>
      <c r="Q927" s="2"/>
      <c r="R927" s="9"/>
      <c r="S927" s="9"/>
      <c r="T927" s="9"/>
      <c r="U927" s="9"/>
      <c r="V927" s="9"/>
      <c r="W927" s="9"/>
      <c r="X927" s="9"/>
      <c r="Y927" s="9"/>
      <c r="Z927" s="9"/>
      <c r="AA927" s="9"/>
      <c r="AB927" s="9"/>
      <c r="AC927" s="9"/>
      <c r="AD927" s="9"/>
    </row>
    <row r="928" spans="1:30" ht="13.5" customHeight="1" x14ac:dyDescent="0.25">
      <c r="A928" s="2"/>
      <c r="B928" s="2"/>
      <c r="C928" s="2"/>
      <c r="D928" s="2"/>
      <c r="E928" s="2"/>
      <c r="F928" s="2"/>
      <c r="G928" s="2"/>
      <c r="H928" s="2"/>
      <c r="I928" s="2"/>
      <c r="J928" s="2"/>
      <c r="K928" s="2"/>
      <c r="L928" s="2"/>
      <c r="M928" s="2"/>
      <c r="N928" s="2"/>
      <c r="O928" s="2"/>
      <c r="P928" s="2"/>
      <c r="Q928" s="2"/>
      <c r="R928" s="9"/>
      <c r="S928" s="9"/>
      <c r="T928" s="9"/>
      <c r="U928" s="9"/>
      <c r="V928" s="9"/>
      <c r="W928" s="9"/>
      <c r="X928" s="9"/>
      <c r="Y928" s="9"/>
      <c r="Z928" s="9"/>
      <c r="AA928" s="9"/>
      <c r="AB928" s="9"/>
      <c r="AC928" s="9"/>
      <c r="AD928" s="9"/>
    </row>
    <row r="929" spans="1:30" ht="13.5" customHeight="1" x14ac:dyDescent="0.25">
      <c r="A929" s="2"/>
      <c r="B929" s="2"/>
      <c r="C929" s="2"/>
      <c r="D929" s="2"/>
      <c r="E929" s="2"/>
      <c r="F929" s="2"/>
      <c r="G929" s="2"/>
      <c r="H929" s="2"/>
      <c r="I929" s="2"/>
      <c r="J929" s="2"/>
      <c r="K929" s="2"/>
      <c r="L929" s="2"/>
      <c r="M929" s="2"/>
      <c r="N929" s="2"/>
      <c r="O929" s="2"/>
      <c r="P929" s="2"/>
      <c r="Q929" s="2"/>
      <c r="R929" s="9"/>
      <c r="S929" s="9"/>
      <c r="T929" s="9"/>
      <c r="U929" s="9"/>
      <c r="V929" s="9"/>
      <c r="W929" s="9"/>
      <c r="X929" s="9"/>
      <c r="Y929" s="9"/>
      <c r="Z929" s="9"/>
      <c r="AA929" s="9"/>
      <c r="AB929" s="9"/>
      <c r="AC929" s="9"/>
      <c r="AD929" s="9"/>
    </row>
    <row r="930" spans="1:30" ht="13.5" customHeight="1" x14ac:dyDescent="0.25">
      <c r="A930" s="2"/>
      <c r="B930" s="2"/>
      <c r="C930" s="2"/>
      <c r="D930" s="2"/>
      <c r="E930" s="2"/>
      <c r="F930" s="2"/>
      <c r="G930" s="2"/>
      <c r="H930" s="2"/>
      <c r="I930" s="2"/>
      <c r="J930" s="2"/>
      <c r="K930" s="2"/>
      <c r="L930" s="2"/>
      <c r="M930" s="2"/>
      <c r="N930" s="2"/>
      <c r="O930" s="2"/>
      <c r="P930" s="2"/>
      <c r="Q930" s="2"/>
      <c r="R930" s="9"/>
      <c r="S930" s="9"/>
      <c r="T930" s="9"/>
      <c r="U930" s="9"/>
      <c r="V930" s="9"/>
      <c r="W930" s="9"/>
      <c r="X930" s="9"/>
      <c r="Y930" s="9"/>
      <c r="Z930" s="9"/>
      <c r="AA930" s="9"/>
      <c r="AB930" s="9"/>
      <c r="AC930" s="9"/>
      <c r="AD930" s="9"/>
    </row>
    <row r="931" spans="1:30" ht="13.5" customHeight="1" x14ac:dyDescent="0.25">
      <c r="A931" s="2"/>
      <c r="B931" s="2"/>
      <c r="C931" s="2"/>
      <c r="D931" s="2"/>
      <c r="E931" s="2"/>
      <c r="F931" s="2"/>
      <c r="G931" s="2"/>
      <c r="H931" s="2"/>
      <c r="I931" s="2"/>
      <c r="J931" s="2"/>
      <c r="K931" s="2"/>
      <c r="L931" s="2"/>
      <c r="M931" s="2"/>
      <c r="N931" s="2"/>
      <c r="O931" s="2"/>
      <c r="P931" s="2"/>
      <c r="Q931" s="2"/>
      <c r="R931" s="9"/>
      <c r="S931" s="9"/>
      <c r="T931" s="9"/>
      <c r="U931" s="9"/>
      <c r="V931" s="9"/>
      <c r="W931" s="9"/>
      <c r="X931" s="9"/>
      <c r="Y931" s="9"/>
      <c r="Z931" s="9"/>
      <c r="AA931" s="9"/>
      <c r="AB931" s="9"/>
      <c r="AC931" s="9"/>
      <c r="AD931" s="9"/>
    </row>
    <row r="932" spans="1:30" ht="13.5" customHeight="1" x14ac:dyDescent="0.25">
      <c r="A932" s="2"/>
      <c r="B932" s="2"/>
      <c r="C932" s="2"/>
      <c r="D932" s="2"/>
      <c r="E932" s="2"/>
      <c r="F932" s="2"/>
      <c r="G932" s="2"/>
      <c r="H932" s="2"/>
      <c r="I932" s="2"/>
      <c r="J932" s="2"/>
      <c r="K932" s="2"/>
      <c r="L932" s="2"/>
      <c r="M932" s="2"/>
      <c r="N932" s="2"/>
      <c r="O932" s="2"/>
      <c r="P932" s="2"/>
      <c r="Q932" s="2"/>
      <c r="R932" s="9"/>
      <c r="S932" s="9"/>
      <c r="T932" s="9"/>
      <c r="U932" s="9"/>
      <c r="V932" s="9"/>
      <c r="W932" s="9"/>
      <c r="X932" s="9"/>
      <c r="Y932" s="9"/>
      <c r="Z932" s="9"/>
      <c r="AA932" s="9"/>
      <c r="AB932" s="9"/>
      <c r="AC932" s="9"/>
      <c r="AD932" s="9"/>
    </row>
    <row r="933" spans="1:30" ht="13.5" customHeight="1" x14ac:dyDescent="0.25">
      <c r="A933" s="2"/>
      <c r="B933" s="2"/>
      <c r="C933" s="2"/>
      <c r="D933" s="2"/>
      <c r="E933" s="2"/>
      <c r="F933" s="2"/>
      <c r="G933" s="2"/>
      <c r="H933" s="2"/>
      <c r="I933" s="2"/>
      <c r="J933" s="2"/>
      <c r="K933" s="2"/>
      <c r="L933" s="2"/>
      <c r="M933" s="2"/>
      <c r="N933" s="2"/>
      <c r="O933" s="2"/>
      <c r="P933" s="2"/>
      <c r="Q933" s="2"/>
      <c r="R933" s="9"/>
      <c r="S933" s="9"/>
      <c r="T933" s="9"/>
      <c r="U933" s="9"/>
      <c r="V933" s="9"/>
      <c r="W933" s="9"/>
      <c r="X933" s="9"/>
      <c r="Y933" s="9"/>
      <c r="Z933" s="9"/>
      <c r="AA933" s="9"/>
      <c r="AB933" s="9"/>
      <c r="AC933" s="9"/>
      <c r="AD933" s="9"/>
    </row>
    <row r="934" spans="1:30" ht="13.5" customHeight="1" x14ac:dyDescent="0.25">
      <c r="A934" s="2"/>
      <c r="B934" s="2"/>
      <c r="C934" s="2"/>
      <c r="D934" s="2"/>
      <c r="E934" s="2"/>
      <c r="F934" s="2"/>
      <c r="G934" s="2"/>
      <c r="H934" s="2"/>
      <c r="I934" s="2"/>
      <c r="J934" s="2"/>
      <c r="K934" s="2"/>
      <c r="L934" s="2"/>
      <c r="M934" s="2"/>
      <c r="N934" s="2"/>
      <c r="O934" s="2"/>
      <c r="P934" s="2"/>
      <c r="Q934" s="2"/>
      <c r="R934" s="9"/>
      <c r="S934" s="9"/>
      <c r="T934" s="9"/>
      <c r="U934" s="9"/>
      <c r="V934" s="9"/>
      <c r="W934" s="9"/>
      <c r="X934" s="9"/>
      <c r="Y934" s="9"/>
      <c r="Z934" s="9"/>
      <c r="AA934" s="9"/>
      <c r="AB934" s="9"/>
      <c r="AC934" s="9"/>
      <c r="AD934" s="9"/>
    </row>
    <row r="935" spans="1:30" ht="13.5" customHeight="1" x14ac:dyDescent="0.25">
      <c r="A935" s="2"/>
      <c r="B935" s="2"/>
      <c r="C935" s="2"/>
      <c r="D935" s="2"/>
      <c r="E935" s="2"/>
      <c r="F935" s="2"/>
      <c r="G935" s="2"/>
      <c r="H935" s="2"/>
      <c r="I935" s="2"/>
      <c r="J935" s="2"/>
      <c r="K935" s="2"/>
      <c r="L935" s="2"/>
      <c r="M935" s="2"/>
      <c r="N935" s="2"/>
      <c r="O935" s="2"/>
      <c r="P935" s="2"/>
      <c r="Q935" s="2"/>
      <c r="R935" s="9"/>
      <c r="S935" s="9"/>
      <c r="T935" s="9"/>
      <c r="U935" s="9"/>
      <c r="V935" s="9"/>
      <c r="W935" s="9"/>
      <c r="X935" s="9"/>
      <c r="Y935" s="9"/>
      <c r="Z935" s="9"/>
      <c r="AA935" s="9"/>
      <c r="AB935" s="9"/>
      <c r="AC935" s="9"/>
      <c r="AD935" s="9"/>
    </row>
    <row r="936" spans="1:30" ht="13.5" customHeight="1" x14ac:dyDescent="0.25">
      <c r="A936" s="2"/>
      <c r="B936" s="2"/>
      <c r="C936" s="2"/>
      <c r="D936" s="2"/>
      <c r="E936" s="2"/>
      <c r="F936" s="2"/>
      <c r="G936" s="2"/>
      <c r="H936" s="2"/>
      <c r="I936" s="2"/>
      <c r="J936" s="2"/>
      <c r="K936" s="2"/>
      <c r="L936" s="2"/>
      <c r="M936" s="2"/>
      <c r="N936" s="2"/>
      <c r="O936" s="2"/>
      <c r="P936" s="2"/>
      <c r="Q936" s="2"/>
      <c r="R936" s="9"/>
      <c r="S936" s="9"/>
      <c r="T936" s="9"/>
      <c r="U936" s="9"/>
      <c r="V936" s="9"/>
      <c r="W936" s="9"/>
      <c r="X936" s="9"/>
      <c r="Y936" s="9"/>
      <c r="Z936" s="9"/>
      <c r="AA936" s="9"/>
      <c r="AB936" s="9"/>
      <c r="AC936" s="9"/>
      <c r="AD936" s="9"/>
    </row>
    <row r="937" spans="1:30" ht="13.5" customHeight="1" x14ac:dyDescent="0.25">
      <c r="A937" s="2"/>
      <c r="B937" s="2"/>
      <c r="C937" s="2"/>
      <c r="D937" s="2"/>
      <c r="E937" s="2"/>
      <c r="F937" s="2"/>
      <c r="G937" s="2"/>
      <c r="H937" s="2"/>
      <c r="I937" s="2"/>
      <c r="J937" s="2"/>
      <c r="K937" s="2"/>
      <c r="L937" s="2"/>
      <c r="M937" s="2"/>
      <c r="N937" s="2"/>
      <c r="O937" s="2"/>
      <c r="P937" s="2"/>
      <c r="Q937" s="2"/>
      <c r="R937" s="9"/>
      <c r="S937" s="9"/>
      <c r="T937" s="9"/>
      <c r="U937" s="9"/>
      <c r="V937" s="9"/>
      <c r="W937" s="9"/>
      <c r="X937" s="9"/>
      <c r="Y937" s="9"/>
      <c r="Z937" s="9"/>
      <c r="AA937" s="9"/>
      <c r="AB937" s="9"/>
      <c r="AC937" s="9"/>
      <c r="AD937" s="9"/>
    </row>
    <row r="938" spans="1:30" ht="13.5" customHeight="1" x14ac:dyDescent="0.25">
      <c r="A938" s="2"/>
      <c r="B938" s="2"/>
      <c r="C938" s="2"/>
      <c r="D938" s="2"/>
      <c r="E938" s="2"/>
      <c r="F938" s="2"/>
      <c r="G938" s="2"/>
      <c r="H938" s="2"/>
      <c r="I938" s="2"/>
      <c r="J938" s="2"/>
      <c r="K938" s="2"/>
      <c r="L938" s="2"/>
      <c r="M938" s="2"/>
      <c r="N938" s="2"/>
      <c r="O938" s="2"/>
      <c r="P938" s="2"/>
      <c r="Q938" s="2"/>
      <c r="R938" s="9"/>
      <c r="S938" s="9"/>
      <c r="T938" s="9"/>
      <c r="U938" s="9"/>
      <c r="V938" s="9"/>
      <c r="W938" s="9"/>
      <c r="X938" s="9"/>
      <c r="Y938" s="9"/>
      <c r="Z938" s="9"/>
      <c r="AA938" s="9"/>
      <c r="AB938" s="9"/>
      <c r="AC938" s="9"/>
      <c r="AD938" s="9"/>
    </row>
    <row r="939" spans="1:30" ht="13.5" customHeight="1" x14ac:dyDescent="0.25">
      <c r="A939" s="2"/>
      <c r="B939" s="2"/>
      <c r="C939" s="2"/>
      <c r="D939" s="2"/>
      <c r="E939" s="2"/>
      <c r="F939" s="2"/>
      <c r="G939" s="2"/>
      <c r="H939" s="2"/>
      <c r="I939" s="2"/>
      <c r="J939" s="2"/>
      <c r="K939" s="2"/>
      <c r="L939" s="2"/>
      <c r="M939" s="2"/>
      <c r="N939" s="2"/>
      <c r="O939" s="2"/>
      <c r="P939" s="2"/>
      <c r="Q939" s="2"/>
      <c r="R939" s="9"/>
      <c r="S939" s="9"/>
      <c r="T939" s="9"/>
      <c r="U939" s="9"/>
      <c r="V939" s="9"/>
      <c r="W939" s="9"/>
      <c r="X939" s="9"/>
      <c r="Y939" s="9"/>
      <c r="Z939" s="9"/>
      <c r="AA939" s="9"/>
      <c r="AB939" s="9"/>
      <c r="AC939" s="9"/>
      <c r="AD939" s="9"/>
    </row>
    <row r="940" spans="1:30" ht="13.5" customHeight="1" x14ac:dyDescent="0.25">
      <c r="A940" s="2"/>
      <c r="B940" s="2"/>
      <c r="C940" s="2"/>
      <c r="D940" s="2"/>
      <c r="E940" s="2"/>
      <c r="F940" s="2"/>
      <c r="G940" s="2"/>
      <c r="H940" s="2"/>
      <c r="I940" s="2"/>
      <c r="J940" s="2"/>
      <c r="K940" s="2"/>
      <c r="L940" s="2"/>
      <c r="M940" s="2"/>
      <c r="N940" s="2"/>
      <c r="O940" s="2"/>
      <c r="P940" s="2"/>
      <c r="Q940" s="2"/>
      <c r="R940" s="9"/>
      <c r="S940" s="9"/>
      <c r="T940" s="9"/>
      <c r="U940" s="9"/>
      <c r="V940" s="9"/>
      <c r="W940" s="9"/>
      <c r="X940" s="9"/>
      <c r="Y940" s="9"/>
      <c r="Z940" s="9"/>
      <c r="AA940" s="9"/>
      <c r="AB940" s="9"/>
      <c r="AC940" s="9"/>
      <c r="AD940" s="9"/>
    </row>
    <row r="941" spans="1:30" ht="13.5" customHeight="1" x14ac:dyDescent="0.25">
      <c r="A941" s="2"/>
      <c r="B941" s="2"/>
      <c r="C941" s="2"/>
      <c r="D941" s="2"/>
      <c r="E941" s="2"/>
      <c r="F941" s="2"/>
      <c r="G941" s="2"/>
      <c r="H941" s="2"/>
      <c r="I941" s="2"/>
      <c r="J941" s="2"/>
      <c r="K941" s="2"/>
      <c r="L941" s="2"/>
      <c r="M941" s="2"/>
      <c r="N941" s="2"/>
      <c r="O941" s="2"/>
      <c r="P941" s="2"/>
      <c r="Q941" s="2"/>
      <c r="R941" s="9"/>
      <c r="S941" s="9"/>
      <c r="T941" s="9"/>
      <c r="U941" s="9"/>
      <c r="V941" s="9"/>
      <c r="W941" s="9"/>
      <c r="X941" s="9"/>
      <c r="Y941" s="9"/>
      <c r="Z941" s="9"/>
      <c r="AA941" s="9"/>
      <c r="AB941" s="9"/>
      <c r="AC941" s="9"/>
      <c r="AD941" s="9"/>
    </row>
    <row r="942" spans="1:30" ht="13.5" customHeight="1" x14ac:dyDescent="0.25">
      <c r="A942" s="2"/>
      <c r="B942" s="2"/>
      <c r="C942" s="2"/>
      <c r="D942" s="2"/>
      <c r="E942" s="2"/>
      <c r="F942" s="2"/>
      <c r="G942" s="2"/>
      <c r="H942" s="2"/>
      <c r="I942" s="2"/>
      <c r="J942" s="2"/>
      <c r="K942" s="2"/>
      <c r="L942" s="2"/>
      <c r="M942" s="2"/>
      <c r="N942" s="2"/>
      <c r="O942" s="2"/>
      <c r="P942" s="2"/>
      <c r="Q942" s="2"/>
      <c r="R942" s="9"/>
      <c r="S942" s="9"/>
      <c r="T942" s="9"/>
      <c r="U942" s="9"/>
      <c r="V942" s="9"/>
      <c r="W942" s="9"/>
      <c r="X942" s="9"/>
      <c r="Y942" s="9"/>
      <c r="Z942" s="9"/>
      <c r="AA942" s="9"/>
      <c r="AB942" s="9"/>
      <c r="AC942" s="9"/>
      <c r="AD942" s="9"/>
    </row>
    <row r="943" spans="1:30" ht="13.5" customHeight="1" x14ac:dyDescent="0.25">
      <c r="A943" s="2"/>
      <c r="B943" s="2"/>
      <c r="C943" s="2"/>
      <c r="D943" s="2"/>
      <c r="E943" s="2"/>
      <c r="F943" s="2"/>
      <c r="G943" s="2"/>
      <c r="H943" s="2"/>
      <c r="I943" s="2"/>
      <c r="J943" s="2"/>
      <c r="K943" s="2"/>
      <c r="L943" s="2"/>
      <c r="M943" s="2"/>
      <c r="N943" s="2"/>
      <c r="O943" s="2"/>
      <c r="P943" s="2"/>
      <c r="Q943" s="2"/>
      <c r="R943" s="9"/>
      <c r="S943" s="9"/>
      <c r="T943" s="9"/>
      <c r="U943" s="9"/>
      <c r="V943" s="9"/>
      <c r="W943" s="9"/>
      <c r="X943" s="9"/>
      <c r="Y943" s="9"/>
      <c r="Z943" s="9"/>
      <c r="AA943" s="9"/>
      <c r="AB943" s="9"/>
      <c r="AC943" s="9"/>
      <c r="AD943" s="9"/>
    </row>
    <row r="944" spans="1:30" ht="13.5" customHeight="1" x14ac:dyDescent="0.25">
      <c r="A944" s="2"/>
      <c r="B944" s="2"/>
      <c r="C944" s="2"/>
      <c r="D944" s="2"/>
      <c r="E944" s="2"/>
      <c r="F944" s="2"/>
      <c r="G944" s="2"/>
      <c r="H944" s="2"/>
      <c r="I944" s="2"/>
      <c r="J944" s="2"/>
      <c r="K944" s="2"/>
      <c r="L944" s="2"/>
      <c r="M944" s="2"/>
      <c r="N944" s="2"/>
      <c r="O944" s="2"/>
      <c r="P944" s="2"/>
      <c r="Q944" s="2"/>
      <c r="R944" s="9"/>
      <c r="S944" s="9"/>
      <c r="T944" s="9"/>
      <c r="U944" s="9"/>
      <c r="V944" s="9"/>
      <c r="W944" s="9"/>
      <c r="X944" s="9"/>
      <c r="Y944" s="9"/>
      <c r="Z944" s="9"/>
      <c r="AA944" s="9"/>
      <c r="AB944" s="9"/>
      <c r="AC944" s="9"/>
      <c r="AD944" s="9"/>
    </row>
    <row r="945" spans="1:30" ht="13.5" customHeight="1" x14ac:dyDescent="0.25">
      <c r="A945" s="2"/>
      <c r="B945" s="2"/>
      <c r="C945" s="2"/>
      <c r="D945" s="2"/>
      <c r="E945" s="2"/>
      <c r="F945" s="2"/>
      <c r="G945" s="2"/>
      <c r="H945" s="2"/>
      <c r="I945" s="2"/>
      <c r="J945" s="2"/>
      <c r="K945" s="2"/>
      <c r="L945" s="2"/>
      <c r="M945" s="2"/>
      <c r="N945" s="2"/>
      <c r="O945" s="2"/>
      <c r="P945" s="2"/>
      <c r="Q945" s="2"/>
      <c r="R945" s="9"/>
      <c r="S945" s="9"/>
      <c r="T945" s="9"/>
      <c r="U945" s="9"/>
      <c r="V945" s="9"/>
      <c r="W945" s="9"/>
      <c r="X945" s="9"/>
      <c r="Y945" s="9"/>
      <c r="Z945" s="9"/>
      <c r="AA945" s="9"/>
      <c r="AB945" s="9"/>
      <c r="AC945" s="9"/>
      <c r="AD945" s="9"/>
    </row>
    <row r="946" spans="1:30" ht="13.5" customHeight="1" x14ac:dyDescent="0.25">
      <c r="A946" s="2"/>
      <c r="B946" s="2"/>
      <c r="C946" s="2"/>
      <c r="D946" s="2"/>
      <c r="E946" s="2"/>
      <c r="F946" s="2"/>
      <c r="G946" s="2"/>
      <c r="H946" s="2"/>
      <c r="I946" s="2"/>
      <c r="J946" s="2"/>
      <c r="K946" s="2"/>
      <c r="L946" s="2"/>
      <c r="M946" s="2"/>
      <c r="N946" s="2"/>
      <c r="O946" s="2"/>
      <c r="P946" s="2"/>
      <c r="Q946" s="2"/>
      <c r="R946" s="9"/>
      <c r="S946" s="9"/>
      <c r="T946" s="9"/>
      <c r="U946" s="9"/>
      <c r="V946" s="9"/>
      <c r="W946" s="9"/>
      <c r="X946" s="9"/>
      <c r="Y946" s="9"/>
      <c r="Z946" s="9"/>
      <c r="AA946" s="9"/>
      <c r="AB946" s="9"/>
      <c r="AC946" s="9"/>
      <c r="AD946" s="9"/>
    </row>
    <row r="947" spans="1:30" ht="13.5" customHeight="1" x14ac:dyDescent="0.25">
      <c r="A947" s="2"/>
      <c r="B947" s="2"/>
      <c r="C947" s="2"/>
      <c r="D947" s="2"/>
      <c r="E947" s="2"/>
      <c r="F947" s="2"/>
      <c r="G947" s="2"/>
      <c r="H947" s="2"/>
      <c r="I947" s="2"/>
      <c r="J947" s="2"/>
      <c r="K947" s="2"/>
      <c r="L947" s="2"/>
      <c r="M947" s="2"/>
      <c r="N947" s="2"/>
      <c r="O947" s="2"/>
      <c r="P947" s="2"/>
      <c r="Q947" s="2"/>
      <c r="R947" s="9"/>
      <c r="S947" s="9"/>
      <c r="T947" s="9"/>
      <c r="U947" s="9"/>
      <c r="V947" s="9"/>
      <c r="W947" s="9"/>
      <c r="X947" s="9"/>
      <c r="Y947" s="9"/>
      <c r="Z947" s="9"/>
      <c r="AA947" s="9"/>
      <c r="AB947" s="9"/>
      <c r="AC947" s="9"/>
      <c r="AD947" s="9"/>
    </row>
    <row r="948" spans="1:30" ht="13.5" customHeight="1" x14ac:dyDescent="0.25">
      <c r="A948" s="2"/>
      <c r="B948" s="2"/>
      <c r="C948" s="2"/>
      <c r="D948" s="2"/>
      <c r="E948" s="2"/>
      <c r="F948" s="2"/>
      <c r="G948" s="2"/>
      <c r="H948" s="2"/>
      <c r="I948" s="2"/>
      <c r="J948" s="2"/>
      <c r="K948" s="2"/>
      <c r="L948" s="2"/>
      <c r="M948" s="2"/>
      <c r="N948" s="2"/>
      <c r="O948" s="2"/>
      <c r="P948" s="2"/>
      <c r="Q948" s="2"/>
      <c r="R948" s="9"/>
      <c r="S948" s="9"/>
      <c r="T948" s="9"/>
      <c r="U948" s="9"/>
      <c r="V948" s="9"/>
      <c r="W948" s="9"/>
      <c r="X948" s="9"/>
      <c r="Y948" s="9"/>
      <c r="Z948" s="9"/>
      <c r="AA948" s="9"/>
      <c r="AB948" s="9"/>
      <c r="AC948" s="9"/>
      <c r="AD948" s="9"/>
    </row>
    <row r="949" spans="1:30" ht="13.5" customHeight="1" x14ac:dyDescent="0.25">
      <c r="A949" s="2"/>
      <c r="B949" s="2"/>
      <c r="C949" s="2"/>
      <c r="D949" s="2"/>
      <c r="E949" s="2"/>
      <c r="F949" s="2"/>
      <c r="G949" s="2"/>
      <c r="H949" s="2"/>
      <c r="I949" s="2"/>
      <c r="J949" s="2"/>
      <c r="K949" s="2"/>
      <c r="L949" s="2"/>
      <c r="M949" s="2"/>
      <c r="N949" s="2"/>
      <c r="O949" s="2"/>
      <c r="P949" s="2"/>
      <c r="Q949" s="2"/>
      <c r="R949" s="9"/>
      <c r="S949" s="9"/>
      <c r="T949" s="9"/>
      <c r="U949" s="9"/>
      <c r="V949" s="9"/>
      <c r="W949" s="9"/>
      <c r="X949" s="9"/>
      <c r="Y949" s="9"/>
      <c r="Z949" s="9"/>
      <c r="AA949" s="9"/>
      <c r="AB949" s="9"/>
      <c r="AC949" s="9"/>
      <c r="AD949" s="9"/>
    </row>
    <row r="950" spans="1:30" ht="13.5" customHeight="1" x14ac:dyDescent="0.25">
      <c r="A950" s="2"/>
      <c r="B950" s="2"/>
      <c r="C950" s="2"/>
      <c r="D950" s="2"/>
      <c r="E950" s="2"/>
      <c r="F950" s="2"/>
      <c r="G950" s="2"/>
      <c r="H950" s="2"/>
      <c r="I950" s="2"/>
      <c r="J950" s="2"/>
      <c r="K950" s="2"/>
      <c r="L950" s="2"/>
      <c r="M950" s="2"/>
      <c r="N950" s="2"/>
      <c r="O950" s="2"/>
      <c r="P950" s="2"/>
      <c r="Q950" s="2"/>
      <c r="R950" s="9"/>
      <c r="S950" s="9"/>
      <c r="T950" s="9"/>
      <c r="U950" s="9"/>
      <c r="V950" s="9"/>
      <c r="W950" s="9"/>
      <c r="X950" s="9"/>
      <c r="Y950" s="9"/>
      <c r="Z950" s="9"/>
      <c r="AA950" s="9"/>
      <c r="AB950" s="9"/>
      <c r="AC950" s="9"/>
      <c r="AD950" s="9"/>
    </row>
    <row r="951" spans="1:30" ht="13.5" customHeight="1" x14ac:dyDescent="0.25">
      <c r="A951" s="2"/>
      <c r="B951" s="2"/>
      <c r="C951" s="2"/>
      <c r="D951" s="2"/>
      <c r="E951" s="2"/>
      <c r="F951" s="2"/>
      <c r="G951" s="2"/>
      <c r="H951" s="2"/>
      <c r="I951" s="2"/>
      <c r="J951" s="2"/>
      <c r="K951" s="2"/>
      <c r="L951" s="2"/>
      <c r="M951" s="2"/>
      <c r="N951" s="2"/>
      <c r="O951" s="2"/>
      <c r="P951" s="2"/>
      <c r="Q951" s="2"/>
      <c r="R951" s="9"/>
      <c r="S951" s="9"/>
      <c r="T951" s="9"/>
      <c r="U951" s="9"/>
      <c r="V951" s="9"/>
      <c r="W951" s="9"/>
      <c r="X951" s="9"/>
      <c r="Y951" s="9"/>
      <c r="Z951" s="9"/>
      <c r="AA951" s="9"/>
      <c r="AB951" s="9"/>
      <c r="AC951" s="9"/>
      <c r="AD951" s="9"/>
    </row>
    <row r="952" spans="1:30" ht="13.5" customHeight="1" x14ac:dyDescent="0.25">
      <c r="A952" s="2"/>
      <c r="B952" s="2"/>
      <c r="C952" s="2"/>
      <c r="D952" s="2"/>
      <c r="E952" s="2"/>
      <c r="F952" s="2"/>
      <c r="G952" s="2"/>
      <c r="H952" s="2"/>
      <c r="I952" s="2"/>
      <c r="J952" s="2"/>
      <c r="K952" s="2"/>
      <c r="L952" s="2"/>
      <c r="M952" s="2"/>
      <c r="N952" s="2"/>
      <c r="O952" s="2"/>
      <c r="P952" s="2"/>
      <c r="Q952" s="2"/>
      <c r="R952" s="9"/>
      <c r="S952" s="9"/>
      <c r="T952" s="9"/>
      <c r="U952" s="9"/>
      <c r="V952" s="9"/>
      <c r="W952" s="9"/>
      <c r="X952" s="9"/>
      <c r="Y952" s="9"/>
      <c r="Z952" s="9"/>
      <c r="AA952" s="9"/>
      <c r="AB952" s="9"/>
      <c r="AC952" s="9"/>
      <c r="AD952" s="9"/>
    </row>
    <row r="953" spans="1:30" ht="13.5" customHeight="1" x14ac:dyDescent="0.25">
      <c r="A953" s="2"/>
      <c r="B953" s="2"/>
      <c r="C953" s="2"/>
      <c r="D953" s="2"/>
      <c r="E953" s="2"/>
      <c r="F953" s="2"/>
      <c r="G953" s="2"/>
      <c r="H953" s="2"/>
      <c r="I953" s="2"/>
      <c r="J953" s="2"/>
      <c r="K953" s="2"/>
      <c r="L953" s="2"/>
      <c r="M953" s="2"/>
      <c r="N953" s="2"/>
      <c r="O953" s="2"/>
      <c r="P953" s="2"/>
      <c r="Q953" s="2"/>
      <c r="R953" s="9"/>
      <c r="S953" s="9"/>
      <c r="T953" s="9"/>
      <c r="U953" s="9"/>
      <c r="V953" s="9"/>
      <c r="W953" s="9"/>
      <c r="X953" s="9"/>
      <c r="Y953" s="9"/>
      <c r="Z953" s="9"/>
      <c r="AA953" s="9"/>
      <c r="AB953" s="9"/>
      <c r="AC953" s="9"/>
      <c r="AD953" s="9"/>
    </row>
    <row r="954" spans="1:30" ht="13.5" customHeight="1" x14ac:dyDescent="0.25">
      <c r="A954" s="2"/>
      <c r="B954" s="2"/>
      <c r="C954" s="2"/>
      <c r="D954" s="2"/>
      <c r="E954" s="2"/>
      <c r="F954" s="2"/>
      <c r="G954" s="2"/>
      <c r="H954" s="2"/>
      <c r="I954" s="2"/>
      <c r="J954" s="2"/>
      <c r="K954" s="2"/>
      <c r="L954" s="2"/>
      <c r="M954" s="2"/>
      <c r="N954" s="2"/>
      <c r="O954" s="2"/>
      <c r="P954" s="2"/>
      <c r="Q954" s="2"/>
      <c r="R954" s="9"/>
      <c r="S954" s="9"/>
      <c r="T954" s="9"/>
      <c r="U954" s="9"/>
      <c r="V954" s="9"/>
      <c r="W954" s="9"/>
      <c r="X954" s="9"/>
      <c r="Y954" s="9"/>
      <c r="Z954" s="9"/>
      <c r="AA954" s="9"/>
      <c r="AB954" s="9"/>
      <c r="AC954" s="9"/>
      <c r="AD954" s="9"/>
    </row>
    <row r="955" spans="1:30" ht="13.5" customHeight="1" x14ac:dyDescent="0.25">
      <c r="A955" s="2"/>
      <c r="B955" s="2"/>
      <c r="C955" s="2"/>
      <c r="D955" s="2"/>
      <c r="E955" s="2"/>
      <c r="F955" s="2"/>
      <c r="G955" s="2"/>
      <c r="H955" s="2"/>
      <c r="I955" s="2"/>
      <c r="J955" s="2"/>
      <c r="K955" s="2"/>
      <c r="L955" s="2"/>
      <c r="M955" s="2"/>
      <c r="N955" s="2"/>
      <c r="O955" s="2"/>
      <c r="P955" s="2"/>
      <c r="Q955" s="2"/>
      <c r="R955" s="9"/>
      <c r="S955" s="9"/>
      <c r="T955" s="9"/>
      <c r="U955" s="9"/>
      <c r="V955" s="9"/>
      <c r="W955" s="9"/>
      <c r="X955" s="9"/>
      <c r="Y955" s="9"/>
      <c r="Z955" s="9"/>
      <c r="AA955" s="9"/>
      <c r="AB955" s="9"/>
      <c r="AC955" s="9"/>
      <c r="AD955" s="9"/>
    </row>
    <row r="956" spans="1:30" ht="13.5" customHeight="1" x14ac:dyDescent="0.25">
      <c r="A956" s="2"/>
      <c r="B956" s="2"/>
      <c r="C956" s="2"/>
      <c r="D956" s="2"/>
      <c r="E956" s="2"/>
      <c r="F956" s="2"/>
      <c r="G956" s="2"/>
      <c r="H956" s="2"/>
      <c r="I956" s="2"/>
      <c r="J956" s="2"/>
      <c r="K956" s="2"/>
      <c r="L956" s="2"/>
      <c r="M956" s="2"/>
      <c r="N956" s="2"/>
      <c r="O956" s="2"/>
      <c r="P956" s="2"/>
      <c r="Q956" s="2"/>
      <c r="R956" s="9"/>
      <c r="S956" s="9"/>
      <c r="T956" s="9"/>
      <c r="U956" s="9"/>
      <c r="V956" s="9"/>
      <c r="W956" s="9"/>
      <c r="X956" s="9"/>
      <c r="Y956" s="9"/>
      <c r="Z956" s="9"/>
      <c r="AA956" s="9"/>
      <c r="AB956" s="9"/>
      <c r="AC956" s="9"/>
      <c r="AD956" s="9"/>
    </row>
    <row r="957" spans="1:30" ht="13.5" customHeight="1" x14ac:dyDescent="0.25">
      <c r="A957" s="2"/>
      <c r="B957" s="2"/>
      <c r="C957" s="2"/>
      <c r="D957" s="2"/>
      <c r="E957" s="2"/>
      <c r="F957" s="2"/>
      <c r="G957" s="2"/>
      <c r="H957" s="2"/>
      <c r="I957" s="2"/>
      <c r="J957" s="2"/>
      <c r="K957" s="2"/>
      <c r="L957" s="2"/>
      <c r="M957" s="2"/>
      <c r="N957" s="2"/>
      <c r="O957" s="2"/>
      <c r="P957" s="2"/>
      <c r="Q957" s="2"/>
      <c r="R957" s="9"/>
      <c r="S957" s="9"/>
      <c r="T957" s="9"/>
      <c r="U957" s="9"/>
      <c r="V957" s="9"/>
      <c r="W957" s="9"/>
      <c r="X957" s="9"/>
      <c r="Y957" s="9"/>
      <c r="Z957" s="9"/>
      <c r="AA957" s="9"/>
      <c r="AB957" s="9"/>
      <c r="AC957" s="9"/>
      <c r="AD957" s="9"/>
    </row>
    <row r="958" spans="1:30" ht="13.5" customHeight="1" x14ac:dyDescent="0.25">
      <c r="A958" s="2"/>
      <c r="B958" s="2"/>
      <c r="C958" s="2"/>
      <c r="D958" s="2"/>
      <c r="E958" s="2"/>
      <c r="F958" s="2"/>
      <c r="G958" s="2"/>
      <c r="H958" s="2"/>
      <c r="I958" s="2"/>
      <c r="J958" s="2"/>
      <c r="K958" s="2"/>
      <c r="L958" s="2"/>
      <c r="M958" s="2"/>
      <c r="N958" s="2"/>
      <c r="O958" s="2"/>
      <c r="P958" s="2"/>
      <c r="Q958" s="2"/>
      <c r="R958" s="9"/>
      <c r="S958" s="9"/>
      <c r="T958" s="9"/>
      <c r="U958" s="9"/>
      <c r="V958" s="9"/>
      <c r="W958" s="9"/>
      <c r="X958" s="9"/>
      <c r="Y958" s="9"/>
      <c r="Z958" s="9"/>
      <c r="AA958" s="9"/>
      <c r="AB958" s="9"/>
      <c r="AC958" s="9"/>
      <c r="AD958" s="9"/>
    </row>
    <row r="959" spans="1:30" ht="13.5" customHeight="1" x14ac:dyDescent="0.25">
      <c r="A959" s="2"/>
      <c r="B959" s="2"/>
      <c r="C959" s="2"/>
      <c r="D959" s="2"/>
      <c r="E959" s="2"/>
      <c r="F959" s="2"/>
      <c r="G959" s="2"/>
      <c r="H959" s="2"/>
      <c r="I959" s="2"/>
      <c r="J959" s="2"/>
      <c r="K959" s="2"/>
      <c r="L959" s="2"/>
      <c r="M959" s="2"/>
      <c r="N959" s="2"/>
      <c r="O959" s="2"/>
      <c r="P959" s="2"/>
      <c r="Q959" s="2"/>
      <c r="R959" s="9"/>
      <c r="S959" s="9"/>
      <c r="T959" s="9"/>
      <c r="U959" s="9"/>
      <c r="V959" s="9"/>
      <c r="W959" s="9"/>
      <c r="X959" s="9"/>
      <c r="Y959" s="9"/>
      <c r="Z959" s="9"/>
      <c r="AA959" s="9"/>
      <c r="AB959" s="9"/>
      <c r="AC959" s="9"/>
      <c r="AD959" s="9"/>
    </row>
    <row r="960" spans="1:30" ht="13.5" customHeight="1" x14ac:dyDescent="0.25">
      <c r="A960" s="2"/>
      <c r="B960" s="2"/>
      <c r="C960" s="2"/>
      <c r="D960" s="2"/>
      <c r="E960" s="2"/>
      <c r="F960" s="2"/>
      <c r="G960" s="2"/>
      <c r="H960" s="2"/>
      <c r="I960" s="2"/>
      <c r="J960" s="2"/>
      <c r="K960" s="2"/>
      <c r="L960" s="2"/>
      <c r="M960" s="2"/>
      <c r="N960" s="2"/>
      <c r="O960" s="2"/>
      <c r="P960" s="2"/>
      <c r="Q960" s="2"/>
      <c r="R960" s="9"/>
      <c r="S960" s="9"/>
      <c r="T960" s="9"/>
      <c r="U960" s="9"/>
      <c r="V960" s="9"/>
      <c r="W960" s="9"/>
      <c r="X960" s="9"/>
      <c r="Y960" s="9"/>
      <c r="Z960" s="9"/>
      <c r="AA960" s="9"/>
      <c r="AB960" s="9"/>
      <c r="AC960" s="9"/>
      <c r="AD960" s="9"/>
    </row>
    <row r="961" spans="1:30" ht="13.5" customHeight="1" x14ac:dyDescent="0.25">
      <c r="A961" s="2"/>
      <c r="B961" s="2"/>
      <c r="C961" s="2"/>
      <c r="D961" s="2"/>
      <c r="E961" s="2"/>
      <c r="F961" s="2"/>
      <c r="G961" s="2"/>
      <c r="H961" s="2"/>
      <c r="I961" s="2"/>
      <c r="J961" s="2"/>
      <c r="K961" s="2"/>
      <c r="L961" s="2"/>
      <c r="M961" s="2"/>
      <c r="N961" s="2"/>
      <c r="O961" s="2"/>
      <c r="P961" s="2"/>
      <c r="Q961" s="2"/>
      <c r="R961" s="9"/>
      <c r="S961" s="9"/>
      <c r="T961" s="9"/>
      <c r="U961" s="9"/>
      <c r="V961" s="9"/>
      <c r="W961" s="9"/>
      <c r="X961" s="9"/>
      <c r="Y961" s="9"/>
      <c r="Z961" s="9"/>
      <c r="AA961" s="9"/>
      <c r="AB961" s="9"/>
      <c r="AC961" s="9"/>
      <c r="AD961" s="9"/>
    </row>
    <row r="962" spans="1:30" ht="13.5" customHeight="1" x14ac:dyDescent="0.25">
      <c r="A962" s="2"/>
      <c r="B962" s="2"/>
      <c r="C962" s="2"/>
      <c r="D962" s="2"/>
      <c r="E962" s="2"/>
      <c r="F962" s="2"/>
      <c r="G962" s="2"/>
      <c r="H962" s="2"/>
      <c r="I962" s="2"/>
      <c r="J962" s="2"/>
      <c r="K962" s="2"/>
      <c r="L962" s="2"/>
      <c r="M962" s="2"/>
      <c r="N962" s="2"/>
      <c r="O962" s="2"/>
      <c r="P962" s="2"/>
      <c r="Q962" s="2"/>
      <c r="R962" s="9"/>
      <c r="S962" s="9"/>
      <c r="T962" s="9"/>
      <c r="U962" s="9"/>
      <c r="V962" s="9"/>
      <c r="W962" s="9"/>
      <c r="X962" s="9"/>
      <c r="Y962" s="9"/>
      <c r="Z962" s="9"/>
      <c r="AA962" s="9"/>
      <c r="AB962" s="9"/>
      <c r="AC962" s="9"/>
      <c r="AD962" s="9"/>
    </row>
    <row r="963" spans="1:30" ht="13.5" customHeight="1" x14ac:dyDescent="0.25">
      <c r="A963" s="2"/>
      <c r="B963" s="2"/>
      <c r="C963" s="2"/>
      <c r="D963" s="2"/>
      <c r="E963" s="2"/>
      <c r="F963" s="2"/>
      <c r="G963" s="2"/>
      <c r="H963" s="2"/>
      <c r="I963" s="2"/>
      <c r="J963" s="2"/>
      <c r="K963" s="2"/>
      <c r="L963" s="2"/>
      <c r="M963" s="2"/>
      <c r="N963" s="2"/>
      <c r="O963" s="2"/>
      <c r="P963" s="2"/>
      <c r="Q963" s="2"/>
      <c r="R963" s="9"/>
      <c r="S963" s="9"/>
      <c r="T963" s="9"/>
      <c r="U963" s="9"/>
      <c r="V963" s="9"/>
      <c r="W963" s="9"/>
      <c r="X963" s="9"/>
      <c r="Y963" s="9"/>
      <c r="Z963" s="9"/>
      <c r="AA963" s="9"/>
      <c r="AB963" s="9"/>
      <c r="AC963" s="9"/>
      <c r="AD963" s="9"/>
    </row>
    <row r="964" spans="1:30" ht="13.5" customHeight="1" x14ac:dyDescent="0.25">
      <c r="A964" s="2"/>
      <c r="B964" s="2"/>
      <c r="C964" s="2"/>
      <c r="D964" s="2"/>
      <c r="E964" s="2"/>
      <c r="F964" s="2"/>
      <c r="G964" s="2"/>
      <c r="H964" s="2"/>
      <c r="I964" s="2"/>
      <c r="J964" s="2"/>
      <c r="K964" s="2"/>
      <c r="L964" s="2"/>
      <c r="M964" s="2"/>
      <c r="N964" s="2"/>
      <c r="O964" s="2"/>
      <c r="P964" s="2"/>
      <c r="Q964" s="2"/>
      <c r="R964" s="9"/>
      <c r="S964" s="9"/>
      <c r="T964" s="9"/>
      <c r="U964" s="9"/>
      <c r="V964" s="9"/>
      <c r="W964" s="9"/>
      <c r="X964" s="9"/>
      <c r="Y964" s="9"/>
      <c r="Z964" s="9"/>
      <c r="AA964" s="9"/>
      <c r="AB964" s="9"/>
      <c r="AC964" s="9"/>
      <c r="AD964" s="9"/>
    </row>
    <row r="965" spans="1:30" ht="13.5" customHeight="1" x14ac:dyDescent="0.25">
      <c r="A965" s="2"/>
      <c r="B965" s="2"/>
      <c r="C965" s="2"/>
      <c r="D965" s="2"/>
      <c r="E965" s="2"/>
      <c r="F965" s="2"/>
      <c r="G965" s="2"/>
      <c r="H965" s="2"/>
      <c r="I965" s="2"/>
      <c r="J965" s="2"/>
      <c r="K965" s="2"/>
      <c r="L965" s="2"/>
      <c r="M965" s="2"/>
      <c r="N965" s="2"/>
      <c r="O965" s="2"/>
      <c r="P965" s="2"/>
      <c r="Q965" s="2"/>
      <c r="R965" s="9"/>
      <c r="S965" s="9"/>
      <c r="T965" s="9"/>
      <c r="U965" s="9"/>
      <c r="V965" s="9"/>
      <c r="W965" s="9"/>
      <c r="X965" s="9"/>
      <c r="Y965" s="9"/>
      <c r="Z965" s="9"/>
      <c r="AA965" s="9"/>
      <c r="AB965" s="9"/>
      <c r="AC965" s="9"/>
      <c r="AD965" s="9"/>
    </row>
    <row r="966" spans="1:30" ht="13.5" customHeight="1" x14ac:dyDescent="0.25">
      <c r="A966" s="2"/>
      <c r="B966" s="2"/>
      <c r="C966" s="2"/>
      <c r="D966" s="2"/>
      <c r="E966" s="2"/>
      <c r="F966" s="2"/>
      <c r="G966" s="2"/>
      <c r="H966" s="2"/>
      <c r="I966" s="2"/>
      <c r="J966" s="2"/>
      <c r="K966" s="2"/>
      <c r="L966" s="2"/>
      <c r="M966" s="2"/>
      <c r="N966" s="2"/>
      <c r="O966" s="2"/>
      <c r="P966" s="2"/>
      <c r="Q966" s="2"/>
      <c r="R966" s="9"/>
      <c r="S966" s="9"/>
      <c r="T966" s="9"/>
      <c r="U966" s="9"/>
      <c r="V966" s="9"/>
      <c r="W966" s="9"/>
      <c r="X966" s="9"/>
      <c r="Y966" s="9"/>
      <c r="Z966" s="9"/>
      <c r="AA966" s="9"/>
      <c r="AB966" s="9"/>
      <c r="AC966" s="9"/>
      <c r="AD966" s="9"/>
    </row>
    <row r="967" spans="1:30" ht="13.5" customHeight="1" x14ac:dyDescent="0.25">
      <c r="A967" s="2"/>
      <c r="B967" s="2"/>
      <c r="C967" s="2"/>
      <c r="D967" s="2"/>
      <c r="E967" s="2"/>
      <c r="F967" s="2"/>
      <c r="G967" s="2"/>
      <c r="H967" s="2"/>
      <c r="I967" s="2"/>
      <c r="J967" s="2"/>
      <c r="K967" s="2"/>
      <c r="L967" s="2"/>
      <c r="M967" s="2"/>
      <c r="N967" s="2"/>
      <c r="O967" s="2"/>
      <c r="P967" s="2"/>
      <c r="Q967" s="2"/>
      <c r="R967" s="9"/>
      <c r="S967" s="9"/>
      <c r="T967" s="9"/>
      <c r="U967" s="9"/>
      <c r="V967" s="9"/>
      <c r="W967" s="9"/>
      <c r="X967" s="9"/>
      <c r="Y967" s="9"/>
      <c r="Z967" s="9"/>
      <c r="AA967" s="9"/>
      <c r="AB967" s="9"/>
      <c r="AC967" s="9"/>
      <c r="AD967" s="9"/>
    </row>
    <row r="968" spans="1:30" ht="13.5" customHeight="1" x14ac:dyDescent="0.25">
      <c r="A968" s="2"/>
      <c r="B968" s="2"/>
      <c r="C968" s="2"/>
      <c r="D968" s="2"/>
      <c r="E968" s="2"/>
      <c r="F968" s="2"/>
      <c r="G968" s="2"/>
      <c r="H968" s="2"/>
      <c r="I968" s="2"/>
      <c r="J968" s="2"/>
      <c r="K968" s="2"/>
      <c r="L968" s="2"/>
      <c r="M968" s="2"/>
      <c r="N968" s="2"/>
      <c r="O968" s="2"/>
      <c r="P968" s="2"/>
      <c r="Q968" s="2"/>
      <c r="R968" s="9"/>
      <c r="S968" s="9"/>
      <c r="T968" s="9"/>
      <c r="U968" s="9"/>
      <c r="V968" s="9"/>
      <c r="W968" s="9"/>
      <c r="X968" s="9"/>
      <c r="Y968" s="9"/>
      <c r="Z968" s="9"/>
      <c r="AA968" s="9"/>
      <c r="AB968" s="9"/>
      <c r="AC968" s="9"/>
      <c r="AD968" s="9"/>
    </row>
    <row r="969" spans="1:30" ht="13.5" customHeight="1" x14ac:dyDescent="0.25">
      <c r="A969" s="2"/>
      <c r="B969" s="2"/>
      <c r="C969" s="2"/>
      <c r="D969" s="2"/>
      <c r="E969" s="2"/>
      <c r="F969" s="2"/>
      <c r="G969" s="2"/>
      <c r="H969" s="2"/>
      <c r="I969" s="2"/>
      <c r="J969" s="2"/>
      <c r="K969" s="2"/>
      <c r="L969" s="2"/>
      <c r="M969" s="2"/>
      <c r="N969" s="2"/>
      <c r="O969" s="2"/>
      <c r="P969" s="2"/>
      <c r="Q969" s="2"/>
      <c r="R969" s="9"/>
      <c r="S969" s="9"/>
      <c r="T969" s="9"/>
      <c r="U969" s="9"/>
      <c r="V969" s="9"/>
      <c r="W969" s="9"/>
      <c r="X969" s="9"/>
      <c r="Y969" s="9"/>
      <c r="Z969" s="9"/>
      <c r="AA969" s="9"/>
      <c r="AB969" s="9"/>
      <c r="AC969" s="9"/>
      <c r="AD969" s="9"/>
    </row>
    <row r="970" spans="1:30" ht="13.5" customHeight="1" x14ac:dyDescent="0.25">
      <c r="A970" s="2"/>
      <c r="B970" s="2"/>
      <c r="C970" s="2"/>
      <c r="D970" s="2"/>
      <c r="E970" s="2"/>
      <c r="F970" s="2"/>
      <c r="G970" s="2"/>
      <c r="H970" s="2"/>
      <c r="I970" s="2"/>
      <c r="J970" s="2"/>
      <c r="K970" s="2"/>
      <c r="L970" s="2"/>
      <c r="M970" s="2"/>
      <c r="N970" s="2"/>
      <c r="O970" s="2"/>
      <c r="P970" s="2"/>
      <c r="Q970" s="2"/>
      <c r="R970" s="9"/>
      <c r="S970" s="9"/>
      <c r="T970" s="9"/>
      <c r="U970" s="9"/>
      <c r="V970" s="9"/>
      <c r="W970" s="9"/>
      <c r="X970" s="9"/>
      <c r="Y970" s="9"/>
      <c r="Z970" s="9"/>
      <c r="AA970" s="9"/>
      <c r="AB970" s="9"/>
      <c r="AC970" s="9"/>
      <c r="AD970" s="9"/>
    </row>
    <row r="971" spans="1:30" ht="13.5" customHeight="1" x14ac:dyDescent="0.25">
      <c r="A971" s="2"/>
      <c r="B971" s="2"/>
      <c r="C971" s="2"/>
      <c r="D971" s="2"/>
      <c r="E971" s="2"/>
      <c r="F971" s="2"/>
      <c r="G971" s="2"/>
      <c r="H971" s="2"/>
      <c r="I971" s="2"/>
      <c r="J971" s="2"/>
      <c r="K971" s="2"/>
      <c r="L971" s="2"/>
      <c r="M971" s="2"/>
      <c r="N971" s="2"/>
      <c r="O971" s="2"/>
      <c r="P971" s="2"/>
      <c r="Q971" s="2"/>
      <c r="R971" s="9"/>
      <c r="S971" s="9"/>
      <c r="T971" s="9"/>
      <c r="U971" s="9"/>
      <c r="V971" s="9"/>
      <c r="W971" s="9"/>
      <c r="X971" s="9"/>
      <c r="Y971" s="9"/>
      <c r="Z971" s="9"/>
      <c r="AA971" s="9"/>
      <c r="AB971" s="9"/>
      <c r="AC971" s="9"/>
      <c r="AD971" s="9"/>
    </row>
    <row r="972" spans="1:30" ht="13.5" customHeight="1" x14ac:dyDescent="0.25">
      <c r="A972" s="2"/>
      <c r="B972" s="2"/>
      <c r="C972" s="2"/>
      <c r="D972" s="2"/>
      <c r="E972" s="2"/>
      <c r="F972" s="2"/>
      <c r="G972" s="2"/>
      <c r="H972" s="2"/>
      <c r="I972" s="2"/>
      <c r="J972" s="2"/>
      <c r="K972" s="2"/>
      <c r="L972" s="2"/>
      <c r="M972" s="2"/>
      <c r="N972" s="2"/>
      <c r="O972" s="2"/>
      <c r="P972" s="2"/>
      <c r="Q972" s="2"/>
      <c r="R972" s="9"/>
      <c r="S972" s="9"/>
      <c r="T972" s="9"/>
      <c r="U972" s="9"/>
      <c r="V972" s="9"/>
      <c r="W972" s="9"/>
      <c r="X972" s="9"/>
      <c r="Y972" s="9"/>
      <c r="Z972" s="9"/>
      <c r="AA972" s="9"/>
      <c r="AB972" s="9"/>
      <c r="AC972" s="9"/>
      <c r="AD972" s="9"/>
    </row>
    <row r="973" spans="1:30" ht="13.5" customHeight="1" x14ac:dyDescent="0.25">
      <c r="A973" s="2"/>
      <c r="B973" s="2"/>
      <c r="C973" s="2"/>
      <c r="D973" s="2"/>
      <c r="E973" s="2"/>
      <c r="F973" s="2"/>
      <c r="G973" s="2"/>
      <c r="H973" s="2"/>
      <c r="I973" s="2"/>
      <c r="J973" s="2"/>
      <c r="K973" s="2"/>
      <c r="L973" s="2"/>
      <c r="M973" s="2"/>
      <c r="N973" s="2"/>
      <c r="O973" s="2"/>
      <c r="P973" s="2"/>
      <c r="Q973" s="2"/>
      <c r="R973" s="9"/>
      <c r="S973" s="9"/>
      <c r="T973" s="9"/>
      <c r="U973" s="9"/>
      <c r="V973" s="9"/>
      <c r="W973" s="9"/>
      <c r="X973" s="9"/>
      <c r="Y973" s="9"/>
      <c r="Z973" s="9"/>
      <c r="AA973" s="9"/>
      <c r="AB973" s="9"/>
      <c r="AC973" s="9"/>
      <c r="AD973" s="9"/>
    </row>
    <row r="974" spans="1:30" ht="13.5" customHeight="1" x14ac:dyDescent="0.25">
      <c r="A974" s="2"/>
      <c r="B974" s="2"/>
      <c r="C974" s="2"/>
      <c r="D974" s="2"/>
      <c r="E974" s="2"/>
      <c r="F974" s="2"/>
      <c r="G974" s="2"/>
      <c r="H974" s="2"/>
      <c r="I974" s="2"/>
      <c r="J974" s="2"/>
      <c r="K974" s="2"/>
      <c r="L974" s="2"/>
      <c r="M974" s="2"/>
      <c r="N974" s="2"/>
      <c r="O974" s="2"/>
      <c r="P974" s="2"/>
      <c r="Q974" s="2"/>
      <c r="R974" s="9"/>
      <c r="S974" s="9"/>
      <c r="T974" s="9"/>
      <c r="U974" s="9"/>
      <c r="V974" s="9"/>
      <c r="W974" s="9"/>
      <c r="X974" s="9"/>
      <c r="Y974" s="9"/>
      <c r="Z974" s="9"/>
      <c r="AA974" s="9"/>
      <c r="AB974" s="9"/>
      <c r="AC974" s="9"/>
      <c r="AD974" s="9"/>
    </row>
    <row r="975" spans="1:30" ht="13.5" customHeight="1" x14ac:dyDescent="0.25">
      <c r="A975" s="2"/>
      <c r="B975" s="2"/>
      <c r="C975" s="2"/>
      <c r="D975" s="2"/>
      <c r="E975" s="2"/>
      <c r="F975" s="2"/>
      <c r="G975" s="2"/>
      <c r="H975" s="2"/>
      <c r="I975" s="2"/>
      <c r="J975" s="2"/>
      <c r="K975" s="2"/>
      <c r="L975" s="2"/>
      <c r="M975" s="2"/>
      <c r="N975" s="2"/>
      <c r="O975" s="2"/>
      <c r="P975" s="2"/>
      <c r="Q975" s="2"/>
      <c r="R975" s="9"/>
      <c r="S975" s="9"/>
      <c r="T975" s="9"/>
      <c r="U975" s="9"/>
      <c r="V975" s="9"/>
      <c r="W975" s="9"/>
      <c r="X975" s="9"/>
      <c r="Y975" s="9"/>
      <c r="Z975" s="9"/>
      <c r="AA975" s="9"/>
      <c r="AB975" s="9"/>
      <c r="AC975" s="9"/>
      <c r="AD975" s="9"/>
    </row>
    <row r="976" spans="1:30" ht="13.5" customHeight="1" x14ac:dyDescent="0.25">
      <c r="A976" s="2"/>
      <c r="B976" s="2"/>
      <c r="C976" s="2"/>
      <c r="D976" s="2"/>
      <c r="E976" s="2"/>
      <c r="F976" s="2"/>
      <c r="G976" s="2"/>
      <c r="H976" s="2"/>
      <c r="I976" s="2"/>
      <c r="J976" s="2"/>
      <c r="K976" s="2"/>
      <c r="L976" s="2"/>
      <c r="M976" s="2"/>
      <c r="N976" s="2"/>
      <c r="O976" s="2"/>
      <c r="P976" s="2"/>
      <c r="Q976" s="2"/>
      <c r="R976" s="9"/>
      <c r="S976" s="9"/>
      <c r="T976" s="9"/>
      <c r="U976" s="9"/>
      <c r="V976" s="9"/>
      <c r="W976" s="9"/>
      <c r="X976" s="9"/>
      <c r="Y976" s="9"/>
      <c r="Z976" s="9"/>
      <c r="AA976" s="9"/>
      <c r="AB976" s="9"/>
      <c r="AC976" s="9"/>
      <c r="AD976" s="9"/>
    </row>
    <row r="977" spans="1:30" ht="13.5" customHeight="1" x14ac:dyDescent="0.25">
      <c r="A977" s="2"/>
      <c r="B977" s="2"/>
      <c r="C977" s="2"/>
      <c r="D977" s="2"/>
      <c r="E977" s="2"/>
      <c r="F977" s="2"/>
      <c r="G977" s="2"/>
      <c r="H977" s="2"/>
      <c r="I977" s="2"/>
      <c r="J977" s="2"/>
      <c r="K977" s="2"/>
      <c r="L977" s="2"/>
      <c r="M977" s="2"/>
      <c r="N977" s="2"/>
      <c r="O977" s="2"/>
      <c r="P977" s="2"/>
      <c r="Q977" s="2"/>
      <c r="R977" s="9"/>
      <c r="S977" s="9"/>
      <c r="T977" s="9"/>
      <c r="U977" s="9"/>
      <c r="V977" s="9"/>
      <c r="W977" s="9"/>
      <c r="X977" s="9"/>
      <c r="Y977" s="9"/>
      <c r="Z977" s="9"/>
      <c r="AA977" s="9"/>
      <c r="AB977" s="9"/>
      <c r="AC977" s="9"/>
      <c r="AD977" s="9"/>
    </row>
    <row r="978" spans="1:30" ht="13.5" customHeight="1" x14ac:dyDescent="0.25">
      <c r="A978" s="2"/>
      <c r="B978" s="2"/>
      <c r="C978" s="2"/>
      <c r="D978" s="2"/>
      <c r="E978" s="2"/>
      <c r="F978" s="2"/>
      <c r="G978" s="2"/>
      <c r="H978" s="2"/>
      <c r="I978" s="2"/>
      <c r="J978" s="2"/>
      <c r="K978" s="2"/>
      <c r="L978" s="2"/>
      <c r="M978" s="2"/>
      <c r="N978" s="2"/>
      <c r="O978" s="2"/>
      <c r="P978" s="2"/>
      <c r="Q978" s="2"/>
      <c r="R978" s="9"/>
      <c r="S978" s="9"/>
      <c r="T978" s="9"/>
      <c r="U978" s="9"/>
      <c r="V978" s="9"/>
      <c r="W978" s="9"/>
      <c r="X978" s="9"/>
      <c r="Y978" s="9"/>
      <c r="Z978" s="9"/>
      <c r="AA978" s="9"/>
      <c r="AB978" s="9"/>
      <c r="AC978" s="9"/>
      <c r="AD978" s="9"/>
    </row>
    <row r="979" spans="1:30" ht="13.5" customHeight="1" x14ac:dyDescent="0.25">
      <c r="A979" s="2"/>
      <c r="B979" s="2"/>
      <c r="C979" s="2"/>
      <c r="D979" s="2"/>
      <c r="E979" s="2"/>
      <c r="F979" s="2"/>
      <c r="G979" s="2"/>
      <c r="H979" s="2"/>
      <c r="I979" s="2"/>
      <c r="J979" s="2"/>
      <c r="K979" s="2"/>
      <c r="L979" s="2"/>
      <c r="M979" s="2"/>
      <c r="N979" s="2"/>
      <c r="O979" s="2"/>
      <c r="P979" s="2"/>
      <c r="Q979" s="2"/>
      <c r="R979" s="9"/>
      <c r="S979" s="9"/>
      <c r="T979" s="9"/>
      <c r="U979" s="9"/>
      <c r="V979" s="9"/>
      <c r="W979" s="9"/>
      <c r="X979" s="9"/>
      <c r="Y979" s="9"/>
      <c r="Z979" s="9"/>
      <c r="AA979" s="9"/>
      <c r="AB979" s="9"/>
      <c r="AC979" s="9"/>
      <c r="AD979" s="9"/>
    </row>
    <row r="980" spans="1:30" ht="13.5" customHeight="1" x14ac:dyDescent="0.25">
      <c r="A980" s="2"/>
      <c r="B980" s="2"/>
      <c r="C980" s="2"/>
      <c r="D980" s="2"/>
      <c r="E980" s="2"/>
      <c r="F980" s="2"/>
      <c r="G980" s="2"/>
      <c r="H980" s="2"/>
      <c r="I980" s="2"/>
      <c r="J980" s="2"/>
      <c r="K980" s="2"/>
      <c r="L980" s="2"/>
      <c r="M980" s="2"/>
      <c r="N980" s="2"/>
      <c r="O980" s="2"/>
      <c r="P980" s="2"/>
      <c r="Q980" s="2"/>
      <c r="R980" s="9"/>
      <c r="S980" s="9"/>
      <c r="T980" s="9"/>
      <c r="U980" s="9"/>
      <c r="V980" s="9"/>
      <c r="W980" s="9"/>
      <c r="X980" s="9"/>
      <c r="Y980" s="9"/>
      <c r="Z980" s="9"/>
      <c r="AA980" s="9"/>
      <c r="AB980" s="9"/>
      <c r="AC980" s="9"/>
      <c r="AD980" s="9"/>
    </row>
    <row r="981" spans="1:30" ht="13.5" customHeight="1" x14ac:dyDescent="0.25">
      <c r="A981" s="2"/>
      <c r="B981" s="2"/>
      <c r="C981" s="2"/>
      <c r="D981" s="2"/>
      <c r="E981" s="2"/>
      <c r="F981" s="2"/>
      <c r="G981" s="2"/>
      <c r="H981" s="2"/>
      <c r="I981" s="2"/>
      <c r="J981" s="2"/>
      <c r="K981" s="2"/>
      <c r="L981" s="2"/>
      <c r="M981" s="2"/>
      <c r="N981" s="2"/>
      <c r="O981" s="2"/>
      <c r="P981" s="2"/>
      <c r="Q981" s="2"/>
      <c r="R981" s="9"/>
      <c r="S981" s="9"/>
      <c r="T981" s="9"/>
      <c r="U981" s="9"/>
      <c r="V981" s="9"/>
      <c r="W981" s="9"/>
      <c r="X981" s="9"/>
      <c r="Y981" s="9"/>
      <c r="Z981" s="9"/>
      <c r="AA981" s="9"/>
      <c r="AB981" s="9"/>
      <c r="AC981" s="9"/>
      <c r="AD981" s="9"/>
    </row>
    <row r="982" spans="1:30" ht="13.5" customHeight="1" x14ac:dyDescent="0.25">
      <c r="A982" s="2"/>
      <c r="B982" s="2"/>
      <c r="C982" s="2"/>
      <c r="D982" s="2"/>
      <c r="E982" s="2"/>
      <c r="F982" s="2"/>
      <c r="G982" s="2"/>
      <c r="H982" s="2"/>
      <c r="I982" s="2"/>
      <c r="J982" s="2"/>
      <c r="K982" s="2"/>
      <c r="L982" s="2"/>
      <c r="M982" s="2"/>
      <c r="N982" s="2"/>
      <c r="O982" s="2"/>
      <c r="P982" s="2"/>
      <c r="Q982" s="2"/>
      <c r="R982" s="9"/>
      <c r="S982" s="9"/>
      <c r="T982" s="9"/>
      <c r="U982" s="9"/>
      <c r="V982" s="9"/>
      <c r="W982" s="9"/>
      <c r="X982" s="9"/>
      <c r="Y982" s="9"/>
      <c r="Z982" s="9"/>
      <c r="AA982" s="9"/>
      <c r="AB982" s="9"/>
      <c r="AC982" s="9"/>
      <c r="AD982" s="9"/>
    </row>
    <row r="983" spans="1:30" ht="13.5" customHeight="1" x14ac:dyDescent="0.25">
      <c r="A983" s="2"/>
      <c r="B983" s="2"/>
      <c r="C983" s="2"/>
      <c r="D983" s="2"/>
      <c r="E983" s="2"/>
      <c r="F983" s="2"/>
      <c r="G983" s="2"/>
      <c r="H983" s="2"/>
      <c r="I983" s="2"/>
      <c r="J983" s="2"/>
      <c r="K983" s="2"/>
      <c r="L983" s="2"/>
      <c r="M983" s="2"/>
      <c r="N983" s="2"/>
      <c r="O983" s="2"/>
      <c r="P983" s="2"/>
      <c r="Q983" s="2"/>
      <c r="R983" s="9"/>
      <c r="S983" s="9"/>
      <c r="T983" s="9"/>
      <c r="U983" s="9"/>
      <c r="V983" s="9"/>
      <c r="W983" s="9"/>
      <c r="X983" s="9"/>
      <c r="Y983" s="9"/>
      <c r="Z983" s="9"/>
      <c r="AA983" s="9"/>
      <c r="AB983" s="9"/>
      <c r="AC983" s="9"/>
      <c r="AD983" s="9"/>
    </row>
    <row r="984" spans="1:30" ht="13.5" customHeight="1" x14ac:dyDescent="0.25">
      <c r="A984" s="2"/>
      <c r="B984" s="2"/>
      <c r="C984" s="2"/>
      <c r="D984" s="2"/>
      <c r="E984" s="2"/>
      <c r="F984" s="2"/>
      <c r="G984" s="2"/>
      <c r="H984" s="2"/>
      <c r="I984" s="2"/>
      <c r="J984" s="2"/>
      <c r="K984" s="2"/>
      <c r="L984" s="2"/>
      <c r="M984" s="2"/>
      <c r="N984" s="2"/>
      <c r="O984" s="2"/>
      <c r="P984" s="2"/>
      <c r="Q984" s="2"/>
      <c r="R984" s="9"/>
      <c r="S984" s="9"/>
      <c r="T984" s="9"/>
      <c r="U984" s="9"/>
      <c r="V984" s="9"/>
      <c r="W984" s="9"/>
      <c r="X984" s="9"/>
      <c r="Y984" s="9"/>
      <c r="Z984" s="9"/>
      <c r="AA984" s="9"/>
      <c r="AB984" s="9"/>
      <c r="AC984" s="9"/>
      <c r="AD984" s="9"/>
    </row>
    <row r="985" spans="1:30" ht="13.5" customHeight="1" x14ac:dyDescent="0.25">
      <c r="A985" s="2"/>
      <c r="B985" s="2"/>
      <c r="C985" s="2"/>
      <c r="D985" s="2"/>
      <c r="E985" s="2"/>
      <c r="F985" s="2"/>
      <c r="G985" s="2"/>
      <c r="H985" s="2"/>
      <c r="I985" s="2"/>
      <c r="J985" s="2"/>
      <c r="K985" s="2"/>
      <c r="L985" s="2"/>
      <c r="M985" s="2"/>
      <c r="N985" s="2"/>
      <c r="O985" s="2"/>
      <c r="P985" s="2"/>
      <c r="Q985" s="2"/>
      <c r="R985" s="9"/>
      <c r="S985" s="9"/>
      <c r="T985" s="9"/>
      <c r="U985" s="9"/>
      <c r="V985" s="9"/>
      <c r="W985" s="9"/>
      <c r="X985" s="9"/>
      <c r="Y985" s="9"/>
      <c r="Z985" s="9"/>
      <c r="AA985" s="9"/>
      <c r="AB985" s="9"/>
      <c r="AC985" s="9"/>
      <c r="AD985" s="9"/>
    </row>
    <row r="986" spans="1:30" ht="13.5" customHeight="1" x14ac:dyDescent="0.25">
      <c r="A986" s="2"/>
      <c r="B986" s="2"/>
      <c r="C986" s="2"/>
      <c r="D986" s="2"/>
      <c r="E986" s="2"/>
      <c r="F986" s="2"/>
      <c r="G986" s="2"/>
      <c r="H986" s="2"/>
      <c r="I986" s="2"/>
      <c r="J986" s="2"/>
      <c r="K986" s="2"/>
      <c r="L986" s="2"/>
      <c r="M986" s="2"/>
      <c r="N986" s="2"/>
      <c r="O986" s="2"/>
      <c r="P986" s="2"/>
      <c r="Q986" s="2"/>
      <c r="R986" s="9"/>
      <c r="S986" s="9"/>
      <c r="T986" s="9"/>
      <c r="U986" s="9"/>
      <c r="V986" s="9"/>
      <c r="W986" s="9"/>
      <c r="X986" s="9"/>
      <c r="Y986" s="9"/>
      <c r="Z986" s="9"/>
      <c r="AA986" s="9"/>
      <c r="AB986" s="9"/>
      <c r="AC986" s="9"/>
      <c r="AD986" s="9"/>
    </row>
    <row r="987" spans="1:30" ht="13.5" customHeight="1" x14ac:dyDescent="0.25">
      <c r="A987" s="2"/>
      <c r="B987" s="2"/>
      <c r="C987" s="2"/>
      <c r="D987" s="2"/>
      <c r="E987" s="2"/>
      <c r="F987" s="2"/>
      <c r="G987" s="2"/>
      <c r="H987" s="2"/>
      <c r="I987" s="2"/>
      <c r="J987" s="2"/>
      <c r="K987" s="2"/>
      <c r="L987" s="2"/>
      <c r="M987" s="2"/>
      <c r="N987" s="2"/>
      <c r="O987" s="2"/>
      <c r="P987" s="2"/>
      <c r="Q987" s="2"/>
      <c r="R987" s="9"/>
      <c r="S987" s="9"/>
      <c r="T987" s="9"/>
      <c r="U987" s="9"/>
      <c r="V987" s="9"/>
      <c r="W987" s="9"/>
      <c r="X987" s="9"/>
      <c r="Y987" s="9"/>
      <c r="Z987" s="9"/>
      <c r="AA987" s="9"/>
      <c r="AB987" s="9"/>
      <c r="AC987" s="9"/>
      <c r="AD987" s="9"/>
    </row>
    <row r="988" spans="1:30" ht="13.5" customHeight="1" x14ac:dyDescent="0.25">
      <c r="A988" s="2"/>
      <c r="B988" s="2"/>
      <c r="C988" s="2"/>
      <c r="D988" s="2"/>
      <c r="E988" s="2"/>
      <c r="F988" s="2"/>
      <c r="G988" s="2"/>
      <c r="H988" s="2"/>
      <c r="I988" s="2"/>
      <c r="J988" s="2"/>
      <c r="K988" s="2"/>
      <c r="L988" s="2"/>
      <c r="M988" s="2"/>
      <c r="N988" s="2"/>
      <c r="O988" s="2"/>
      <c r="P988" s="2"/>
      <c r="Q988" s="2"/>
      <c r="R988" s="9"/>
      <c r="S988" s="9"/>
      <c r="T988" s="9"/>
      <c r="U988" s="9"/>
      <c r="V988" s="9"/>
      <c r="W988" s="9"/>
      <c r="X988" s="9"/>
      <c r="Y988" s="9"/>
      <c r="Z988" s="9"/>
      <c r="AA988" s="9"/>
      <c r="AB988" s="9"/>
      <c r="AC988" s="9"/>
      <c r="AD988" s="9"/>
    </row>
    <row r="989" spans="1:30" ht="13.5" customHeight="1" x14ac:dyDescent="0.25">
      <c r="A989" s="2"/>
      <c r="B989" s="2"/>
      <c r="C989" s="2"/>
      <c r="D989" s="2"/>
      <c r="E989" s="2"/>
      <c r="F989" s="2"/>
      <c r="G989" s="2"/>
      <c r="H989" s="2"/>
      <c r="I989" s="2"/>
      <c r="J989" s="2"/>
      <c r="K989" s="2"/>
      <c r="L989" s="2"/>
      <c r="M989" s="2"/>
      <c r="N989" s="2"/>
      <c r="O989" s="2"/>
      <c r="P989" s="2"/>
      <c r="Q989" s="2"/>
      <c r="R989" s="9"/>
      <c r="S989" s="9"/>
      <c r="T989" s="9"/>
      <c r="U989" s="9"/>
      <c r="V989" s="9"/>
      <c r="W989" s="9"/>
      <c r="X989" s="9"/>
      <c r="Y989" s="9"/>
      <c r="Z989" s="9"/>
      <c r="AA989" s="9"/>
      <c r="AB989" s="9"/>
      <c r="AC989" s="9"/>
      <c r="AD989" s="9"/>
    </row>
    <row r="990" spans="1:30" ht="13.5" customHeight="1" x14ac:dyDescent="0.25">
      <c r="A990" s="2"/>
      <c r="B990" s="2"/>
      <c r="C990" s="2"/>
      <c r="D990" s="2"/>
      <c r="E990" s="2"/>
      <c r="F990" s="2"/>
      <c r="G990" s="2"/>
      <c r="H990" s="2"/>
      <c r="I990" s="2"/>
      <c r="J990" s="2"/>
      <c r="K990" s="2"/>
      <c r="L990" s="2"/>
      <c r="M990" s="2"/>
      <c r="N990" s="2"/>
      <c r="O990" s="2"/>
      <c r="P990" s="2"/>
      <c r="Q990" s="2"/>
      <c r="R990" s="9"/>
      <c r="S990" s="9"/>
      <c r="T990" s="9"/>
      <c r="U990" s="9"/>
      <c r="V990" s="9"/>
      <c r="W990" s="9"/>
      <c r="X990" s="9"/>
      <c r="Y990" s="9"/>
      <c r="Z990" s="9"/>
      <c r="AA990" s="9"/>
      <c r="AB990" s="9"/>
      <c r="AC990" s="9"/>
      <c r="AD990" s="9"/>
    </row>
    <row r="991" spans="1:30" ht="13.5" customHeight="1" x14ac:dyDescent="0.25">
      <c r="A991" s="2"/>
      <c r="B991" s="2"/>
      <c r="C991" s="2"/>
      <c r="D991" s="2"/>
      <c r="E991" s="2"/>
      <c r="F991" s="2"/>
      <c r="G991" s="2"/>
      <c r="H991" s="2"/>
      <c r="I991" s="2"/>
      <c r="J991" s="2"/>
      <c r="K991" s="2"/>
      <c r="L991" s="2"/>
      <c r="M991" s="2"/>
      <c r="N991" s="2"/>
      <c r="O991" s="2"/>
      <c r="P991" s="2"/>
      <c r="Q991" s="2"/>
      <c r="R991" s="9"/>
      <c r="S991" s="9"/>
      <c r="T991" s="9"/>
      <c r="U991" s="9"/>
      <c r="V991" s="9"/>
      <c r="W991" s="9"/>
      <c r="X991" s="9"/>
      <c r="Y991" s="9"/>
      <c r="Z991" s="9"/>
      <c r="AA991" s="9"/>
      <c r="AB991" s="9"/>
      <c r="AC991" s="9"/>
      <c r="AD991" s="9"/>
    </row>
    <row r="992" spans="1:30" ht="13.5" customHeight="1" x14ac:dyDescent="0.25">
      <c r="A992" s="2"/>
      <c r="B992" s="2"/>
      <c r="C992" s="2"/>
      <c r="D992" s="2"/>
      <c r="E992" s="2"/>
      <c r="F992" s="2"/>
      <c r="G992" s="2"/>
      <c r="H992" s="2"/>
      <c r="I992" s="2"/>
      <c r="J992" s="2"/>
      <c r="K992" s="2"/>
      <c r="L992" s="2"/>
      <c r="M992" s="2"/>
      <c r="N992" s="2"/>
      <c r="O992" s="2"/>
      <c r="P992" s="2"/>
      <c r="Q992" s="2"/>
      <c r="R992" s="9"/>
      <c r="S992" s="9"/>
      <c r="T992" s="9"/>
      <c r="U992" s="9"/>
      <c r="V992" s="9"/>
      <c r="W992" s="9"/>
      <c r="X992" s="9"/>
      <c r="Y992" s="9"/>
      <c r="Z992" s="9"/>
      <c r="AA992" s="9"/>
      <c r="AB992" s="9"/>
      <c r="AC992" s="9"/>
      <c r="AD992" s="9"/>
    </row>
    <row r="993" spans="1:30" ht="13.5" customHeight="1" x14ac:dyDescent="0.25">
      <c r="A993" s="2"/>
      <c r="B993" s="2"/>
      <c r="C993" s="2"/>
      <c r="D993" s="2"/>
      <c r="E993" s="2"/>
      <c r="F993" s="2"/>
      <c r="G993" s="2"/>
      <c r="H993" s="2"/>
      <c r="I993" s="2"/>
      <c r="J993" s="2"/>
      <c r="K993" s="2"/>
      <c r="L993" s="2"/>
      <c r="M993" s="2"/>
      <c r="N993" s="2"/>
      <c r="O993" s="2"/>
      <c r="P993" s="2"/>
      <c r="Q993" s="2"/>
      <c r="R993" s="9"/>
      <c r="S993" s="9"/>
      <c r="T993" s="9"/>
      <c r="U993" s="9"/>
      <c r="V993" s="9"/>
      <c r="W993" s="9"/>
      <c r="X993" s="9"/>
      <c r="Y993" s="9"/>
      <c r="Z993" s="9"/>
      <c r="AA993" s="9"/>
      <c r="AB993" s="9"/>
      <c r="AC993" s="9"/>
      <c r="AD993" s="9"/>
    </row>
    <row r="994" spans="1:30" ht="13.5" customHeight="1" x14ac:dyDescent="0.25">
      <c r="A994" s="2"/>
      <c r="B994" s="2"/>
      <c r="C994" s="2"/>
      <c r="D994" s="2"/>
      <c r="E994" s="2"/>
      <c r="F994" s="2"/>
      <c r="G994" s="2"/>
      <c r="H994" s="2"/>
      <c r="I994" s="2"/>
      <c r="J994" s="2"/>
      <c r="K994" s="2"/>
      <c r="L994" s="2"/>
      <c r="M994" s="2"/>
      <c r="N994" s="2"/>
      <c r="O994" s="2"/>
      <c r="P994" s="2"/>
      <c r="Q994" s="2"/>
      <c r="R994" s="9"/>
      <c r="S994" s="9"/>
      <c r="T994" s="9"/>
      <c r="U994" s="9"/>
      <c r="V994" s="9"/>
      <c r="W994" s="9"/>
      <c r="X994" s="9"/>
      <c r="Y994" s="9"/>
      <c r="Z994" s="9"/>
      <c r="AA994" s="9"/>
      <c r="AB994" s="9"/>
      <c r="AC994" s="9"/>
      <c r="AD994" s="9"/>
    </row>
    <row r="995" spans="1:30" ht="13.5" customHeight="1" x14ac:dyDescent="0.25">
      <c r="A995" s="2"/>
      <c r="B995" s="2"/>
      <c r="C995" s="2"/>
      <c r="D995" s="2"/>
      <c r="E995" s="2"/>
      <c r="F995" s="2"/>
      <c r="G995" s="2"/>
      <c r="H995" s="2"/>
      <c r="I995" s="2"/>
      <c r="J995" s="2"/>
      <c r="K995" s="2"/>
      <c r="L995" s="2"/>
      <c r="M995" s="2"/>
      <c r="N995" s="2"/>
      <c r="O995" s="2"/>
      <c r="P995" s="2"/>
      <c r="Q995" s="2"/>
      <c r="R995" s="9"/>
      <c r="S995" s="9"/>
      <c r="T995" s="9"/>
      <c r="U995" s="9"/>
      <c r="V995" s="9"/>
      <c r="W995" s="9"/>
      <c r="X995" s="9"/>
      <c r="Y995" s="9"/>
      <c r="Z995" s="9"/>
      <c r="AA995" s="9"/>
      <c r="AB995" s="9"/>
      <c r="AC995" s="9"/>
      <c r="AD995" s="9"/>
    </row>
    <row r="996" spans="1:30" ht="13.5" customHeight="1" x14ac:dyDescent="0.25">
      <c r="A996" s="2"/>
      <c r="B996" s="2"/>
      <c r="C996" s="2"/>
      <c r="D996" s="2"/>
      <c r="E996" s="2"/>
      <c r="F996" s="2"/>
      <c r="G996" s="2"/>
      <c r="H996" s="2"/>
      <c r="I996" s="2"/>
      <c r="J996" s="2"/>
      <c r="K996" s="2"/>
      <c r="L996" s="2"/>
      <c r="M996" s="2"/>
      <c r="N996" s="2"/>
      <c r="O996" s="2"/>
      <c r="P996" s="2"/>
      <c r="Q996" s="2"/>
      <c r="R996" s="9"/>
      <c r="S996" s="9"/>
      <c r="T996" s="9"/>
      <c r="U996" s="9"/>
      <c r="V996" s="9"/>
      <c r="W996" s="9"/>
      <c r="X996" s="9"/>
      <c r="Y996" s="9"/>
      <c r="Z996" s="9"/>
      <c r="AA996" s="9"/>
      <c r="AB996" s="9"/>
      <c r="AC996" s="9"/>
      <c r="AD996" s="9"/>
    </row>
    <row r="997" spans="1:30" ht="13.5" customHeight="1" x14ac:dyDescent="0.25">
      <c r="A997" s="2"/>
      <c r="B997" s="2"/>
      <c r="C997" s="2"/>
      <c r="D997" s="2"/>
      <c r="E997" s="2"/>
      <c r="F997" s="2"/>
      <c r="G997" s="2"/>
      <c r="H997" s="2"/>
      <c r="I997" s="2"/>
      <c r="J997" s="2"/>
      <c r="K997" s="2"/>
      <c r="L997" s="2"/>
      <c r="M997" s="2"/>
      <c r="N997" s="2"/>
      <c r="O997" s="2"/>
      <c r="P997" s="2"/>
      <c r="Q997" s="2"/>
      <c r="R997" s="9"/>
      <c r="S997" s="9"/>
      <c r="T997" s="9"/>
      <c r="U997" s="9"/>
      <c r="V997" s="9"/>
      <c r="W997" s="9"/>
      <c r="X997" s="9"/>
      <c r="Y997" s="9"/>
      <c r="Z997" s="9"/>
      <c r="AA997" s="9"/>
      <c r="AB997" s="9"/>
      <c r="AC997" s="9"/>
      <c r="AD997" s="9"/>
    </row>
    <row r="998" spans="1:30" ht="13.5" customHeight="1" x14ac:dyDescent="0.25">
      <c r="A998" s="2"/>
      <c r="B998" s="2"/>
      <c r="C998" s="2"/>
      <c r="D998" s="2"/>
      <c r="E998" s="2"/>
      <c r="F998" s="2"/>
      <c r="G998" s="2"/>
      <c r="H998" s="2"/>
      <c r="I998" s="2"/>
      <c r="J998" s="2"/>
      <c r="K998" s="2"/>
      <c r="L998" s="2"/>
      <c r="M998" s="2"/>
      <c r="N998" s="2"/>
      <c r="O998" s="2"/>
      <c r="P998" s="2"/>
      <c r="Q998" s="2"/>
      <c r="R998" s="9"/>
      <c r="S998" s="9"/>
      <c r="T998" s="9"/>
      <c r="U998" s="9"/>
      <c r="V998" s="9"/>
      <c r="W998" s="9"/>
      <c r="X998" s="9"/>
      <c r="Y998" s="9"/>
      <c r="Z998" s="9"/>
      <c r="AA998" s="9"/>
      <c r="AB998" s="9"/>
      <c r="AC998" s="9"/>
      <c r="AD998" s="9"/>
    </row>
    <row r="999" spans="1:30" ht="13.5" customHeight="1" x14ac:dyDescent="0.25">
      <c r="A999" s="2"/>
      <c r="B999" s="2"/>
      <c r="C999" s="2"/>
      <c r="D999" s="2"/>
      <c r="E999" s="2"/>
      <c r="F999" s="2"/>
      <c r="G999" s="2"/>
      <c r="H999" s="2"/>
      <c r="I999" s="2"/>
      <c r="J999" s="2"/>
      <c r="K999" s="2"/>
      <c r="L999" s="2"/>
      <c r="M999" s="2"/>
      <c r="N999" s="2"/>
      <c r="O999" s="2"/>
      <c r="P999" s="2"/>
      <c r="Q999" s="2"/>
      <c r="R999" s="9"/>
      <c r="S999" s="9"/>
      <c r="T999" s="9"/>
      <c r="U999" s="9"/>
      <c r="V999" s="9"/>
      <c r="W999" s="9"/>
      <c r="X999" s="9"/>
      <c r="Y999" s="9"/>
      <c r="Z999" s="9"/>
      <c r="AA999" s="9"/>
      <c r="AB999" s="9"/>
      <c r="AC999" s="9"/>
      <c r="AD999" s="9"/>
    </row>
    <row r="1000" spans="1:30" ht="13.5" customHeight="1" x14ac:dyDescent="0.25">
      <c r="A1000" s="2"/>
      <c r="B1000" s="2"/>
      <c r="C1000" s="2"/>
      <c r="D1000" s="2"/>
      <c r="E1000" s="2"/>
      <c r="F1000" s="2"/>
      <c r="G1000" s="2"/>
      <c r="H1000" s="2"/>
      <c r="I1000" s="2"/>
      <c r="J1000" s="2"/>
      <c r="K1000" s="2"/>
      <c r="L1000" s="2"/>
      <c r="M1000" s="2"/>
      <c r="N1000" s="2"/>
      <c r="O1000" s="2"/>
      <c r="P1000" s="2"/>
      <c r="Q1000" s="2"/>
      <c r="R1000" s="9"/>
      <c r="S1000" s="9"/>
      <c r="T1000" s="9"/>
      <c r="U1000" s="9"/>
      <c r="V1000" s="9"/>
      <c r="W1000" s="9"/>
      <c r="X1000" s="9"/>
      <c r="Y1000" s="9"/>
      <c r="Z1000" s="9"/>
      <c r="AA1000" s="9"/>
      <c r="AB1000" s="9"/>
      <c r="AC1000" s="9"/>
      <c r="AD1000" s="9"/>
    </row>
  </sheetData>
  <mergeCells count="19">
    <mergeCell ref="K1:M1"/>
    <mergeCell ref="N1:O1"/>
    <mergeCell ref="K2:N2"/>
    <mergeCell ref="K3:N3"/>
    <mergeCell ref="O3:P3"/>
    <mergeCell ref="B4:G4"/>
    <mergeCell ref="I4:O4"/>
    <mergeCell ref="N14:O14"/>
    <mergeCell ref="N15:O15"/>
    <mergeCell ref="N16:O16"/>
    <mergeCell ref="E18:K18"/>
    <mergeCell ref="E42:K42"/>
    <mergeCell ref="I6:O6"/>
    <mergeCell ref="N7:O7"/>
    <mergeCell ref="N8:O8"/>
    <mergeCell ref="N9:O9"/>
    <mergeCell ref="N10:O10"/>
    <mergeCell ref="I12:O12"/>
    <mergeCell ref="N13:O13"/>
  </mergeCells>
  <conditionalFormatting sqref="I6">
    <cfRule type="expression" dxfId="159" priority="1">
      <formula>$Q$2="Report"</formula>
    </cfRule>
    <cfRule type="expression" dxfId="158" priority="2">
      <formula>$P$2="Report"</formula>
    </cfRule>
  </conditionalFormatting>
  <conditionalFormatting sqref="I12">
    <cfRule type="expression" dxfId="157" priority="3">
      <formula>$Q$2="Report"</formula>
    </cfRule>
    <cfRule type="expression" dxfId="156" priority="4">
      <formula>$P$2="Report"</formula>
    </cfRule>
  </conditionalFormatting>
  <conditionalFormatting sqref="M21:M39">
    <cfRule type="containsText" dxfId="155" priority="5" operator="containsText" text="N/A">
      <formula>NOT(ISERROR(SEARCH(("N/A"),(M21))))</formula>
    </cfRule>
  </conditionalFormatting>
  <conditionalFormatting sqref="M45:M59">
    <cfRule type="containsText" dxfId="154" priority="6" operator="containsText" text="N/A">
      <formula>NOT(ISERROR(SEARCH(("N/A"),(M45))))</formula>
    </cfRule>
  </conditionalFormatting>
  <conditionalFormatting sqref="M65:M66">
    <cfRule type="containsText" dxfId="153" priority="7" operator="containsText" text="N/A">
      <formula>NOT(ISERROR(SEARCH(("N/A"),(M65))))</formula>
    </cfRule>
  </conditionalFormatting>
  <conditionalFormatting sqref="O21:O39">
    <cfRule type="containsText" dxfId="152" priority="8" operator="containsText" text="N/A">
      <formula>NOT(ISERROR(SEARCH(("N/A"),(O21))))</formula>
    </cfRule>
  </conditionalFormatting>
  <conditionalFormatting sqref="O45:O59">
    <cfRule type="containsText" dxfId="151" priority="9" operator="containsText" text="N/A">
      <formula>NOT(ISERROR(SEARCH(("N/A"),(O45))))</formula>
    </cfRule>
  </conditionalFormatting>
  <conditionalFormatting sqref="O65:O66">
    <cfRule type="containsText" dxfId="150" priority="10" operator="containsText" text="N/A">
      <formula>NOT(ISERROR(SEARCH(("N/A"),(O65))))</formula>
    </cfRule>
  </conditionalFormatting>
  <conditionalFormatting sqref="S1">
    <cfRule type="containsText" dxfId="149" priority="11" operator="containsText" text="Check!">
      <formula>NOT(ISERROR(SEARCH(("Check!"),(S1))))</formula>
    </cfRule>
  </conditionalFormatting>
  <dataValidations count="1">
    <dataValidation type="list" allowBlank="1" showErrorMessage="1" sqref="S21" xr:uid="{00000000-0002-0000-0300-000000000000}">
      <formula1>$Y$1:$Y$2</formula1>
    </dataValidation>
  </dataValidations>
  <pageMargins left="1" right="1" top="1" bottom="1"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8000"/>
  </sheetPr>
  <dimension ref="A1:Z1000"/>
  <sheetViews>
    <sheetView showGridLines="0" zoomScale="80" zoomScaleNormal="80" workbookViewId="0">
      <pane ySplit="2" topLeftCell="A3" activePane="bottomLeft" state="frozen"/>
      <selection pane="bottomLeft"/>
    </sheetView>
  </sheetViews>
  <sheetFormatPr defaultColWidth="14.42578125" defaultRowHeight="15" customHeight="1" x14ac:dyDescent="0.25"/>
  <cols>
    <col min="1" max="2" width="1.7109375" customWidth="1"/>
    <col min="3" max="13" width="10.5703125" customWidth="1"/>
    <col min="14" max="14" width="6.5703125" customWidth="1"/>
    <col min="15" max="22" width="11.7109375" customWidth="1"/>
    <col min="23" max="23" width="2.28515625" customWidth="1"/>
    <col min="24" max="26" width="8.7109375" customWidth="1"/>
  </cols>
  <sheetData>
    <row r="1" spans="1:26" ht="13.5" customHeight="1" x14ac:dyDescent="0.35">
      <c r="A1" s="4"/>
      <c r="B1" s="4"/>
      <c r="C1" s="5" t="str">
        <f ca="1">Company_Name&amp;" - "&amp;MID(CELL("filename",A1),FIND("]",CELL("filename",A1))+1,255)&amp;": "&amp;Case_Scenario&amp;" Case"</f>
        <v>American Express Company - Football Field: Base Case</v>
      </c>
      <c r="D1" s="4"/>
      <c r="E1" s="4"/>
      <c r="F1" s="4"/>
      <c r="G1" s="4"/>
      <c r="H1" s="4"/>
      <c r="I1" s="4"/>
      <c r="J1" s="4"/>
      <c r="K1" s="4"/>
      <c r="L1" s="4"/>
      <c r="M1" s="4"/>
      <c r="N1" s="4"/>
      <c r="O1" s="4"/>
      <c r="P1" s="4"/>
      <c r="Q1" s="4"/>
      <c r="R1" s="4"/>
      <c r="S1" s="4"/>
      <c r="T1" s="4"/>
      <c r="U1" s="4"/>
      <c r="V1" s="4"/>
      <c r="W1" s="169"/>
      <c r="X1" s="4"/>
      <c r="Y1" s="4"/>
      <c r="Z1" s="4"/>
    </row>
    <row r="2" spans="1:26" ht="13.5" customHeight="1" x14ac:dyDescent="0.25">
      <c r="A2" s="9"/>
      <c r="B2" s="9"/>
      <c r="C2" s="7" t="str">
        <f>Cover!C2</f>
        <v>$ in Millions Except Per Share Data</v>
      </c>
      <c r="D2" s="9"/>
      <c r="E2" s="9"/>
      <c r="F2" s="9"/>
      <c r="G2" s="9"/>
      <c r="H2" s="9"/>
      <c r="I2" s="9"/>
      <c r="J2" s="9"/>
      <c r="K2" s="9"/>
      <c r="L2" s="9"/>
      <c r="M2" s="9"/>
      <c r="N2" s="9"/>
      <c r="O2" s="9"/>
      <c r="P2" s="9"/>
      <c r="Q2" s="9"/>
      <c r="R2" s="9"/>
      <c r="S2" s="9"/>
      <c r="T2" s="9"/>
      <c r="U2" s="9"/>
      <c r="V2" s="9"/>
      <c r="W2" s="64"/>
      <c r="X2" s="9"/>
      <c r="Y2" s="9"/>
      <c r="Z2" s="9"/>
    </row>
    <row r="3" spans="1:26" ht="13.5" customHeight="1" x14ac:dyDescent="0.25">
      <c r="A3" s="3"/>
      <c r="B3" s="9"/>
      <c r="C3" s="9"/>
      <c r="D3" s="9"/>
      <c r="E3" s="9"/>
      <c r="F3" s="9"/>
      <c r="G3" s="9"/>
      <c r="H3" s="9"/>
      <c r="I3" s="9"/>
      <c r="J3" s="9"/>
      <c r="K3" s="9"/>
      <c r="L3" s="9"/>
      <c r="M3" s="9"/>
      <c r="N3" s="9"/>
      <c r="O3" s="9"/>
      <c r="P3" s="9"/>
      <c r="Q3" s="9"/>
      <c r="R3" s="9"/>
      <c r="S3" s="9"/>
      <c r="T3" s="9"/>
      <c r="U3" s="9"/>
      <c r="V3" s="9"/>
      <c r="W3" s="64"/>
      <c r="X3" s="9"/>
      <c r="Y3" s="9"/>
      <c r="Z3" s="9"/>
    </row>
    <row r="4" spans="1:26" ht="13.5" customHeight="1" x14ac:dyDescent="0.25">
      <c r="A4" s="170" t="s">
        <v>0</v>
      </c>
      <c r="B4" s="9"/>
      <c r="C4" s="9"/>
      <c r="D4" s="9"/>
      <c r="E4" s="9"/>
      <c r="F4" s="9"/>
      <c r="G4" s="9"/>
      <c r="H4" s="9"/>
      <c r="I4" s="9"/>
      <c r="J4" s="9"/>
      <c r="K4" s="9"/>
      <c r="L4" s="9"/>
      <c r="M4" s="9"/>
      <c r="N4" s="9"/>
      <c r="O4" s="76" t="s">
        <v>153</v>
      </c>
      <c r="P4" s="76"/>
      <c r="Q4" s="76"/>
      <c r="R4" s="76"/>
      <c r="S4" s="76"/>
      <c r="T4" s="171" t="s">
        <v>154</v>
      </c>
      <c r="U4" s="172" t="s">
        <v>155</v>
      </c>
      <c r="V4" s="173" t="s">
        <v>156</v>
      </c>
      <c r="W4" s="174" t="s">
        <v>0</v>
      </c>
      <c r="X4" s="9"/>
      <c r="Y4" s="9"/>
      <c r="Z4" s="9"/>
    </row>
    <row r="5" spans="1:26" ht="13.5" customHeight="1" x14ac:dyDescent="0.25">
      <c r="A5" s="9"/>
      <c r="B5" s="9"/>
      <c r="C5" s="9"/>
      <c r="D5" s="9"/>
      <c r="E5" s="9"/>
      <c r="F5" s="9"/>
      <c r="G5" s="9"/>
      <c r="H5" s="9"/>
      <c r="I5" s="9"/>
      <c r="J5" s="9"/>
      <c r="K5" s="9"/>
      <c r="L5" s="9"/>
      <c r="M5" s="9"/>
      <c r="N5" s="9"/>
      <c r="O5" s="9" t="str">
        <f ca="1">TEXT(Valuation!E100,"0.0%")&amp;" - "&amp;TEXT(Valuation!E102,"0.0%")&amp;" WACC"&amp;" &amp; "&amp;TEXT(Valuation!G98,"0.0%")&amp;" - "&amp;TEXT(Valuation!I98,"0.0%")&amp;" PGR"</f>
        <v>7.7% - 8.7% WACC &amp; 1.5% - 2.5% PGR</v>
      </c>
      <c r="P5" s="9"/>
      <c r="Q5" s="9"/>
      <c r="R5" s="9"/>
      <c r="S5" s="9"/>
      <c r="T5" s="175">
        <f>Valuation!G100</f>
        <v>195.04954830416227</v>
      </c>
      <c r="U5" s="176">
        <f t="shared" ref="U5:U6" si="0">V5-T5</f>
        <v>20.38591593197205</v>
      </c>
      <c r="V5" s="175">
        <f>Valuation!I102</f>
        <v>215.43546423613432</v>
      </c>
      <c r="W5" s="64"/>
      <c r="X5" s="9"/>
      <c r="Y5" s="9"/>
      <c r="Z5" s="9"/>
    </row>
    <row r="6" spans="1:26" ht="13.5" customHeight="1" x14ac:dyDescent="0.25">
      <c r="A6" s="9"/>
      <c r="B6" s="9"/>
      <c r="C6" s="9"/>
      <c r="D6" s="9"/>
      <c r="E6" s="9"/>
      <c r="F6" s="9"/>
      <c r="G6" s="9"/>
      <c r="H6" s="9"/>
      <c r="I6" s="9"/>
      <c r="J6" s="9"/>
      <c r="K6" s="9"/>
      <c r="L6" s="9"/>
      <c r="M6" s="9"/>
      <c r="N6" s="9"/>
      <c r="O6" s="9" t="str">
        <f ca="1">TEXT(Valuation!E92,"0.0%")&amp;" - "&amp;TEXT(Valuation!E94,"0.0%")&amp;" WACC"&amp;" &amp; "&amp;TEXT(Valuation!G90,"0.0x")&amp;" - "&amp;TEXT(Valuation!I90,"0.0x")&amp;" Exit Multiple"</f>
        <v>7.7% - 8.7% WACC &amp; 17.0x - 19.0x Exit Multiple</v>
      </c>
      <c r="P6" s="9"/>
      <c r="Q6" s="9"/>
      <c r="R6" s="9"/>
      <c r="S6" s="9"/>
      <c r="T6" s="47">
        <f>Valuation!G92</f>
        <v>250.78261834058881</v>
      </c>
      <c r="U6" s="107">
        <f t="shared" si="0"/>
        <v>27.264040885164633</v>
      </c>
      <c r="V6" s="47">
        <f>Valuation!I94</f>
        <v>278.04665922575344</v>
      </c>
      <c r="W6" s="64"/>
      <c r="X6" s="9"/>
      <c r="Y6" s="9"/>
      <c r="Z6" s="9"/>
    </row>
    <row r="7" spans="1:26" ht="13.5" customHeight="1" x14ac:dyDescent="0.25">
      <c r="A7" s="9"/>
      <c r="B7" s="9"/>
      <c r="C7" s="9"/>
      <c r="D7" s="9"/>
      <c r="E7" s="9"/>
      <c r="F7" s="9"/>
      <c r="G7" s="9"/>
      <c r="H7" s="9"/>
      <c r="I7" s="9"/>
      <c r="J7" s="9"/>
      <c r="K7" s="9"/>
      <c r="L7" s="9"/>
      <c r="M7" s="9"/>
      <c r="N7" s="9"/>
      <c r="O7" s="9"/>
      <c r="P7" s="9"/>
      <c r="Q7" s="9"/>
      <c r="R7" s="9"/>
      <c r="S7" s="9"/>
      <c r="T7" s="107"/>
      <c r="U7" s="107"/>
      <c r="V7" s="107"/>
      <c r="W7" s="64"/>
      <c r="X7" s="9"/>
      <c r="Y7" s="9"/>
      <c r="Z7" s="9"/>
    </row>
    <row r="8" spans="1:26" ht="13.5" customHeight="1" x14ac:dyDescent="0.25">
      <c r="A8" s="9"/>
      <c r="B8" s="9"/>
      <c r="C8" s="9"/>
      <c r="D8" s="9"/>
      <c r="E8" s="9"/>
      <c r="F8" s="9"/>
      <c r="G8" s="9"/>
      <c r="H8" s="9"/>
      <c r="I8" s="9"/>
      <c r="J8" s="9"/>
      <c r="K8" s="9"/>
      <c r="L8" s="9"/>
      <c r="M8" s="9"/>
      <c r="N8" s="9"/>
      <c r="O8" s="9" t="str">
        <f>Valuation!F176&amp;": "&amp;TEXT(Valuation!G177,"0.0x")&amp;" - "&amp;TEXT(Valuation!I177,"0.0x")</f>
        <v>NTM EV/EBITDA Spread to Comps: 9.9x - 11.9x</v>
      </c>
      <c r="P8" s="9"/>
      <c r="Q8" s="9"/>
      <c r="R8" s="9"/>
      <c r="S8" s="9"/>
      <c r="T8" s="47">
        <f>Valuation!G179</f>
        <v>209.23348011234188</v>
      </c>
      <c r="U8" s="107">
        <f t="shared" ref="U8:U11" si="1">V8-T8</f>
        <v>100.49024724596924</v>
      </c>
      <c r="V8" s="47">
        <f>Valuation!I181</f>
        <v>309.72372735831112</v>
      </c>
      <c r="W8" s="64"/>
      <c r="X8" s="9"/>
      <c r="Y8" s="9"/>
      <c r="Z8" s="9"/>
    </row>
    <row r="9" spans="1:26" ht="13.5" customHeight="1" x14ac:dyDescent="0.25">
      <c r="A9" s="9"/>
      <c r="B9" s="9"/>
      <c r="C9" s="9"/>
      <c r="D9" s="9"/>
      <c r="E9" s="9"/>
      <c r="F9" s="9"/>
      <c r="G9" s="9"/>
      <c r="H9" s="9"/>
      <c r="I9" s="9"/>
      <c r="J9" s="9"/>
      <c r="K9" s="9"/>
      <c r="L9" s="9"/>
      <c r="M9" s="9"/>
      <c r="N9" s="9"/>
      <c r="O9" s="9" t="str">
        <f>Valuation!F168&amp;": "&amp;TEXT(Valuation!G169,"0.0x")&amp;" - "&amp;TEXT(Valuation!I169,"0.0x")</f>
        <v>NTM EV/EBITDA: 11.5x - 13.5x</v>
      </c>
      <c r="P9" s="9"/>
      <c r="Q9" s="9"/>
      <c r="R9" s="9"/>
      <c r="S9" s="9"/>
      <c r="T9" s="47">
        <f>Valuation!G171</f>
        <v>197.97413940238593</v>
      </c>
      <c r="U9" s="107">
        <f t="shared" si="1"/>
        <v>97.988171532645737</v>
      </c>
      <c r="V9" s="47">
        <f>Valuation!I173</f>
        <v>295.96231093503167</v>
      </c>
      <c r="W9" s="64"/>
      <c r="X9" s="9"/>
      <c r="Y9" s="9"/>
      <c r="Z9" s="9"/>
    </row>
    <row r="10" spans="1:26" ht="13.5" customHeight="1" x14ac:dyDescent="0.25">
      <c r="A10" s="9"/>
      <c r="B10" s="9"/>
      <c r="C10" s="9"/>
      <c r="D10" s="9"/>
      <c r="E10" s="9"/>
      <c r="F10" s="9"/>
      <c r="G10" s="9"/>
      <c r="H10" s="9"/>
      <c r="I10" s="9"/>
      <c r="J10" s="9"/>
      <c r="K10" s="9"/>
      <c r="L10" s="9"/>
      <c r="M10" s="9"/>
      <c r="N10" s="9"/>
      <c r="O10" s="9" t="str">
        <f>Valuation!F160&amp;": "&amp;TEXT(Valuation!G161,"0.0x")&amp;" - "&amp;TEXT(Valuation!I161,"0.0x")</f>
        <v>NTM P/E Spread to Comps: 16.3x - 18.3x</v>
      </c>
      <c r="P10" s="9"/>
      <c r="Q10" s="9"/>
      <c r="R10" s="9"/>
      <c r="S10" s="9"/>
      <c r="T10" s="47">
        <f>Valuation!G163</f>
        <v>271.58665503518813</v>
      </c>
      <c r="U10" s="107">
        <f t="shared" si="1"/>
        <v>101.01250305151422</v>
      </c>
      <c r="V10" s="47">
        <f>Valuation!I165</f>
        <v>372.59915808670235</v>
      </c>
      <c r="W10" s="64"/>
      <c r="X10" s="9"/>
      <c r="Y10" s="9"/>
      <c r="Z10" s="9"/>
    </row>
    <row r="11" spans="1:26" ht="13.5" customHeight="1" x14ac:dyDescent="0.25">
      <c r="A11" s="9"/>
      <c r="B11" s="9"/>
      <c r="C11" s="9"/>
      <c r="D11" s="9"/>
      <c r="E11" s="9"/>
      <c r="F11" s="9"/>
      <c r="G11" s="9"/>
      <c r="H11" s="9"/>
      <c r="I11" s="9"/>
      <c r="J11" s="9"/>
      <c r="K11" s="9"/>
      <c r="L11" s="9"/>
      <c r="M11" s="9"/>
      <c r="N11" s="9"/>
      <c r="O11" s="9" t="str">
        <f>Valuation!F152&amp;": "&amp;TEXT(Valuation!G153,"0.0x")&amp;" - "&amp;TEXT(Valuation!I153,"0.0x")</f>
        <v>NTM P/E: 18.6x - 20.6x</v>
      </c>
      <c r="P11" s="9"/>
      <c r="Q11" s="9"/>
      <c r="R11" s="9"/>
      <c r="S11" s="9"/>
      <c r="T11" s="47">
        <f>Valuation!G155</f>
        <v>309.49701904103568</v>
      </c>
      <c r="U11" s="107">
        <f t="shared" si="1"/>
        <v>109.43702838614701</v>
      </c>
      <c r="V11" s="47">
        <f>Valuation!I157</f>
        <v>418.93404742718269</v>
      </c>
      <c r="W11" s="64"/>
      <c r="X11" s="9"/>
      <c r="Y11" s="9"/>
      <c r="Z11" s="9"/>
    </row>
    <row r="12" spans="1:26" ht="13.5" customHeight="1" x14ac:dyDescent="0.25">
      <c r="A12" s="9"/>
      <c r="B12" s="9"/>
      <c r="C12" s="9"/>
      <c r="D12" s="9"/>
      <c r="E12" s="9"/>
      <c r="F12" s="9"/>
      <c r="G12" s="9"/>
      <c r="H12" s="9"/>
      <c r="I12" s="9"/>
      <c r="J12" s="9"/>
      <c r="K12" s="9"/>
      <c r="L12" s="9"/>
      <c r="M12" s="9"/>
      <c r="N12" s="9"/>
      <c r="O12" s="9"/>
      <c r="P12" s="9"/>
      <c r="Q12" s="9"/>
      <c r="R12" s="9"/>
      <c r="S12" s="9"/>
      <c r="T12" s="47"/>
      <c r="U12" s="107"/>
      <c r="V12" s="47"/>
      <c r="W12" s="64"/>
      <c r="X12" s="9"/>
      <c r="Y12" s="9"/>
      <c r="Z12" s="9"/>
    </row>
    <row r="13" spans="1:26" ht="13.5" customHeight="1" x14ac:dyDescent="0.25">
      <c r="A13" s="9"/>
      <c r="B13" s="9"/>
      <c r="C13" s="9"/>
      <c r="D13" s="9"/>
      <c r="E13" s="9"/>
      <c r="F13" s="9"/>
      <c r="G13" s="9"/>
      <c r="H13" s="9"/>
      <c r="I13" s="9"/>
      <c r="J13" s="9"/>
      <c r="K13" s="9"/>
      <c r="L13" s="9"/>
      <c r="M13" s="9"/>
      <c r="N13" s="9"/>
      <c r="O13" s="9" t="str">
        <f>Valuation!F252&amp;": "&amp;TEXT(Valuation!G253,"0.0x")&amp;" - "&amp;TEXT(Valuation!I253,"0.0x")</f>
        <v>2009-2018 Early Cycle EV/EBITDA Spread to Comps: 12.5x - 14.5x</v>
      </c>
      <c r="P13" s="9"/>
      <c r="Q13" s="9"/>
      <c r="R13" s="9"/>
      <c r="S13" s="9"/>
      <c r="T13" s="47">
        <f>Valuation!G255</f>
        <v>202.21364140726214</v>
      </c>
      <c r="U13" s="107">
        <f t="shared" ref="U13:U16" si="2">V13-T13</f>
        <v>39.300331499266292</v>
      </c>
      <c r="V13" s="47">
        <f>Valuation!I255</f>
        <v>241.51397290652844</v>
      </c>
      <c r="W13" s="64"/>
      <c r="X13" s="9"/>
      <c r="Y13" s="9"/>
      <c r="Z13" s="9"/>
    </row>
    <row r="14" spans="1:26" ht="13.5" customHeight="1" x14ac:dyDescent="0.25">
      <c r="A14" s="9"/>
      <c r="B14" s="9"/>
      <c r="C14" s="9"/>
      <c r="D14" s="9"/>
      <c r="E14" s="9"/>
      <c r="F14" s="9"/>
      <c r="G14" s="9"/>
      <c r="H14" s="9"/>
      <c r="I14" s="9"/>
      <c r="J14" s="9"/>
      <c r="K14" s="9"/>
      <c r="L14" s="9"/>
      <c r="M14" s="9"/>
      <c r="N14" s="9"/>
      <c r="O14" s="9" t="str">
        <f>Valuation!F244&amp;": "&amp;TEXT(Valuation!G245,"0.0x")&amp;" - "&amp;TEXT(Valuation!I245,"0.0x")</f>
        <v>2009-2018 Early Cycle EV/EBITDA: 14.8x - 16.8x</v>
      </c>
      <c r="P14" s="9"/>
      <c r="Q14" s="9"/>
      <c r="R14" s="9"/>
      <c r="S14" s="9"/>
      <c r="T14" s="47">
        <f>Valuation!G247</f>
        <v>99.10310229774737</v>
      </c>
      <c r="U14" s="107">
        <f t="shared" si="2"/>
        <v>39.300331499266349</v>
      </c>
      <c r="V14" s="47">
        <f>Valuation!I247</f>
        <v>138.40343379701372</v>
      </c>
      <c r="W14" s="64"/>
      <c r="X14" s="9"/>
      <c r="Y14" s="9"/>
      <c r="Z14" s="9"/>
    </row>
    <row r="15" spans="1:26" ht="13.5" customHeight="1" x14ac:dyDescent="0.25">
      <c r="A15" s="9"/>
      <c r="B15" s="9"/>
      <c r="C15" s="9"/>
      <c r="D15" s="9"/>
      <c r="E15" s="9"/>
      <c r="F15" s="9"/>
      <c r="G15" s="9"/>
      <c r="H15" s="9"/>
      <c r="I15" s="9"/>
      <c r="J15" s="9"/>
      <c r="K15" s="9"/>
      <c r="L15" s="9"/>
      <c r="M15" s="9"/>
      <c r="N15" s="9"/>
      <c r="O15" s="9" t="str">
        <f>Valuation!F236&amp;": "&amp;TEXT(Valuation!G237,"0.0x")&amp;" - "&amp;TEXT(Valuation!I237,"0.0x")</f>
        <v>2009-2018 Early Cycle P/E Spread to Comps: 16.1x - 18.1x</v>
      </c>
      <c r="P15" s="9"/>
      <c r="Q15" s="9"/>
      <c r="R15" s="9"/>
      <c r="S15" s="9"/>
      <c r="T15" s="47">
        <f>Valuation!G239</f>
        <v>267.04260782546874</v>
      </c>
      <c r="U15" s="107">
        <f t="shared" si="2"/>
        <v>26.408300884071082</v>
      </c>
      <c r="V15" s="47">
        <f>Valuation!I239</f>
        <v>293.45090870953982</v>
      </c>
      <c r="W15" s="64"/>
      <c r="X15" s="9"/>
      <c r="Y15" s="9"/>
      <c r="Z15" s="9"/>
    </row>
    <row r="16" spans="1:26" ht="13.5" customHeight="1" x14ac:dyDescent="0.25">
      <c r="A16" s="9"/>
      <c r="B16" s="9"/>
      <c r="C16" s="9"/>
      <c r="D16" s="9"/>
      <c r="E16" s="9"/>
      <c r="F16" s="9"/>
      <c r="G16" s="9"/>
      <c r="H16" s="9"/>
      <c r="I16" s="9"/>
      <c r="J16" s="9"/>
      <c r="K16" s="9"/>
      <c r="L16" s="9"/>
      <c r="M16" s="9"/>
      <c r="N16" s="9"/>
      <c r="O16" s="9" t="str">
        <f>Valuation!F228&amp;": "&amp;TEXT(Valuation!G229,"0.0x")&amp;" - "&amp;TEXT(Valuation!I229,"0.0x")</f>
        <v>2009-2018 Early Cycle P/E: 13.1x - 15.1x</v>
      </c>
      <c r="P16" s="9"/>
      <c r="Q16" s="9"/>
      <c r="R16" s="9"/>
      <c r="S16" s="9"/>
      <c r="T16" s="47">
        <f>Valuation!G231</f>
        <v>205.30918954876387</v>
      </c>
      <c r="U16" s="107">
        <f t="shared" si="2"/>
        <v>26.40830088407111</v>
      </c>
      <c r="V16" s="47">
        <f>Valuation!I231</f>
        <v>231.71749043283498</v>
      </c>
      <c r="W16" s="64"/>
      <c r="X16" s="9"/>
      <c r="Y16" s="9"/>
      <c r="Z16" s="9"/>
    </row>
    <row r="17" spans="1:26" ht="13.5" customHeight="1" x14ac:dyDescent="0.25">
      <c r="A17" s="9"/>
      <c r="B17" s="9"/>
      <c r="C17" s="9"/>
      <c r="D17" s="9"/>
      <c r="E17" s="9"/>
      <c r="F17" s="9"/>
      <c r="G17" s="9"/>
      <c r="H17" s="9"/>
      <c r="I17" s="9"/>
      <c r="J17" s="9"/>
      <c r="K17" s="9"/>
      <c r="L17" s="9"/>
      <c r="M17" s="9"/>
      <c r="N17" s="9"/>
      <c r="O17" s="9"/>
      <c r="P17" s="9"/>
      <c r="Q17" s="9"/>
      <c r="R17" s="9"/>
      <c r="S17" s="9"/>
      <c r="T17" s="107"/>
      <c r="U17" s="107"/>
      <c r="V17" s="107"/>
      <c r="W17" s="64"/>
      <c r="X17" s="9"/>
      <c r="Y17" s="9"/>
      <c r="Z17" s="9"/>
    </row>
    <row r="18" spans="1:26" ht="13.5" customHeight="1" x14ac:dyDescent="0.25">
      <c r="A18" s="9"/>
      <c r="B18" s="9"/>
      <c r="C18" s="9"/>
      <c r="D18" s="9"/>
      <c r="E18" s="9"/>
      <c r="F18" s="9"/>
      <c r="G18" s="9"/>
      <c r="H18" s="9"/>
      <c r="I18" s="9"/>
      <c r="J18" s="9"/>
      <c r="K18" s="9"/>
      <c r="L18" s="9"/>
      <c r="M18" s="9"/>
      <c r="N18" s="9"/>
      <c r="O18" s="9" t="s">
        <v>157</v>
      </c>
      <c r="P18" s="9"/>
      <c r="Q18" s="9"/>
      <c r="R18" s="9"/>
      <c r="S18" s="9"/>
      <c r="T18" s="177">
        <f>Share_Price_Low</f>
        <v>273.61</v>
      </c>
      <c r="U18" s="178">
        <f>V18-T18</f>
        <v>113.88</v>
      </c>
      <c r="V18" s="179">
        <f>Share_Price_High</f>
        <v>387.49</v>
      </c>
      <c r="W18" s="64"/>
      <c r="X18" s="9"/>
      <c r="Y18" s="9"/>
      <c r="Z18" s="9"/>
    </row>
    <row r="19" spans="1:26" ht="13.5" customHeight="1" x14ac:dyDescent="0.25">
      <c r="A19" s="9"/>
      <c r="B19" s="9"/>
      <c r="C19" s="9"/>
      <c r="D19" s="9"/>
      <c r="E19" s="9"/>
      <c r="F19" s="9"/>
      <c r="G19" s="9"/>
      <c r="H19" s="9"/>
      <c r="I19" s="9"/>
      <c r="J19" s="9"/>
      <c r="K19" s="9"/>
      <c r="L19" s="9"/>
      <c r="M19" s="9"/>
      <c r="N19" s="9"/>
      <c r="O19" s="180" t="s">
        <v>158</v>
      </c>
      <c r="P19" s="70"/>
      <c r="Q19" s="70"/>
      <c r="R19" s="70"/>
      <c r="S19" s="70"/>
      <c r="T19" s="181">
        <f t="shared" ref="T19:V19" si="3">MEDIAN(T5:T18)</f>
        <v>209.23348011234188</v>
      </c>
      <c r="U19" s="181">
        <f t="shared" si="3"/>
        <v>39.300331499266349</v>
      </c>
      <c r="V19" s="182">
        <f t="shared" si="3"/>
        <v>293.45090870953982</v>
      </c>
      <c r="W19" s="64"/>
      <c r="X19" s="9"/>
      <c r="Y19" s="9"/>
      <c r="Z19" s="9"/>
    </row>
    <row r="20" spans="1:26" ht="13.5" customHeight="1" x14ac:dyDescent="0.25">
      <c r="A20" s="170" t="s">
        <v>0</v>
      </c>
      <c r="B20" s="9"/>
      <c r="C20" s="9"/>
      <c r="D20" s="9"/>
      <c r="E20" s="9"/>
      <c r="F20" s="9"/>
      <c r="G20" s="9"/>
      <c r="H20" s="9"/>
      <c r="I20" s="9"/>
      <c r="J20" s="9"/>
      <c r="K20" s="9"/>
      <c r="L20" s="9"/>
      <c r="M20" s="9"/>
      <c r="N20" s="9"/>
      <c r="O20" s="84" t="s">
        <v>159</v>
      </c>
      <c r="P20" s="9"/>
      <c r="Q20" s="9"/>
      <c r="R20" s="9"/>
      <c r="S20" s="9"/>
      <c r="T20" s="85">
        <f>T19/Share_Price-1</f>
        <v>-0.3355346942985109</v>
      </c>
      <c r="U20" s="85"/>
      <c r="V20" s="85">
        <f>V19/Share_Price-1</f>
        <v>-6.8084382770047247E-2</v>
      </c>
      <c r="W20" s="64"/>
      <c r="X20" s="9"/>
      <c r="Y20" s="9"/>
      <c r="Z20" s="9"/>
    </row>
    <row r="21" spans="1:26" ht="13.5" customHeight="1" x14ac:dyDescent="0.25">
      <c r="A21" s="9"/>
      <c r="B21" s="9"/>
      <c r="C21" s="9"/>
      <c r="D21" s="9"/>
      <c r="E21" s="9"/>
      <c r="F21" s="9"/>
      <c r="G21" s="9"/>
      <c r="H21" s="9"/>
      <c r="I21" s="9"/>
      <c r="J21" s="9"/>
      <c r="K21" s="9"/>
      <c r="L21" s="9"/>
      <c r="M21" s="9"/>
      <c r="N21" s="9"/>
      <c r="O21" s="9"/>
      <c r="P21" s="9"/>
      <c r="Q21" s="9"/>
      <c r="R21" s="9"/>
      <c r="S21" s="9"/>
      <c r="T21" s="9"/>
      <c r="U21" s="9"/>
      <c r="V21" s="9"/>
      <c r="W21" s="64"/>
      <c r="X21" s="9"/>
      <c r="Y21" s="9"/>
      <c r="Z21" s="9"/>
    </row>
    <row r="22" spans="1:26" ht="13.5" customHeight="1" x14ac:dyDescent="0.25">
      <c r="A22" s="9"/>
      <c r="B22" s="9"/>
      <c r="C22" s="9"/>
      <c r="D22" s="9"/>
      <c r="E22" s="9"/>
      <c r="F22" s="9"/>
      <c r="G22" s="9"/>
      <c r="H22" s="9"/>
      <c r="I22" s="9"/>
      <c r="J22" s="9"/>
      <c r="K22" s="9"/>
      <c r="L22" s="9"/>
      <c r="M22" s="9"/>
      <c r="N22" s="9"/>
      <c r="O22" s="9"/>
      <c r="P22" s="9"/>
      <c r="Q22" s="9"/>
      <c r="R22" s="9"/>
      <c r="S22" s="9"/>
      <c r="T22" s="982" t="s">
        <v>160</v>
      </c>
      <c r="U22" s="983"/>
      <c r="V22" s="984"/>
      <c r="W22" s="64"/>
      <c r="X22" s="9"/>
      <c r="Y22" s="9"/>
      <c r="Z22" s="9"/>
    </row>
    <row r="23" spans="1:26" ht="13.5" customHeight="1" x14ac:dyDescent="0.25">
      <c r="A23" s="9"/>
      <c r="B23" s="9"/>
      <c r="C23" s="9"/>
      <c r="D23" s="9"/>
      <c r="E23" s="9"/>
      <c r="F23" s="9"/>
      <c r="G23" s="9"/>
      <c r="H23" s="9"/>
      <c r="I23" s="9"/>
      <c r="J23" s="9"/>
      <c r="K23" s="9"/>
      <c r="L23" s="9"/>
      <c r="M23" s="9"/>
      <c r="N23" s="9"/>
      <c r="O23" s="9"/>
      <c r="P23" s="9"/>
      <c r="Q23" s="9"/>
      <c r="R23" s="9"/>
      <c r="S23" s="9"/>
      <c r="T23" s="9"/>
      <c r="U23" s="9"/>
      <c r="V23" s="9"/>
      <c r="W23" s="64"/>
      <c r="X23" s="9"/>
      <c r="Y23" s="9"/>
      <c r="Z23" s="9"/>
    </row>
    <row r="24" spans="1:26" ht="13.5" customHeight="1" x14ac:dyDescent="0.25">
      <c r="A24" s="9"/>
      <c r="B24" s="9"/>
      <c r="C24" s="9"/>
      <c r="D24" s="9"/>
      <c r="E24" s="9"/>
      <c r="F24" s="9"/>
      <c r="G24" s="9"/>
      <c r="H24" s="9"/>
      <c r="I24" s="9"/>
      <c r="J24" s="9"/>
      <c r="K24" s="9"/>
      <c r="L24" s="9"/>
      <c r="M24" s="9"/>
      <c r="N24" s="9"/>
      <c r="O24" s="9"/>
      <c r="P24" s="9"/>
      <c r="Q24" s="9"/>
      <c r="R24" s="9"/>
      <c r="S24" s="9"/>
      <c r="T24" s="64"/>
      <c r="U24" s="154" t="s">
        <v>161</v>
      </c>
      <c r="V24" s="9"/>
      <c r="W24" s="64"/>
      <c r="X24" s="9"/>
      <c r="Y24" s="9"/>
      <c r="Z24" s="9"/>
    </row>
    <row r="25" spans="1:26" ht="13.5" customHeight="1" x14ac:dyDescent="0.25">
      <c r="A25" s="170" t="s">
        <v>0</v>
      </c>
      <c r="B25" s="9"/>
      <c r="C25" s="9"/>
      <c r="D25" s="9"/>
      <c r="E25" s="9"/>
      <c r="F25" s="9"/>
      <c r="G25" s="9"/>
      <c r="H25" s="9"/>
      <c r="I25" s="9"/>
      <c r="J25" s="9"/>
      <c r="K25" s="9"/>
      <c r="L25" s="9"/>
      <c r="M25" s="9"/>
      <c r="N25" s="9"/>
      <c r="O25" s="9"/>
      <c r="P25" s="9"/>
      <c r="Q25" s="9"/>
      <c r="R25" s="9"/>
      <c r="S25" s="9"/>
      <c r="T25" s="136" t="s">
        <v>162</v>
      </c>
      <c r="U25" s="175">
        <f>MAX(V5:V18)*1.1</f>
        <v>460.82745216990099</v>
      </c>
      <c r="V25" s="9"/>
      <c r="W25" s="174" t="s">
        <v>0</v>
      </c>
      <c r="X25" s="9"/>
      <c r="Y25" s="9"/>
      <c r="Z25" s="9"/>
    </row>
    <row r="26" spans="1:26" ht="13.5" customHeight="1" x14ac:dyDescent="0.25">
      <c r="A26" s="170"/>
      <c r="B26" s="9"/>
      <c r="C26" s="9"/>
      <c r="D26" s="9"/>
      <c r="E26" s="9"/>
      <c r="F26" s="9"/>
      <c r="G26" s="9"/>
      <c r="H26" s="9"/>
      <c r="I26" s="9"/>
      <c r="J26" s="9"/>
      <c r="K26" s="9"/>
      <c r="L26" s="9"/>
      <c r="M26" s="9"/>
      <c r="N26" s="9"/>
      <c r="O26" s="9"/>
      <c r="P26" s="9"/>
      <c r="Q26" s="9"/>
      <c r="R26" s="9"/>
      <c r="S26" s="9"/>
      <c r="T26" s="136" t="s">
        <v>163</v>
      </c>
      <c r="U26" s="175">
        <f>MIN(T5:T18)*0.9</f>
        <v>89.192792067972633</v>
      </c>
      <c r="V26" s="9"/>
      <c r="W26" s="64"/>
      <c r="X26" s="9"/>
      <c r="Y26" s="9"/>
      <c r="Z26" s="9"/>
    </row>
    <row r="27" spans="1:26" ht="13.5" customHeight="1" x14ac:dyDescent="0.25">
      <c r="A27" s="9"/>
      <c r="B27" s="9"/>
      <c r="C27" s="9"/>
      <c r="D27" s="9"/>
      <c r="E27" s="9"/>
      <c r="F27" s="9"/>
      <c r="G27" s="9"/>
      <c r="H27" s="9"/>
      <c r="I27" s="9"/>
      <c r="J27" s="9"/>
      <c r="K27" s="9"/>
      <c r="L27" s="9"/>
      <c r="M27" s="9"/>
      <c r="N27" s="9"/>
      <c r="O27" s="9"/>
      <c r="P27" s="9"/>
      <c r="Q27" s="9"/>
      <c r="R27" s="9"/>
      <c r="S27" s="9"/>
      <c r="T27" s="9"/>
      <c r="U27" s="9"/>
      <c r="V27" s="9"/>
      <c r="W27" s="64"/>
      <c r="X27" s="9"/>
      <c r="Y27" s="9"/>
      <c r="Z27" s="9"/>
    </row>
    <row r="28" spans="1:26" ht="13.5" customHeight="1" x14ac:dyDescent="0.25">
      <c r="A28" s="9"/>
      <c r="B28" s="9"/>
      <c r="C28" s="9"/>
      <c r="D28" s="9"/>
      <c r="E28" s="9"/>
      <c r="F28" s="9"/>
      <c r="G28" s="9"/>
      <c r="H28" s="9"/>
      <c r="I28" s="9"/>
      <c r="J28" s="9"/>
      <c r="K28" s="9"/>
      <c r="L28" s="9"/>
      <c r="M28" s="9"/>
      <c r="N28" s="9"/>
      <c r="O28" s="9"/>
      <c r="P28" s="9"/>
      <c r="Q28" s="9"/>
      <c r="R28" s="9"/>
      <c r="S28" s="9"/>
      <c r="T28" s="9"/>
      <c r="U28" s="9"/>
      <c r="V28" s="9"/>
      <c r="W28" s="64"/>
      <c r="X28" s="9"/>
      <c r="Y28" s="9"/>
      <c r="Z28" s="9"/>
    </row>
    <row r="29" spans="1:26" ht="13.5" customHeight="1" x14ac:dyDescent="0.25">
      <c r="A29" s="9"/>
      <c r="B29" s="9"/>
      <c r="C29" s="9"/>
      <c r="D29" s="9"/>
      <c r="E29" s="9"/>
      <c r="F29" s="9"/>
      <c r="G29" s="9"/>
      <c r="H29" s="9"/>
      <c r="I29" s="9"/>
      <c r="J29" s="9"/>
      <c r="K29" s="9"/>
      <c r="L29" s="9"/>
      <c r="M29" s="9"/>
      <c r="N29" s="9"/>
      <c r="O29" s="9"/>
      <c r="P29" s="9"/>
      <c r="Q29" s="9"/>
      <c r="R29" s="9"/>
      <c r="S29" s="9"/>
      <c r="T29" s="9"/>
      <c r="U29" s="9"/>
      <c r="V29" s="9"/>
      <c r="W29" s="64"/>
      <c r="X29" s="9"/>
      <c r="Y29" s="9"/>
      <c r="Z29" s="9"/>
    </row>
    <row r="30" spans="1:26" ht="13.5" customHeight="1" x14ac:dyDescent="0.25">
      <c r="A30" s="170" t="s">
        <v>0</v>
      </c>
      <c r="B30" s="9"/>
      <c r="C30" s="9"/>
      <c r="D30" s="9"/>
      <c r="E30" s="9"/>
      <c r="F30" s="9"/>
      <c r="G30" s="9"/>
      <c r="H30" s="9"/>
      <c r="I30" s="9"/>
      <c r="J30" s="9"/>
      <c r="K30" s="9"/>
      <c r="L30" s="9"/>
      <c r="M30" s="9"/>
      <c r="N30" s="9"/>
      <c r="O30" s="9"/>
      <c r="P30" s="9"/>
      <c r="Q30" s="9"/>
      <c r="R30" s="9"/>
      <c r="S30" s="9"/>
      <c r="T30" s="9"/>
      <c r="U30" s="9"/>
      <c r="V30" s="9"/>
      <c r="W30" s="64"/>
      <c r="X30" s="9"/>
      <c r="Y30" s="9"/>
      <c r="Z30" s="9"/>
    </row>
    <row r="31" spans="1:26" ht="13.5" customHeight="1" x14ac:dyDescent="0.25">
      <c r="A31" s="9"/>
      <c r="B31" s="9"/>
      <c r="C31" s="9"/>
      <c r="D31" s="9"/>
      <c r="E31" s="9"/>
      <c r="F31" s="9"/>
      <c r="G31" s="9"/>
      <c r="H31" s="9"/>
      <c r="I31" s="9"/>
      <c r="J31" s="9"/>
      <c r="K31" s="9"/>
      <c r="L31" s="9"/>
      <c r="M31" s="9"/>
      <c r="N31" s="9"/>
      <c r="O31" s="9"/>
      <c r="P31" s="9"/>
      <c r="Q31" s="9"/>
      <c r="R31" s="9"/>
      <c r="S31" s="9"/>
      <c r="T31" s="9"/>
      <c r="U31" s="9"/>
      <c r="V31" s="9"/>
      <c r="W31" s="64"/>
      <c r="X31" s="9"/>
      <c r="Y31" s="9"/>
      <c r="Z31" s="9"/>
    </row>
    <row r="32" spans="1:26" ht="13.5" customHeight="1" x14ac:dyDescent="0.25">
      <c r="A32" s="2"/>
      <c r="B32" s="2"/>
      <c r="C32" s="2"/>
      <c r="D32" s="2"/>
      <c r="E32" s="2"/>
      <c r="F32" s="2"/>
      <c r="G32" s="2"/>
      <c r="H32" s="2"/>
      <c r="I32" s="2"/>
      <c r="J32" s="2"/>
      <c r="K32" s="2"/>
      <c r="L32" s="2"/>
      <c r="M32" s="2"/>
      <c r="N32" s="2"/>
      <c r="O32" s="2"/>
      <c r="P32" s="2"/>
      <c r="Q32" s="2"/>
      <c r="R32" s="2"/>
      <c r="S32" s="2"/>
      <c r="T32" s="2"/>
      <c r="U32" s="2"/>
      <c r="V32" s="2"/>
      <c r="W32" s="183"/>
      <c r="X32" s="2"/>
      <c r="Y32" s="2"/>
      <c r="Z32" s="2"/>
    </row>
    <row r="33" spans="1:26" ht="13.5" customHeight="1" x14ac:dyDescent="0.25">
      <c r="A33" s="2"/>
      <c r="B33" s="2"/>
      <c r="C33" s="2"/>
      <c r="D33" s="2"/>
      <c r="E33" s="2"/>
      <c r="F33" s="2"/>
      <c r="G33" s="2"/>
      <c r="H33" s="2"/>
      <c r="I33" s="2"/>
      <c r="J33" s="2"/>
      <c r="K33" s="2"/>
      <c r="L33" s="2"/>
      <c r="M33" s="2"/>
      <c r="N33" s="2"/>
      <c r="O33" s="2"/>
      <c r="P33" s="2"/>
      <c r="Q33" s="2"/>
      <c r="R33" s="2"/>
      <c r="S33" s="2"/>
      <c r="T33" s="2"/>
      <c r="U33" s="2"/>
      <c r="V33" s="2"/>
      <c r="W33" s="183"/>
      <c r="X33" s="2"/>
      <c r="Y33" s="2"/>
      <c r="Z33" s="2"/>
    </row>
    <row r="34" spans="1:26" ht="13.5" customHeight="1" x14ac:dyDescent="0.25">
      <c r="A34" s="2"/>
      <c r="B34" s="2"/>
      <c r="C34" s="2"/>
      <c r="D34" s="2"/>
      <c r="E34" s="2"/>
      <c r="F34" s="2"/>
      <c r="G34" s="2"/>
      <c r="H34" s="2"/>
      <c r="I34" s="2"/>
      <c r="J34" s="2"/>
      <c r="K34" s="2"/>
      <c r="L34" s="2"/>
      <c r="M34" s="2"/>
      <c r="N34" s="2"/>
      <c r="O34" s="2"/>
      <c r="P34" s="2"/>
      <c r="Q34" s="2"/>
      <c r="R34" s="2"/>
      <c r="S34" s="2"/>
      <c r="T34" s="2"/>
      <c r="U34" s="2"/>
      <c r="V34" s="2"/>
      <c r="W34" s="183"/>
      <c r="X34" s="2"/>
      <c r="Y34" s="2"/>
      <c r="Z34" s="2"/>
    </row>
    <row r="35" spans="1:26" ht="13.5" customHeight="1" x14ac:dyDescent="0.25">
      <c r="A35" s="2"/>
      <c r="B35" s="2"/>
      <c r="C35" s="2"/>
      <c r="D35" s="2"/>
      <c r="E35" s="2"/>
      <c r="F35" s="2"/>
      <c r="G35" s="2"/>
      <c r="H35" s="2"/>
      <c r="I35" s="2"/>
      <c r="J35" s="2"/>
      <c r="K35" s="2"/>
      <c r="L35" s="2"/>
      <c r="M35" s="2"/>
      <c r="N35" s="2"/>
      <c r="O35" s="2"/>
      <c r="P35" s="2"/>
      <c r="Q35" s="2"/>
      <c r="R35" s="2"/>
      <c r="S35" s="2"/>
      <c r="T35" s="2"/>
      <c r="U35" s="2"/>
      <c r="V35" s="2"/>
      <c r="W35" s="183"/>
      <c r="X35" s="2"/>
      <c r="Y35" s="2"/>
      <c r="Z35" s="2"/>
    </row>
    <row r="36" spans="1:26" ht="13.5" customHeight="1" x14ac:dyDescent="0.25">
      <c r="A36" s="2"/>
      <c r="B36" s="2"/>
      <c r="C36" s="2"/>
      <c r="D36" s="2"/>
      <c r="E36" s="2"/>
      <c r="F36" s="2"/>
      <c r="G36" s="2"/>
      <c r="H36" s="2"/>
      <c r="I36" s="2"/>
      <c r="J36" s="2"/>
      <c r="K36" s="2"/>
      <c r="L36" s="2"/>
      <c r="M36" s="2"/>
      <c r="N36" s="2"/>
      <c r="O36" s="2"/>
      <c r="P36" s="2"/>
      <c r="Q36" s="2"/>
      <c r="R36" s="2"/>
      <c r="S36" s="2"/>
      <c r="T36" s="2"/>
      <c r="U36" s="2"/>
      <c r="V36" s="2"/>
      <c r="W36" s="183"/>
      <c r="X36" s="2"/>
      <c r="Y36" s="2"/>
      <c r="Z36" s="2"/>
    </row>
    <row r="37" spans="1:26" ht="13.5" customHeight="1" x14ac:dyDescent="0.25">
      <c r="A37" s="2"/>
      <c r="B37" s="2"/>
      <c r="C37" s="2"/>
      <c r="D37" s="2"/>
      <c r="E37" s="2"/>
      <c r="F37" s="2"/>
      <c r="G37" s="2"/>
      <c r="H37" s="2"/>
      <c r="I37" s="2"/>
      <c r="J37" s="2"/>
      <c r="K37" s="2"/>
      <c r="L37" s="2"/>
      <c r="M37" s="2"/>
      <c r="N37" s="2"/>
      <c r="O37" s="2"/>
      <c r="P37" s="2"/>
      <c r="Q37" s="2"/>
      <c r="R37" s="2"/>
      <c r="S37" s="2"/>
      <c r="T37" s="2"/>
      <c r="U37" s="2"/>
      <c r="V37" s="2"/>
      <c r="W37" s="183"/>
      <c r="X37" s="2"/>
      <c r="Y37" s="2"/>
      <c r="Z37" s="2"/>
    </row>
    <row r="38" spans="1:26" ht="13.5" customHeight="1" x14ac:dyDescent="0.25">
      <c r="A38" s="2"/>
      <c r="B38" s="2"/>
      <c r="C38" s="2"/>
      <c r="D38" s="2"/>
      <c r="E38" s="2"/>
      <c r="F38" s="2"/>
      <c r="G38" s="2"/>
      <c r="H38" s="2"/>
      <c r="I38" s="2"/>
      <c r="J38" s="2"/>
      <c r="K38" s="2"/>
      <c r="L38" s="2"/>
      <c r="M38" s="2"/>
      <c r="N38" s="2"/>
      <c r="O38" s="2"/>
      <c r="P38" s="2"/>
      <c r="Q38" s="2"/>
      <c r="R38" s="2"/>
      <c r="S38" s="2"/>
      <c r="T38" s="2"/>
      <c r="U38" s="2"/>
      <c r="V38" s="2"/>
      <c r="W38" s="183"/>
      <c r="X38" s="2"/>
      <c r="Y38" s="2"/>
      <c r="Z38" s="2"/>
    </row>
    <row r="39" spans="1:26" ht="13.5" customHeight="1" x14ac:dyDescent="0.25">
      <c r="A39" s="2"/>
      <c r="B39" s="2"/>
      <c r="C39" s="2"/>
      <c r="D39" s="2"/>
      <c r="E39" s="2"/>
      <c r="F39" s="2"/>
      <c r="G39" s="2"/>
      <c r="H39" s="2"/>
      <c r="I39" s="2"/>
      <c r="J39" s="2"/>
      <c r="K39" s="2"/>
      <c r="L39" s="2"/>
      <c r="M39" s="2"/>
      <c r="N39" s="2"/>
      <c r="O39" s="2"/>
      <c r="P39" s="2"/>
      <c r="Q39" s="2"/>
      <c r="R39" s="2"/>
      <c r="S39" s="2"/>
      <c r="T39" s="2"/>
      <c r="U39" s="2"/>
      <c r="V39" s="2"/>
      <c r="W39" s="183"/>
      <c r="X39" s="2"/>
      <c r="Y39" s="2"/>
      <c r="Z39" s="2"/>
    </row>
    <row r="40" spans="1:26" ht="13.5" customHeight="1" x14ac:dyDescent="0.25">
      <c r="A40" s="2"/>
      <c r="B40" s="2"/>
      <c r="C40" s="2"/>
      <c r="D40" s="2"/>
      <c r="E40" s="2"/>
      <c r="F40" s="2"/>
      <c r="G40" s="2"/>
      <c r="H40" s="2"/>
      <c r="I40" s="2"/>
      <c r="J40" s="2"/>
      <c r="K40" s="2"/>
      <c r="L40" s="2"/>
      <c r="M40" s="2"/>
      <c r="N40" s="2"/>
      <c r="O40" s="2"/>
      <c r="P40" s="2"/>
      <c r="Q40" s="2"/>
      <c r="R40" s="2"/>
      <c r="S40" s="2"/>
      <c r="T40" s="2"/>
      <c r="U40" s="2"/>
      <c r="V40" s="2"/>
      <c r="W40" s="183"/>
      <c r="X40" s="2"/>
      <c r="Y40" s="2"/>
      <c r="Z40" s="2"/>
    </row>
    <row r="41" spans="1:26" ht="13.5" customHeight="1" x14ac:dyDescent="0.25">
      <c r="A41" s="2"/>
      <c r="B41" s="2"/>
      <c r="C41" s="2"/>
      <c r="D41" s="2"/>
      <c r="E41" s="2"/>
      <c r="F41" s="2"/>
      <c r="G41" s="2"/>
      <c r="H41" s="2"/>
      <c r="I41" s="2"/>
      <c r="J41" s="2"/>
      <c r="K41" s="2"/>
      <c r="L41" s="2"/>
      <c r="M41" s="2"/>
      <c r="N41" s="2"/>
      <c r="O41" s="2"/>
      <c r="P41" s="2"/>
      <c r="Q41" s="2"/>
      <c r="R41" s="2"/>
      <c r="S41" s="2"/>
      <c r="T41" s="2"/>
      <c r="U41" s="2"/>
      <c r="V41" s="2"/>
      <c r="W41" s="183"/>
      <c r="X41" s="2"/>
      <c r="Y41" s="2"/>
      <c r="Z41" s="2"/>
    </row>
    <row r="42" spans="1:26" ht="13.5" customHeight="1" x14ac:dyDescent="0.25">
      <c r="A42" s="2"/>
      <c r="B42" s="2"/>
      <c r="C42" s="2"/>
      <c r="D42" s="2"/>
      <c r="E42" s="2"/>
      <c r="F42" s="2"/>
      <c r="G42" s="2"/>
      <c r="H42" s="2"/>
      <c r="I42" s="2"/>
      <c r="J42" s="2"/>
      <c r="K42" s="2"/>
      <c r="L42" s="2"/>
      <c r="M42" s="2"/>
      <c r="N42" s="2"/>
      <c r="O42" s="2"/>
      <c r="P42" s="2"/>
      <c r="Q42" s="2"/>
      <c r="R42" s="2"/>
      <c r="S42" s="2"/>
      <c r="T42" s="2"/>
      <c r="U42" s="2"/>
      <c r="V42" s="2"/>
      <c r="W42" s="183"/>
      <c r="X42" s="2"/>
      <c r="Y42" s="2"/>
      <c r="Z42" s="2"/>
    </row>
    <row r="43" spans="1:26" ht="13.5" customHeight="1" x14ac:dyDescent="0.25">
      <c r="A43" s="2"/>
      <c r="B43" s="2"/>
      <c r="C43" s="2"/>
      <c r="D43" s="2"/>
      <c r="E43" s="2"/>
      <c r="F43" s="2"/>
      <c r="G43" s="2"/>
      <c r="H43" s="2"/>
      <c r="I43" s="2"/>
      <c r="J43" s="2"/>
      <c r="K43" s="2"/>
      <c r="L43" s="2"/>
      <c r="M43" s="2"/>
      <c r="N43" s="2"/>
      <c r="O43" s="2"/>
      <c r="P43" s="2"/>
      <c r="Q43" s="2"/>
      <c r="R43" s="2"/>
      <c r="S43" s="2"/>
      <c r="T43" s="2"/>
      <c r="U43" s="2"/>
      <c r="V43" s="2"/>
      <c r="W43" s="183"/>
      <c r="X43" s="2"/>
      <c r="Y43" s="2"/>
      <c r="Z43" s="2"/>
    </row>
    <row r="44" spans="1:26" ht="13.5" customHeight="1" x14ac:dyDescent="0.25">
      <c r="A44" s="2"/>
      <c r="B44" s="2"/>
      <c r="C44" s="2"/>
      <c r="D44" s="2"/>
      <c r="E44" s="2"/>
      <c r="F44" s="2"/>
      <c r="G44" s="2"/>
      <c r="H44" s="2"/>
      <c r="I44" s="2"/>
      <c r="J44" s="2"/>
      <c r="K44" s="2"/>
      <c r="L44" s="2"/>
      <c r="M44" s="2"/>
      <c r="N44" s="2"/>
      <c r="O44" s="2"/>
      <c r="P44" s="2"/>
      <c r="Q44" s="2"/>
      <c r="R44" s="2"/>
      <c r="S44" s="2"/>
      <c r="T44" s="2"/>
      <c r="U44" s="2"/>
      <c r="V44" s="2"/>
      <c r="W44" s="183"/>
      <c r="X44" s="2"/>
      <c r="Y44" s="2"/>
      <c r="Z44" s="2"/>
    </row>
    <row r="45" spans="1:26" ht="13.5" customHeight="1" x14ac:dyDescent="0.25">
      <c r="A45" s="2"/>
      <c r="B45" s="2"/>
      <c r="C45" s="2"/>
      <c r="D45" s="2"/>
      <c r="E45" s="2"/>
      <c r="F45" s="2"/>
      <c r="G45" s="2"/>
      <c r="H45" s="2"/>
      <c r="I45" s="2"/>
      <c r="J45" s="2"/>
      <c r="K45" s="2"/>
      <c r="L45" s="2"/>
      <c r="M45" s="2"/>
      <c r="N45" s="2"/>
      <c r="O45" s="2"/>
      <c r="P45" s="2"/>
      <c r="Q45" s="2"/>
      <c r="R45" s="2"/>
      <c r="S45" s="2"/>
      <c r="T45" s="2"/>
      <c r="U45" s="2"/>
      <c r="V45" s="2"/>
      <c r="W45" s="183"/>
      <c r="X45" s="2"/>
      <c r="Y45" s="2"/>
      <c r="Z45" s="2"/>
    </row>
    <row r="46" spans="1:26" ht="13.5" customHeight="1" x14ac:dyDescent="0.25">
      <c r="A46" s="2"/>
      <c r="B46" s="2"/>
      <c r="C46" s="2"/>
      <c r="D46" s="2"/>
      <c r="E46" s="2"/>
      <c r="F46" s="2"/>
      <c r="G46" s="2"/>
      <c r="H46" s="2"/>
      <c r="I46" s="2"/>
      <c r="J46" s="2"/>
      <c r="K46" s="2"/>
      <c r="L46" s="2"/>
      <c r="M46" s="2"/>
      <c r="N46" s="2"/>
      <c r="O46" s="2"/>
      <c r="P46" s="2"/>
      <c r="Q46" s="2"/>
      <c r="R46" s="2"/>
      <c r="S46" s="2"/>
      <c r="T46" s="2"/>
      <c r="U46" s="2"/>
      <c r="V46" s="2"/>
      <c r="W46" s="183"/>
      <c r="X46" s="2"/>
      <c r="Y46" s="2"/>
      <c r="Z46" s="2"/>
    </row>
    <row r="47" spans="1:26" ht="13.5" customHeight="1" x14ac:dyDescent="0.25">
      <c r="A47" s="2"/>
      <c r="B47" s="2"/>
      <c r="C47" s="2"/>
      <c r="D47" s="2"/>
      <c r="E47" s="2"/>
      <c r="F47" s="2"/>
      <c r="G47" s="2"/>
      <c r="H47" s="2"/>
      <c r="I47" s="2"/>
      <c r="J47" s="2"/>
      <c r="K47" s="2"/>
      <c r="L47" s="2"/>
      <c r="M47" s="2"/>
      <c r="N47" s="2"/>
      <c r="O47" s="2"/>
      <c r="P47" s="2"/>
      <c r="Q47" s="2"/>
      <c r="R47" s="2"/>
      <c r="S47" s="2"/>
      <c r="T47" s="2"/>
      <c r="U47" s="2"/>
      <c r="V47" s="2"/>
      <c r="W47" s="183"/>
      <c r="X47" s="2"/>
      <c r="Y47" s="2"/>
      <c r="Z47" s="2"/>
    </row>
    <row r="48" spans="1:26" ht="13.5" customHeight="1" x14ac:dyDescent="0.25">
      <c r="A48" s="2"/>
      <c r="B48" s="2"/>
      <c r="C48" s="2"/>
      <c r="D48" s="2"/>
      <c r="E48" s="2"/>
      <c r="F48" s="2"/>
      <c r="G48" s="2"/>
      <c r="H48" s="2"/>
      <c r="I48" s="2"/>
      <c r="J48" s="2"/>
      <c r="K48" s="2"/>
      <c r="L48" s="2"/>
      <c r="M48" s="2"/>
      <c r="N48" s="2"/>
      <c r="O48" s="2"/>
      <c r="P48" s="2"/>
      <c r="Q48" s="2"/>
      <c r="R48" s="2"/>
      <c r="S48" s="2"/>
      <c r="T48" s="2"/>
      <c r="U48" s="2"/>
      <c r="V48" s="2"/>
      <c r="W48" s="183"/>
      <c r="X48" s="2"/>
      <c r="Y48" s="2"/>
      <c r="Z48" s="2"/>
    </row>
    <row r="49" spans="1:26" ht="13.5" customHeight="1" x14ac:dyDescent="0.25">
      <c r="A49" s="2"/>
      <c r="B49" s="2"/>
      <c r="C49" s="2"/>
      <c r="D49" s="2"/>
      <c r="E49" s="2"/>
      <c r="F49" s="2"/>
      <c r="G49" s="2"/>
      <c r="H49" s="2"/>
      <c r="I49" s="2"/>
      <c r="J49" s="2"/>
      <c r="K49" s="2"/>
      <c r="L49" s="2"/>
      <c r="M49" s="2"/>
      <c r="N49" s="2"/>
      <c r="O49" s="2"/>
      <c r="P49" s="2"/>
      <c r="Q49" s="2"/>
      <c r="R49" s="2"/>
      <c r="S49" s="2"/>
      <c r="T49" s="2"/>
      <c r="U49" s="2"/>
      <c r="V49" s="2"/>
      <c r="W49" s="183"/>
      <c r="X49" s="2"/>
      <c r="Y49" s="2"/>
      <c r="Z49" s="2"/>
    </row>
    <row r="50" spans="1:26" ht="13.5" customHeight="1" x14ac:dyDescent="0.25">
      <c r="A50" s="2"/>
      <c r="B50" s="2"/>
      <c r="C50" s="2"/>
      <c r="D50" s="2"/>
      <c r="E50" s="2"/>
      <c r="F50" s="2"/>
      <c r="G50" s="2"/>
      <c r="H50" s="2"/>
      <c r="I50" s="2"/>
      <c r="J50" s="2"/>
      <c r="K50" s="2"/>
      <c r="L50" s="2"/>
      <c r="M50" s="2"/>
      <c r="N50" s="2"/>
      <c r="O50" s="2"/>
      <c r="P50" s="2"/>
      <c r="Q50" s="2"/>
      <c r="R50" s="2"/>
      <c r="S50" s="2"/>
      <c r="T50" s="2"/>
      <c r="U50" s="2"/>
      <c r="V50" s="2"/>
      <c r="W50" s="183"/>
      <c r="X50" s="2"/>
      <c r="Y50" s="2"/>
      <c r="Z50" s="2"/>
    </row>
    <row r="51" spans="1:26" ht="13.5" customHeight="1" x14ac:dyDescent="0.25">
      <c r="A51" s="2"/>
      <c r="B51" s="2"/>
      <c r="C51" s="2"/>
      <c r="D51" s="2"/>
      <c r="E51" s="2"/>
      <c r="F51" s="2"/>
      <c r="G51" s="2"/>
      <c r="H51" s="2"/>
      <c r="I51" s="2"/>
      <c r="J51" s="2"/>
      <c r="K51" s="2"/>
      <c r="L51" s="2"/>
      <c r="M51" s="2"/>
      <c r="N51" s="2"/>
      <c r="O51" s="2"/>
      <c r="P51" s="2"/>
      <c r="Q51" s="2"/>
      <c r="R51" s="2"/>
      <c r="S51" s="2"/>
      <c r="T51" s="2"/>
      <c r="U51" s="2"/>
      <c r="V51" s="2"/>
      <c r="W51" s="183"/>
      <c r="X51" s="2"/>
      <c r="Y51" s="2"/>
      <c r="Z51" s="2"/>
    </row>
    <row r="52" spans="1:26" ht="13.5" customHeight="1" x14ac:dyDescent="0.25">
      <c r="A52" s="2"/>
      <c r="B52" s="2"/>
      <c r="C52" s="2"/>
      <c r="D52" s="2"/>
      <c r="E52" s="2"/>
      <c r="F52" s="2"/>
      <c r="G52" s="2"/>
      <c r="H52" s="2"/>
      <c r="I52" s="2"/>
      <c r="J52" s="2"/>
      <c r="K52" s="2"/>
      <c r="L52" s="2"/>
      <c r="M52" s="2"/>
      <c r="N52" s="2"/>
      <c r="O52" s="2"/>
      <c r="P52" s="2"/>
      <c r="Q52" s="2"/>
      <c r="R52" s="2"/>
      <c r="S52" s="2"/>
      <c r="T52" s="2"/>
      <c r="U52" s="2"/>
      <c r="V52" s="2"/>
      <c r="W52" s="183"/>
      <c r="X52" s="2"/>
      <c r="Y52" s="2"/>
      <c r="Z52" s="2"/>
    </row>
    <row r="53" spans="1:26" ht="13.5" customHeight="1" x14ac:dyDescent="0.25">
      <c r="A53" s="2"/>
      <c r="B53" s="2"/>
      <c r="C53" s="2"/>
      <c r="D53" s="2"/>
      <c r="E53" s="2"/>
      <c r="F53" s="2"/>
      <c r="G53" s="2"/>
      <c r="H53" s="2"/>
      <c r="I53" s="2"/>
      <c r="J53" s="2"/>
      <c r="K53" s="2"/>
      <c r="L53" s="2"/>
      <c r="M53" s="2"/>
      <c r="N53" s="2"/>
      <c r="O53" s="2"/>
      <c r="P53" s="2"/>
      <c r="Q53" s="2"/>
      <c r="R53" s="2"/>
      <c r="S53" s="2"/>
      <c r="T53" s="2"/>
      <c r="U53" s="2"/>
      <c r="V53" s="2"/>
      <c r="W53" s="183"/>
      <c r="X53" s="2"/>
      <c r="Y53" s="2"/>
      <c r="Z53" s="2"/>
    </row>
    <row r="54" spans="1:26" ht="13.5" customHeight="1" x14ac:dyDescent="0.25">
      <c r="A54" s="2"/>
      <c r="B54" s="2"/>
      <c r="C54" s="2"/>
      <c r="D54" s="2"/>
      <c r="E54" s="2"/>
      <c r="F54" s="2"/>
      <c r="G54" s="2"/>
      <c r="H54" s="2"/>
      <c r="I54" s="2"/>
      <c r="J54" s="2"/>
      <c r="K54" s="2"/>
      <c r="L54" s="2"/>
      <c r="M54" s="2"/>
      <c r="N54" s="2"/>
      <c r="O54" s="2"/>
      <c r="P54" s="2"/>
      <c r="Q54" s="2"/>
      <c r="R54" s="2"/>
      <c r="S54" s="2"/>
      <c r="T54" s="2"/>
      <c r="U54" s="2"/>
      <c r="V54" s="2"/>
      <c r="W54" s="183"/>
      <c r="X54" s="2"/>
      <c r="Y54" s="2"/>
      <c r="Z54" s="2"/>
    </row>
    <row r="55" spans="1:26" ht="13.5" customHeight="1" x14ac:dyDescent="0.25">
      <c r="A55" s="2"/>
      <c r="B55" s="2"/>
      <c r="C55" s="2"/>
      <c r="D55" s="2"/>
      <c r="E55" s="2"/>
      <c r="F55" s="2"/>
      <c r="G55" s="2"/>
      <c r="H55" s="2"/>
      <c r="I55" s="2"/>
      <c r="J55" s="2"/>
      <c r="K55" s="2"/>
      <c r="L55" s="2"/>
      <c r="M55" s="2"/>
      <c r="N55" s="2"/>
      <c r="O55" s="2"/>
      <c r="P55" s="2"/>
      <c r="Q55" s="2"/>
      <c r="R55" s="2"/>
      <c r="S55" s="2"/>
      <c r="T55" s="2"/>
      <c r="U55" s="2"/>
      <c r="V55" s="2"/>
      <c r="W55" s="183"/>
      <c r="X55" s="2"/>
      <c r="Y55" s="2"/>
      <c r="Z55" s="2"/>
    </row>
    <row r="56" spans="1:26" ht="13.5" customHeight="1" x14ac:dyDescent="0.25">
      <c r="A56" s="2"/>
      <c r="B56" s="2"/>
      <c r="C56" s="2"/>
      <c r="D56" s="2"/>
      <c r="E56" s="2"/>
      <c r="F56" s="2"/>
      <c r="G56" s="2"/>
      <c r="H56" s="2"/>
      <c r="I56" s="2"/>
      <c r="J56" s="2"/>
      <c r="K56" s="2"/>
      <c r="L56" s="2"/>
      <c r="M56" s="2"/>
      <c r="N56" s="2"/>
      <c r="O56" s="2"/>
      <c r="P56" s="2"/>
      <c r="Q56" s="2"/>
      <c r="R56" s="2"/>
      <c r="S56" s="2"/>
      <c r="T56" s="2"/>
      <c r="U56" s="2"/>
      <c r="V56" s="2"/>
      <c r="W56" s="183"/>
      <c r="X56" s="2"/>
      <c r="Y56" s="2"/>
      <c r="Z56" s="2"/>
    </row>
    <row r="57" spans="1:26" ht="13.5" customHeight="1" x14ac:dyDescent="0.25">
      <c r="A57" s="2"/>
      <c r="B57" s="2"/>
      <c r="C57" s="2"/>
      <c r="D57" s="2"/>
      <c r="E57" s="2"/>
      <c r="F57" s="2"/>
      <c r="G57" s="2"/>
      <c r="H57" s="2"/>
      <c r="I57" s="2"/>
      <c r="J57" s="2"/>
      <c r="K57" s="2"/>
      <c r="L57" s="2"/>
      <c r="M57" s="2"/>
      <c r="N57" s="2"/>
      <c r="O57" s="2"/>
      <c r="P57" s="2"/>
      <c r="Q57" s="2"/>
      <c r="R57" s="2"/>
      <c r="S57" s="2"/>
      <c r="T57" s="2"/>
      <c r="U57" s="2"/>
      <c r="V57" s="2"/>
      <c r="W57" s="183"/>
      <c r="X57" s="2"/>
      <c r="Y57" s="2"/>
      <c r="Z57" s="2"/>
    </row>
    <row r="58" spans="1:26" ht="13.5" customHeight="1" x14ac:dyDescent="0.25">
      <c r="A58" s="2"/>
      <c r="B58" s="2"/>
      <c r="C58" s="2"/>
      <c r="D58" s="2"/>
      <c r="E58" s="2"/>
      <c r="F58" s="2"/>
      <c r="G58" s="2"/>
      <c r="H58" s="2"/>
      <c r="I58" s="2"/>
      <c r="J58" s="2"/>
      <c r="K58" s="2"/>
      <c r="L58" s="2"/>
      <c r="M58" s="2"/>
      <c r="N58" s="2"/>
      <c r="O58" s="2"/>
      <c r="P58" s="2"/>
      <c r="Q58" s="2"/>
      <c r="R58" s="2"/>
      <c r="S58" s="2"/>
      <c r="T58" s="2"/>
      <c r="U58" s="2"/>
      <c r="V58" s="2"/>
      <c r="W58" s="183"/>
      <c r="X58" s="2"/>
      <c r="Y58" s="2"/>
      <c r="Z58" s="2"/>
    </row>
    <row r="59" spans="1:26" ht="13.5" customHeight="1" x14ac:dyDescent="0.25">
      <c r="A59" s="2"/>
      <c r="B59" s="2"/>
      <c r="C59" s="2"/>
      <c r="D59" s="2"/>
      <c r="E59" s="2"/>
      <c r="F59" s="2"/>
      <c r="G59" s="2"/>
      <c r="H59" s="2"/>
      <c r="I59" s="2"/>
      <c r="J59" s="2"/>
      <c r="K59" s="2"/>
      <c r="L59" s="2"/>
      <c r="M59" s="2"/>
      <c r="N59" s="2"/>
      <c r="O59" s="2"/>
      <c r="P59" s="2"/>
      <c r="Q59" s="2"/>
      <c r="R59" s="2"/>
      <c r="S59" s="2"/>
      <c r="T59" s="2"/>
      <c r="U59" s="2"/>
      <c r="V59" s="2"/>
      <c r="W59" s="183"/>
      <c r="X59" s="2"/>
      <c r="Y59" s="2"/>
      <c r="Z59" s="2"/>
    </row>
    <row r="60" spans="1:26" ht="13.5" customHeight="1" x14ac:dyDescent="0.25">
      <c r="A60" s="2"/>
      <c r="B60" s="2"/>
      <c r="C60" s="2"/>
      <c r="D60" s="2"/>
      <c r="E60" s="2"/>
      <c r="F60" s="2"/>
      <c r="G60" s="2"/>
      <c r="H60" s="2"/>
      <c r="I60" s="2"/>
      <c r="J60" s="2"/>
      <c r="K60" s="2"/>
      <c r="L60" s="2"/>
      <c r="M60" s="2"/>
      <c r="N60" s="2"/>
      <c r="O60" s="2"/>
      <c r="P60" s="2"/>
      <c r="Q60" s="2"/>
      <c r="R60" s="2"/>
      <c r="S60" s="2"/>
      <c r="T60" s="2"/>
      <c r="U60" s="2"/>
      <c r="V60" s="2"/>
      <c r="W60" s="183"/>
      <c r="X60" s="2"/>
      <c r="Y60" s="2"/>
      <c r="Z60" s="2"/>
    </row>
    <row r="61" spans="1:26" ht="13.5" customHeight="1" x14ac:dyDescent="0.25">
      <c r="A61" s="2"/>
      <c r="B61" s="2"/>
      <c r="C61" s="2"/>
      <c r="D61" s="2"/>
      <c r="E61" s="2"/>
      <c r="F61" s="2"/>
      <c r="G61" s="2"/>
      <c r="H61" s="2"/>
      <c r="I61" s="2"/>
      <c r="J61" s="2"/>
      <c r="K61" s="2"/>
      <c r="L61" s="2"/>
      <c r="M61" s="2"/>
      <c r="N61" s="2"/>
      <c r="O61" s="2"/>
      <c r="P61" s="2"/>
      <c r="Q61" s="2"/>
      <c r="R61" s="2"/>
      <c r="S61" s="2"/>
      <c r="T61" s="2"/>
      <c r="U61" s="2"/>
      <c r="V61" s="2"/>
      <c r="W61" s="183"/>
      <c r="X61" s="2"/>
      <c r="Y61" s="2"/>
      <c r="Z61" s="2"/>
    </row>
    <row r="62" spans="1:26" ht="13.5" customHeight="1" x14ac:dyDescent="0.25">
      <c r="A62" s="2"/>
      <c r="B62" s="2"/>
      <c r="C62" s="2"/>
      <c r="D62" s="2"/>
      <c r="E62" s="2"/>
      <c r="F62" s="2"/>
      <c r="G62" s="2"/>
      <c r="H62" s="2"/>
      <c r="I62" s="2"/>
      <c r="J62" s="2"/>
      <c r="K62" s="2"/>
      <c r="L62" s="2"/>
      <c r="M62" s="2"/>
      <c r="N62" s="2"/>
      <c r="O62" s="2"/>
      <c r="P62" s="2"/>
      <c r="Q62" s="2"/>
      <c r="R62" s="2"/>
      <c r="S62" s="2"/>
      <c r="T62" s="2"/>
      <c r="U62" s="2"/>
      <c r="V62" s="2"/>
      <c r="W62" s="183"/>
      <c r="X62" s="2"/>
      <c r="Y62" s="2"/>
      <c r="Z62" s="2"/>
    </row>
    <row r="63" spans="1:26" ht="13.5" customHeight="1" x14ac:dyDescent="0.25">
      <c r="A63" s="2"/>
      <c r="B63" s="2"/>
      <c r="C63" s="2"/>
      <c r="D63" s="2"/>
      <c r="E63" s="2"/>
      <c r="F63" s="2"/>
      <c r="G63" s="2"/>
      <c r="H63" s="2"/>
      <c r="I63" s="2"/>
      <c r="J63" s="2"/>
      <c r="K63" s="2"/>
      <c r="L63" s="2"/>
      <c r="M63" s="2"/>
      <c r="N63" s="2"/>
      <c r="O63" s="2"/>
      <c r="P63" s="2"/>
      <c r="Q63" s="2"/>
      <c r="R63" s="2"/>
      <c r="S63" s="2"/>
      <c r="T63" s="2"/>
      <c r="U63" s="2"/>
      <c r="V63" s="2"/>
      <c r="W63" s="183"/>
      <c r="X63" s="2"/>
      <c r="Y63" s="2"/>
      <c r="Z63" s="2"/>
    </row>
    <row r="64" spans="1:26" ht="13.5" customHeight="1" x14ac:dyDescent="0.25">
      <c r="A64" s="2"/>
      <c r="B64" s="2"/>
      <c r="C64" s="2"/>
      <c r="D64" s="2"/>
      <c r="E64" s="2"/>
      <c r="F64" s="2"/>
      <c r="G64" s="2"/>
      <c r="H64" s="2"/>
      <c r="I64" s="2"/>
      <c r="J64" s="2"/>
      <c r="K64" s="2"/>
      <c r="L64" s="2"/>
      <c r="M64" s="2"/>
      <c r="N64" s="2"/>
      <c r="O64" s="2"/>
      <c r="P64" s="2"/>
      <c r="Q64" s="2"/>
      <c r="R64" s="2"/>
      <c r="S64" s="2"/>
      <c r="T64" s="2"/>
      <c r="U64" s="2"/>
      <c r="V64" s="2"/>
      <c r="W64" s="183"/>
      <c r="X64" s="2"/>
      <c r="Y64" s="2"/>
      <c r="Z64" s="2"/>
    </row>
    <row r="65" spans="1:26" ht="13.5" customHeight="1" x14ac:dyDescent="0.25">
      <c r="A65" s="2"/>
      <c r="B65" s="2"/>
      <c r="C65" s="2"/>
      <c r="D65" s="2"/>
      <c r="E65" s="2"/>
      <c r="F65" s="2"/>
      <c r="G65" s="2"/>
      <c r="H65" s="2"/>
      <c r="I65" s="2"/>
      <c r="J65" s="2"/>
      <c r="K65" s="2"/>
      <c r="L65" s="2"/>
      <c r="M65" s="2"/>
      <c r="N65" s="2"/>
      <c r="O65" s="2"/>
      <c r="P65" s="2"/>
      <c r="Q65" s="2"/>
      <c r="R65" s="2"/>
      <c r="S65" s="2"/>
      <c r="T65" s="2"/>
      <c r="U65" s="2"/>
      <c r="V65" s="2"/>
      <c r="W65" s="183"/>
      <c r="X65" s="2"/>
      <c r="Y65" s="2"/>
      <c r="Z65" s="2"/>
    </row>
    <row r="66" spans="1:26" ht="13.5" customHeight="1" x14ac:dyDescent="0.25">
      <c r="A66" s="2"/>
      <c r="B66" s="2"/>
      <c r="C66" s="2"/>
      <c r="D66" s="2"/>
      <c r="E66" s="2"/>
      <c r="F66" s="2"/>
      <c r="G66" s="2"/>
      <c r="H66" s="2"/>
      <c r="I66" s="2"/>
      <c r="J66" s="2"/>
      <c r="K66" s="2"/>
      <c r="L66" s="2"/>
      <c r="M66" s="2"/>
      <c r="N66" s="2"/>
      <c r="O66" s="2"/>
      <c r="P66" s="2"/>
      <c r="Q66" s="2"/>
      <c r="R66" s="2"/>
      <c r="S66" s="2"/>
      <c r="T66" s="2"/>
      <c r="U66" s="2"/>
      <c r="V66" s="2"/>
      <c r="W66" s="183"/>
      <c r="X66" s="2"/>
      <c r="Y66" s="2"/>
      <c r="Z66" s="2"/>
    </row>
    <row r="67" spans="1:26" ht="13.5" customHeight="1" x14ac:dyDescent="0.25">
      <c r="A67" s="2"/>
      <c r="B67" s="2"/>
      <c r="C67" s="2"/>
      <c r="D67" s="2"/>
      <c r="E67" s="2"/>
      <c r="F67" s="2"/>
      <c r="G67" s="2"/>
      <c r="H67" s="2"/>
      <c r="I67" s="2"/>
      <c r="J67" s="2"/>
      <c r="K67" s="2"/>
      <c r="L67" s="2"/>
      <c r="M67" s="2"/>
      <c r="N67" s="2"/>
      <c r="O67" s="2"/>
      <c r="P67" s="2"/>
      <c r="Q67" s="2"/>
      <c r="R67" s="2"/>
      <c r="S67" s="2"/>
      <c r="T67" s="2"/>
      <c r="U67" s="2"/>
      <c r="V67" s="2"/>
      <c r="W67" s="183"/>
      <c r="X67" s="2"/>
      <c r="Y67" s="2"/>
      <c r="Z67" s="2"/>
    </row>
    <row r="68" spans="1:26" ht="13.5" customHeight="1" x14ac:dyDescent="0.25">
      <c r="A68" s="2"/>
      <c r="B68" s="2"/>
      <c r="C68" s="2"/>
      <c r="D68" s="2"/>
      <c r="E68" s="2"/>
      <c r="F68" s="2"/>
      <c r="G68" s="2"/>
      <c r="H68" s="2"/>
      <c r="I68" s="2"/>
      <c r="J68" s="2"/>
      <c r="K68" s="2"/>
      <c r="L68" s="2"/>
      <c r="M68" s="2"/>
      <c r="N68" s="2"/>
      <c r="O68" s="2"/>
      <c r="P68" s="2"/>
      <c r="Q68" s="2"/>
      <c r="R68" s="2"/>
      <c r="S68" s="2"/>
      <c r="T68" s="2"/>
      <c r="U68" s="2"/>
      <c r="V68" s="2"/>
      <c r="W68" s="183"/>
      <c r="X68" s="2"/>
      <c r="Y68" s="2"/>
      <c r="Z68" s="2"/>
    </row>
    <row r="69" spans="1:26" ht="13.5" customHeight="1" x14ac:dyDescent="0.25">
      <c r="A69" s="2"/>
      <c r="B69" s="2"/>
      <c r="C69" s="2"/>
      <c r="D69" s="2"/>
      <c r="E69" s="2"/>
      <c r="F69" s="2"/>
      <c r="G69" s="2"/>
      <c r="H69" s="2"/>
      <c r="I69" s="2"/>
      <c r="J69" s="2"/>
      <c r="K69" s="2"/>
      <c r="L69" s="2"/>
      <c r="M69" s="2"/>
      <c r="N69" s="2"/>
      <c r="O69" s="2"/>
      <c r="P69" s="2"/>
      <c r="Q69" s="2"/>
      <c r="R69" s="2"/>
      <c r="S69" s="2"/>
      <c r="T69" s="2"/>
      <c r="U69" s="2"/>
      <c r="V69" s="2"/>
      <c r="W69" s="183"/>
      <c r="X69" s="2"/>
      <c r="Y69" s="2"/>
      <c r="Z69" s="2"/>
    </row>
    <row r="70" spans="1:26" ht="13.5" customHeight="1" x14ac:dyDescent="0.25">
      <c r="A70" s="2"/>
      <c r="B70" s="2"/>
      <c r="C70" s="2"/>
      <c r="D70" s="2"/>
      <c r="E70" s="2"/>
      <c r="F70" s="2"/>
      <c r="G70" s="2"/>
      <c r="H70" s="2"/>
      <c r="I70" s="2"/>
      <c r="J70" s="2"/>
      <c r="K70" s="2"/>
      <c r="L70" s="2"/>
      <c r="M70" s="2"/>
      <c r="N70" s="2"/>
      <c r="O70" s="2"/>
      <c r="P70" s="2"/>
      <c r="Q70" s="2"/>
      <c r="R70" s="2"/>
      <c r="S70" s="2"/>
      <c r="T70" s="2"/>
      <c r="U70" s="2"/>
      <c r="V70" s="2"/>
      <c r="W70" s="183"/>
      <c r="X70" s="2"/>
      <c r="Y70" s="2"/>
      <c r="Z70" s="2"/>
    </row>
    <row r="71" spans="1:26" ht="13.5" customHeight="1" x14ac:dyDescent="0.25">
      <c r="A71" s="2"/>
      <c r="B71" s="2"/>
      <c r="C71" s="2"/>
      <c r="D71" s="2"/>
      <c r="E71" s="2"/>
      <c r="F71" s="2"/>
      <c r="G71" s="2"/>
      <c r="H71" s="2"/>
      <c r="I71" s="2"/>
      <c r="J71" s="2"/>
      <c r="K71" s="2"/>
      <c r="L71" s="2"/>
      <c r="M71" s="2"/>
      <c r="N71" s="2"/>
      <c r="O71" s="2"/>
      <c r="P71" s="2"/>
      <c r="Q71" s="2"/>
      <c r="R71" s="2"/>
      <c r="S71" s="2"/>
      <c r="T71" s="2"/>
      <c r="U71" s="2"/>
      <c r="V71" s="2"/>
      <c r="W71" s="183"/>
      <c r="X71" s="2"/>
      <c r="Y71" s="2"/>
      <c r="Z71" s="2"/>
    </row>
    <row r="72" spans="1:26" ht="13.5" customHeight="1" x14ac:dyDescent="0.25">
      <c r="A72" s="2"/>
      <c r="B72" s="2"/>
      <c r="C72" s="2"/>
      <c r="D72" s="2"/>
      <c r="E72" s="2"/>
      <c r="F72" s="2"/>
      <c r="G72" s="2"/>
      <c r="H72" s="2"/>
      <c r="I72" s="2"/>
      <c r="J72" s="2"/>
      <c r="K72" s="2"/>
      <c r="L72" s="2"/>
      <c r="M72" s="2"/>
      <c r="N72" s="2"/>
      <c r="O72" s="2"/>
      <c r="P72" s="2"/>
      <c r="Q72" s="2"/>
      <c r="R72" s="2"/>
      <c r="S72" s="2"/>
      <c r="T72" s="2"/>
      <c r="U72" s="2"/>
      <c r="V72" s="2"/>
      <c r="W72" s="183"/>
      <c r="X72" s="2"/>
      <c r="Y72" s="2"/>
      <c r="Z72" s="2"/>
    </row>
    <row r="73" spans="1:26" ht="13.5" customHeight="1" x14ac:dyDescent="0.25">
      <c r="A73" s="2"/>
      <c r="B73" s="2"/>
      <c r="C73" s="2"/>
      <c r="D73" s="2"/>
      <c r="E73" s="2"/>
      <c r="F73" s="2"/>
      <c r="G73" s="2"/>
      <c r="H73" s="2"/>
      <c r="I73" s="2"/>
      <c r="J73" s="2"/>
      <c r="K73" s="2"/>
      <c r="L73" s="2"/>
      <c r="M73" s="2"/>
      <c r="N73" s="2"/>
      <c r="O73" s="2"/>
      <c r="P73" s="2"/>
      <c r="Q73" s="2"/>
      <c r="R73" s="2"/>
      <c r="S73" s="2"/>
      <c r="T73" s="2"/>
      <c r="U73" s="2"/>
      <c r="V73" s="2"/>
      <c r="W73" s="183"/>
      <c r="X73" s="2"/>
      <c r="Y73" s="2"/>
      <c r="Z73" s="2"/>
    </row>
    <row r="74" spans="1:26" ht="13.5" customHeight="1" x14ac:dyDescent="0.25">
      <c r="A74" s="2"/>
      <c r="B74" s="2"/>
      <c r="C74" s="2"/>
      <c r="D74" s="2"/>
      <c r="E74" s="2"/>
      <c r="F74" s="2"/>
      <c r="G74" s="2"/>
      <c r="H74" s="2"/>
      <c r="I74" s="2"/>
      <c r="J74" s="2"/>
      <c r="K74" s="2"/>
      <c r="L74" s="2"/>
      <c r="M74" s="2"/>
      <c r="N74" s="2"/>
      <c r="O74" s="2"/>
      <c r="P74" s="2"/>
      <c r="Q74" s="2"/>
      <c r="R74" s="2"/>
      <c r="S74" s="2"/>
      <c r="T74" s="2"/>
      <c r="U74" s="2"/>
      <c r="V74" s="2"/>
      <c r="W74" s="183"/>
      <c r="X74" s="2"/>
      <c r="Y74" s="2"/>
      <c r="Z74" s="2"/>
    </row>
    <row r="75" spans="1:26" ht="13.5" customHeight="1" x14ac:dyDescent="0.25">
      <c r="A75" s="2"/>
      <c r="B75" s="2"/>
      <c r="C75" s="2"/>
      <c r="D75" s="2"/>
      <c r="E75" s="2"/>
      <c r="F75" s="2"/>
      <c r="G75" s="2"/>
      <c r="H75" s="2"/>
      <c r="I75" s="2"/>
      <c r="J75" s="2"/>
      <c r="K75" s="2"/>
      <c r="L75" s="2"/>
      <c r="M75" s="2"/>
      <c r="N75" s="2"/>
      <c r="O75" s="2"/>
      <c r="P75" s="2"/>
      <c r="Q75" s="2"/>
      <c r="R75" s="2"/>
      <c r="S75" s="2"/>
      <c r="T75" s="2"/>
      <c r="U75" s="2"/>
      <c r="V75" s="2"/>
      <c r="W75" s="183"/>
      <c r="X75" s="2"/>
      <c r="Y75" s="2"/>
      <c r="Z75" s="2"/>
    </row>
    <row r="76" spans="1:26" ht="13.5" customHeight="1" x14ac:dyDescent="0.25">
      <c r="A76" s="2"/>
      <c r="B76" s="2"/>
      <c r="C76" s="2"/>
      <c r="D76" s="2"/>
      <c r="E76" s="2"/>
      <c r="F76" s="2"/>
      <c r="G76" s="2"/>
      <c r="H76" s="2"/>
      <c r="I76" s="2"/>
      <c r="J76" s="2"/>
      <c r="K76" s="2"/>
      <c r="L76" s="2"/>
      <c r="M76" s="2"/>
      <c r="N76" s="2"/>
      <c r="O76" s="2"/>
      <c r="P76" s="2"/>
      <c r="Q76" s="2"/>
      <c r="R76" s="2"/>
      <c r="S76" s="2"/>
      <c r="T76" s="2"/>
      <c r="U76" s="2"/>
      <c r="V76" s="2"/>
      <c r="W76" s="183"/>
      <c r="X76" s="2"/>
      <c r="Y76" s="2"/>
      <c r="Z76" s="2"/>
    </row>
    <row r="77" spans="1:26" ht="13.5" customHeight="1" x14ac:dyDescent="0.25">
      <c r="A77" s="2"/>
      <c r="B77" s="2"/>
      <c r="C77" s="2"/>
      <c r="D77" s="2"/>
      <c r="E77" s="2"/>
      <c r="F77" s="2"/>
      <c r="G77" s="2"/>
      <c r="H77" s="2"/>
      <c r="I77" s="2"/>
      <c r="J77" s="2"/>
      <c r="K77" s="2"/>
      <c r="L77" s="2"/>
      <c r="M77" s="2"/>
      <c r="N77" s="2"/>
      <c r="O77" s="2"/>
      <c r="P77" s="2"/>
      <c r="Q77" s="2"/>
      <c r="R77" s="2"/>
      <c r="S77" s="2"/>
      <c r="T77" s="2"/>
      <c r="U77" s="2"/>
      <c r="V77" s="2"/>
      <c r="W77" s="183"/>
      <c r="X77" s="2"/>
      <c r="Y77" s="2"/>
      <c r="Z77" s="2"/>
    </row>
    <row r="78" spans="1:26" ht="13.5" customHeight="1" x14ac:dyDescent="0.25">
      <c r="A78" s="2"/>
      <c r="B78" s="2"/>
      <c r="C78" s="2"/>
      <c r="D78" s="2"/>
      <c r="E78" s="2"/>
      <c r="F78" s="2"/>
      <c r="G78" s="2"/>
      <c r="H78" s="2"/>
      <c r="I78" s="2"/>
      <c r="J78" s="2"/>
      <c r="K78" s="2"/>
      <c r="L78" s="2"/>
      <c r="M78" s="2"/>
      <c r="N78" s="2"/>
      <c r="O78" s="2"/>
      <c r="P78" s="2"/>
      <c r="Q78" s="2"/>
      <c r="R78" s="2"/>
      <c r="S78" s="2"/>
      <c r="T78" s="2"/>
      <c r="U78" s="2"/>
      <c r="V78" s="2"/>
      <c r="W78" s="183"/>
      <c r="X78" s="2"/>
      <c r="Y78" s="2"/>
      <c r="Z78" s="2"/>
    </row>
    <row r="79" spans="1:26" ht="13.5" customHeight="1" x14ac:dyDescent="0.25">
      <c r="A79" s="2"/>
      <c r="B79" s="2"/>
      <c r="C79" s="2"/>
      <c r="D79" s="2"/>
      <c r="E79" s="2"/>
      <c r="F79" s="2"/>
      <c r="G79" s="2"/>
      <c r="H79" s="2"/>
      <c r="I79" s="2"/>
      <c r="J79" s="2"/>
      <c r="K79" s="2"/>
      <c r="L79" s="2"/>
      <c r="M79" s="2"/>
      <c r="N79" s="2"/>
      <c r="O79" s="2"/>
      <c r="P79" s="2"/>
      <c r="Q79" s="2"/>
      <c r="R79" s="2"/>
      <c r="S79" s="2"/>
      <c r="T79" s="2"/>
      <c r="U79" s="2"/>
      <c r="V79" s="2"/>
      <c r="W79" s="183"/>
      <c r="X79" s="2"/>
      <c r="Y79" s="2"/>
      <c r="Z79" s="2"/>
    </row>
    <row r="80" spans="1:26" ht="13.5" customHeight="1" x14ac:dyDescent="0.25">
      <c r="A80" s="2"/>
      <c r="B80" s="2"/>
      <c r="C80" s="2"/>
      <c r="D80" s="2"/>
      <c r="E80" s="2"/>
      <c r="F80" s="2"/>
      <c r="G80" s="2"/>
      <c r="H80" s="2"/>
      <c r="I80" s="2"/>
      <c r="J80" s="2"/>
      <c r="K80" s="2"/>
      <c r="L80" s="2"/>
      <c r="M80" s="2"/>
      <c r="N80" s="2"/>
      <c r="O80" s="2"/>
      <c r="P80" s="2"/>
      <c r="Q80" s="2"/>
      <c r="R80" s="2"/>
      <c r="S80" s="2"/>
      <c r="T80" s="2"/>
      <c r="U80" s="2"/>
      <c r="V80" s="2"/>
      <c r="W80" s="183"/>
      <c r="X80" s="2"/>
      <c r="Y80" s="2"/>
      <c r="Z80" s="2"/>
    </row>
    <row r="81" spans="1:26" ht="13.5" customHeight="1" x14ac:dyDescent="0.25">
      <c r="A81" s="2"/>
      <c r="B81" s="2"/>
      <c r="C81" s="2"/>
      <c r="D81" s="2"/>
      <c r="E81" s="2"/>
      <c r="F81" s="2"/>
      <c r="G81" s="2"/>
      <c r="H81" s="2"/>
      <c r="I81" s="2"/>
      <c r="J81" s="2"/>
      <c r="K81" s="2"/>
      <c r="L81" s="2"/>
      <c r="M81" s="2"/>
      <c r="N81" s="2"/>
      <c r="O81" s="2"/>
      <c r="P81" s="2"/>
      <c r="Q81" s="2"/>
      <c r="R81" s="2"/>
      <c r="S81" s="2"/>
      <c r="T81" s="2"/>
      <c r="U81" s="2"/>
      <c r="V81" s="2"/>
      <c r="W81" s="183"/>
      <c r="X81" s="2"/>
      <c r="Y81" s="2"/>
      <c r="Z81" s="2"/>
    </row>
    <row r="82" spans="1:26" ht="13.5" customHeight="1" x14ac:dyDescent="0.25">
      <c r="A82" s="2"/>
      <c r="B82" s="2"/>
      <c r="C82" s="2"/>
      <c r="D82" s="2"/>
      <c r="E82" s="2"/>
      <c r="F82" s="2"/>
      <c r="G82" s="2"/>
      <c r="H82" s="2"/>
      <c r="I82" s="2"/>
      <c r="J82" s="2"/>
      <c r="K82" s="2"/>
      <c r="L82" s="2"/>
      <c r="M82" s="2"/>
      <c r="N82" s="2"/>
      <c r="O82" s="2"/>
      <c r="P82" s="2"/>
      <c r="Q82" s="2"/>
      <c r="R82" s="2"/>
      <c r="S82" s="2"/>
      <c r="T82" s="2"/>
      <c r="U82" s="2"/>
      <c r="V82" s="2"/>
      <c r="W82" s="183"/>
      <c r="X82" s="2"/>
      <c r="Y82" s="2"/>
      <c r="Z82" s="2"/>
    </row>
    <row r="83" spans="1:26" ht="13.5" customHeight="1" x14ac:dyDescent="0.25">
      <c r="A83" s="2"/>
      <c r="B83" s="2"/>
      <c r="C83" s="2"/>
      <c r="D83" s="2"/>
      <c r="E83" s="2"/>
      <c r="F83" s="2"/>
      <c r="G83" s="2"/>
      <c r="H83" s="2"/>
      <c r="I83" s="2"/>
      <c r="J83" s="2"/>
      <c r="K83" s="2"/>
      <c r="L83" s="2"/>
      <c r="M83" s="2"/>
      <c r="N83" s="2"/>
      <c r="O83" s="2"/>
      <c r="P83" s="2"/>
      <c r="Q83" s="2"/>
      <c r="R83" s="2"/>
      <c r="S83" s="2"/>
      <c r="T83" s="2"/>
      <c r="U83" s="2"/>
      <c r="V83" s="2"/>
      <c r="W83" s="183"/>
      <c r="X83" s="2"/>
      <c r="Y83" s="2"/>
      <c r="Z83" s="2"/>
    </row>
    <row r="84" spans="1:26" ht="13.5" customHeight="1" x14ac:dyDescent="0.25">
      <c r="A84" s="2"/>
      <c r="B84" s="2"/>
      <c r="C84" s="2"/>
      <c r="D84" s="2"/>
      <c r="E84" s="2"/>
      <c r="F84" s="2"/>
      <c r="G84" s="2"/>
      <c r="H84" s="2"/>
      <c r="I84" s="2"/>
      <c r="J84" s="2"/>
      <c r="K84" s="2"/>
      <c r="L84" s="2"/>
      <c r="M84" s="2"/>
      <c r="N84" s="2"/>
      <c r="O84" s="2"/>
      <c r="P84" s="2"/>
      <c r="Q84" s="2"/>
      <c r="R84" s="2"/>
      <c r="S84" s="2"/>
      <c r="T84" s="2"/>
      <c r="U84" s="2"/>
      <c r="V84" s="2"/>
      <c r="W84" s="183"/>
      <c r="X84" s="2"/>
      <c r="Y84" s="2"/>
      <c r="Z84" s="2"/>
    </row>
    <row r="85" spans="1:26" ht="13.5" customHeight="1" x14ac:dyDescent="0.25">
      <c r="A85" s="2"/>
      <c r="B85" s="2"/>
      <c r="C85" s="2"/>
      <c r="D85" s="2"/>
      <c r="E85" s="2"/>
      <c r="F85" s="2"/>
      <c r="G85" s="2"/>
      <c r="H85" s="2"/>
      <c r="I85" s="2"/>
      <c r="J85" s="2"/>
      <c r="K85" s="2"/>
      <c r="L85" s="2"/>
      <c r="M85" s="2"/>
      <c r="N85" s="2"/>
      <c r="O85" s="2"/>
      <c r="P85" s="2"/>
      <c r="Q85" s="2"/>
      <c r="R85" s="2"/>
      <c r="S85" s="2"/>
      <c r="T85" s="2"/>
      <c r="U85" s="2"/>
      <c r="V85" s="2"/>
      <c r="W85" s="183"/>
      <c r="X85" s="2"/>
      <c r="Y85" s="2"/>
      <c r="Z85" s="2"/>
    </row>
    <row r="86" spans="1:26" ht="13.5" customHeight="1" x14ac:dyDescent="0.25">
      <c r="A86" s="2"/>
      <c r="B86" s="2"/>
      <c r="C86" s="2"/>
      <c r="D86" s="2"/>
      <c r="E86" s="2"/>
      <c r="F86" s="2"/>
      <c r="G86" s="2"/>
      <c r="H86" s="2"/>
      <c r="I86" s="2"/>
      <c r="J86" s="2"/>
      <c r="K86" s="2"/>
      <c r="L86" s="2"/>
      <c r="M86" s="2"/>
      <c r="N86" s="2"/>
      <c r="O86" s="2"/>
      <c r="P86" s="2"/>
      <c r="Q86" s="2"/>
      <c r="R86" s="2"/>
      <c r="S86" s="2"/>
      <c r="T86" s="2"/>
      <c r="U86" s="2"/>
      <c r="V86" s="2"/>
      <c r="W86" s="183"/>
      <c r="X86" s="2"/>
      <c r="Y86" s="2"/>
      <c r="Z86" s="2"/>
    </row>
    <row r="87" spans="1:26" ht="13.5" customHeight="1" x14ac:dyDescent="0.25">
      <c r="A87" s="2"/>
      <c r="B87" s="2"/>
      <c r="C87" s="2"/>
      <c r="D87" s="2"/>
      <c r="E87" s="2"/>
      <c r="F87" s="2"/>
      <c r="G87" s="2"/>
      <c r="H87" s="2"/>
      <c r="I87" s="2"/>
      <c r="J87" s="2"/>
      <c r="K87" s="2"/>
      <c r="L87" s="2"/>
      <c r="M87" s="2"/>
      <c r="N87" s="2"/>
      <c r="O87" s="2"/>
      <c r="P87" s="2"/>
      <c r="Q87" s="2"/>
      <c r="R87" s="2"/>
      <c r="S87" s="2"/>
      <c r="T87" s="2"/>
      <c r="U87" s="2"/>
      <c r="V87" s="2"/>
      <c r="W87" s="183"/>
      <c r="X87" s="2"/>
      <c r="Y87" s="2"/>
      <c r="Z87" s="2"/>
    </row>
    <row r="88" spans="1:26" ht="13.5" customHeight="1" x14ac:dyDescent="0.25">
      <c r="A88" s="2"/>
      <c r="B88" s="2"/>
      <c r="C88" s="2"/>
      <c r="D88" s="2"/>
      <c r="E88" s="2"/>
      <c r="F88" s="2"/>
      <c r="G88" s="2"/>
      <c r="H88" s="2"/>
      <c r="I88" s="2"/>
      <c r="J88" s="2"/>
      <c r="K88" s="2"/>
      <c r="L88" s="2"/>
      <c r="M88" s="2"/>
      <c r="N88" s="2"/>
      <c r="O88" s="2"/>
      <c r="P88" s="2"/>
      <c r="Q88" s="2"/>
      <c r="R88" s="2"/>
      <c r="S88" s="2"/>
      <c r="T88" s="2"/>
      <c r="U88" s="2"/>
      <c r="V88" s="2"/>
      <c r="W88" s="183"/>
      <c r="X88" s="2"/>
      <c r="Y88" s="2"/>
      <c r="Z88" s="2"/>
    </row>
    <row r="89" spans="1:26" ht="13.5" customHeight="1" x14ac:dyDescent="0.25">
      <c r="A89" s="2"/>
      <c r="B89" s="2"/>
      <c r="C89" s="2"/>
      <c r="D89" s="2"/>
      <c r="E89" s="2"/>
      <c r="F89" s="2"/>
      <c r="G89" s="2"/>
      <c r="H89" s="2"/>
      <c r="I89" s="2"/>
      <c r="J89" s="2"/>
      <c r="K89" s="2"/>
      <c r="L89" s="2"/>
      <c r="M89" s="2"/>
      <c r="N89" s="2"/>
      <c r="O89" s="2"/>
      <c r="P89" s="2"/>
      <c r="Q89" s="2"/>
      <c r="R89" s="2"/>
      <c r="S89" s="2"/>
      <c r="T89" s="2"/>
      <c r="U89" s="2"/>
      <c r="V89" s="2"/>
      <c r="W89" s="183"/>
      <c r="X89" s="2"/>
      <c r="Y89" s="2"/>
      <c r="Z89" s="2"/>
    </row>
    <row r="90" spans="1:26" ht="13.5" customHeight="1" x14ac:dyDescent="0.25">
      <c r="A90" s="2"/>
      <c r="B90" s="2"/>
      <c r="C90" s="2"/>
      <c r="D90" s="2"/>
      <c r="E90" s="2"/>
      <c r="F90" s="2"/>
      <c r="G90" s="2"/>
      <c r="H90" s="2"/>
      <c r="I90" s="2"/>
      <c r="J90" s="2"/>
      <c r="K90" s="2"/>
      <c r="L90" s="2"/>
      <c r="M90" s="2"/>
      <c r="N90" s="2"/>
      <c r="O90" s="2"/>
      <c r="P90" s="2"/>
      <c r="Q90" s="2"/>
      <c r="R90" s="2"/>
      <c r="S90" s="2"/>
      <c r="T90" s="2"/>
      <c r="U90" s="2"/>
      <c r="V90" s="2"/>
      <c r="W90" s="183"/>
      <c r="X90" s="2"/>
      <c r="Y90" s="2"/>
      <c r="Z90" s="2"/>
    </row>
    <row r="91" spans="1:26" ht="13.5" customHeight="1" x14ac:dyDescent="0.25">
      <c r="A91" s="2"/>
      <c r="B91" s="2"/>
      <c r="C91" s="2"/>
      <c r="D91" s="2"/>
      <c r="E91" s="2"/>
      <c r="F91" s="2"/>
      <c r="G91" s="2"/>
      <c r="H91" s="2"/>
      <c r="I91" s="2"/>
      <c r="J91" s="2"/>
      <c r="K91" s="2"/>
      <c r="L91" s="2"/>
      <c r="M91" s="2"/>
      <c r="N91" s="2"/>
      <c r="O91" s="2"/>
      <c r="P91" s="2"/>
      <c r="Q91" s="2"/>
      <c r="R91" s="2"/>
      <c r="S91" s="2"/>
      <c r="T91" s="2"/>
      <c r="U91" s="2"/>
      <c r="V91" s="2"/>
      <c r="W91" s="183"/>
      <c r="X91" s="2"/>
      <c r="Y91" s="2"/>
      <c r="Z91" s="2"/>
    </row>
    <row r="92" spans="1:26" ht="13.5" customHeight="1" x14ac:dyDescent="0.25">
      <c r="A92" s="2"/>
      <c r="B92" s="2"/>
      <c r="C92" s="2"/>
      <c r="D92" s="2"/>
      <c r="E92" s="2"/>
      <c r="F92" s="2"/>
      <c r="G92" s="2"/>
      <c r="H92" s="2"/>
      <c r="I92" s="2"/>
      <c r="J92" s="2"/>
      <c r="K92" s="2"/>
      <c r="L92" s="2"/>
      <c r="M92" s="2"/>
      <c r="N92" s="2"/>
      <c r="O92" s="2"/>
      <c r="P92" s="2"/>
      <c r="Q92" s="2"/>
      <c r="R92" s="2"/>
      <c r="S92" s="2"/>
      <c r="T92" s="2"/>
      <c r="U92" s="2"/>
      <c r="V92" s="2"/>
      <c r="W92" s="183"/>
      <c r="X92" s="2"/>
      <c r="Y92" s="2"/>
      <c r="Z92" s="2"/>
    </row>
    <row r="93" spans="1:26" ht="13.5" customHeight="1" x14ac:dyDescent="0.25">
      <c r="A93" s="2"/>
      <c r="B93" s="2"/>
      <c r="C93" s="2"/>
      <c r="D93" s="2"/>
      <c r="E93" s="2"/>
      <c r="F93" s="2"/>
      <c r="G93" s="2"/>
      <c r="H93" s="2"/>
      <c r="I93" s="2"/>
      <c r="J93" s="2"/>
      <c r="K93" s="2"/>
      <c r="L93" s="2"/>
      <c r="M93" s="2"/>
      <c r="N93" s="2"/>
      <c r="O93" s="2"/>
      <c r="P93" s="2"/>
      <c r="Q93" s="2"/>
      <c r="R93" s="2"/>
      <c r="S93" s="2"/>
      <c r="T93" s="2"/>
      <c r="U93" s="2"/>
      <c r="V93" s="2"/>
      <c r="W93" s="183"/>
      <c r="X93" s="2"/>
      <c r="Y93" s="2"/>
      <c r="Z93" s="2"/>
    </row>
    <row r="94" spans="1:26" ht="13.5" customHeight="1" x14ac:dyDescent="0.25">
      <c r="A94" s="2"/>
      <c r="B94" s="2"/>
      <c r="C94" s="2"/>
      <c r="D94" s="2"/>
      <c r="E94" s="2"/>
      <c r="F94" s="2"/>
      <c r="G94" s="2"/>
      <c r="H94" s="2"/>
      <c r="I94" s="2"/>
      <c r="J94" s="2"/>
      <c r="K94" s="2"/>
      <c r="L94" s="2"/>
      <c r="M94" s="2"/>
      <c r="N94" s="2"/>
      <c r="O94" s="2"/>
      <c r="P94" s="2"/>
      <c r="Q94" s="2"/>
      <c r="R94" s="2"/>
      <c r="S94" s="2"/>
      <c r="T94" s="2"/>
      <c r="U94" s="2"/>
      <c r="V94" s="2"/>
      <c r="W94" s="183"/>
      <c r="X94" s="2"/>
      <c r="Y94" s="2"/>
      <c r="Z94" s="2"/>
    </row>
    <row r="95" spans="1:26" ht="13.5" customHeight="1" x14ac:dyDescent="0.25">
      <c r="A95" s="2"/>
      <c r="B95" s="2"/>
      <c r="C95" s="2"/>
      <c r="D95" s="2"/>
      <c r="E95" s="2"/>
      <c r="F95" s="2"/>
      <c r="G95" s="2"/>
      <c r="H95" s="2"/>
      <c r="I95" s="2"/>
      <c r="J95" s="2"/>
      <c r="K95" s="2"/>
      <c r="L95" s="2"/>
      <c r="M95" s="2"/>
      <c r="N95" s="2"/>
      <c r="O95" s="2"/>
      <c r="P95" s="2"/>
      <c r="Q95" s="2"/>
      <c r="R95" s="2"/>
      <c r="S95" s="2"/>
      <c r="T95" s="2"/>
      <c r="U95" s="2"/>
      <c r="V95" s="2"/>
      <c r="W95" s="183"/>
      <c r="X95" s="2"/>
      <c r="Y95" s="2"/>
      <c r="Z95" s="2"/>
    </row>
    <row r="96" spans="1:26" ht="13.5" customHeight="1" x14ac:dyDescent="0.25">
      <c r="A96" s="2"/>
      <c r="B96" s="2"/>
      <c r="C96" s="2"/>
      <c r="D96" s="2"/>
      <c r="E96" s="2"/>
      <c r="F96" s="2"/>
      <c r="G96" s="2"/>
      <c r="H96" s="2"/>
      <c r="I96" s="2"/>
      <c r="J96" s="2"/>
      <c r="K96" s="2"/>
      <c r="L96" s="2"/>
      <c r="M96" s="2"/>
      <c r="N96" s="2"/>
      <c r="O96" s="2"/>
      <c r="P96" s="2"/>
      <c r="Q96" s="2"/>
      <c r="R96" s="2"/>
      <c r="S96" s="2"/>
      <c r="T96" s="2"/>
      <c r="U96" s="2"/>
      <c r="V96" s="2"/>
      <c r="W96" s="183"/>
      <c r="X96" s="2"/>
      <c r="Y96" s="2"/>
      <c r="Z96" s="2"/>
    </row>
    <row r="97" spans="1:26" ht="13.5" customHeight="1" x14ac:dyDescent="0.25">
      <c r="A97" s="2"/>
      <c r="B97" s="2"/>
      <c r="C97" s="2"/>
      <c r="D97" s="2"/>
      <c r="E97" s="2"/>
      <c r="F97" s="2"/>
      <c r="G97" s="2"/>
      <c r="H97" s="2"/>
      <c r="I97" s="2"/>
      <c r="J97" s="2"/>
      <c r="K97" s="2"/>
      <c r="L97" s="2"/>
      <c r="M97" s="2"/>
      <c r="N97" s="2"/>
      <c r="O97" s="2"/>
      <c r="P97" s="2"/>
      <c r="Q97" s="2"/>
      <c r="R97" s="2"/>
      <c r="S97" s="2"/>
      <c r="T97" s="2"/>
      <c r="U97" s="2"/>
      <c r="V97" s="2"/>
      <c r="W97" s="183"/>
      <c r="X97" s="2"/>
      <c r="Y97" s="2"/>
      <c r="Z97" s="2"/>
    </row>
    <row r="98" spans="1:26" ht="13.5" customHeight="1" x14ac:dyDescent="0.25">
      <c r="A98" s="2"/>
      <c r="B98" s="2"/>
      <c r="C98" s="2"/>
      <c r="D98" s="2"/>
      <c r="E98" s="2"/>
      <c r="F98" s="2"/>
      <c r="G98" s="2"/>
      <c r="H98" s="2"/>
      <c r="I98" s="2"/>
      <c r="J98" s="2"/>
      <c r="K98" s="2"/>
      <c r="L98" s="2"/>
      <c r="M98" s="2"/>
      <c r="N98" s="2"/>
      <c r="O98" s="2"/>
      <c r="P98" s="2"/>
      <c r="Q98" s="2"/>
      <c r="R98" s="2"/>
      <c r="S98" s="2"/>
      <c r="T98" s="2"/>
      <c r="U98" s="2"/>
      <c r="V98" s="2"/>
      <c r="W98" s="183"/>
      <c r="X98" s="2"/>
      <c r="Y98" s="2"/>
      <c r="Z98" s="2"/>
    </row>
    <row r="99" spans="1:26" ht="13.5" customHeight="1" x14ac:dyDescent="0.25">
      <c r="A99" s="2"/>
      <c r="B99" s="2"/>
      <c r="C99" s="2"/>
      <c r="D99" s="2"/>
      <c r="E99" s="2"/>
      <c r="F99" s="2"/>
      <c r="G99" s="2"/>
      <c r="H99" s="2"/>
      <c r="I99" s="2"/>
      <c r="J99" s="2"/>
      <c r="K99" s="2"/>
      <c r="L99" s="2"/>
      <c r="M99" s="2"/>
      <c r="N99" s="2"/>
      <c r="O99" s="2"/>
      <c r="P99" s="2"/>
      <c r="Q99" s="2"/>
      <c r="R99" s="2"/>
      <c r="S99" s="2"/>
      <c r="T99" s="2"/>
      <c r="U99" s="2"/>
      <c r="V99" s="2"/>
      <c r="W99" s="183"/>
      <c r="X99" s="2"/>
      <c r="Y99" s="2"/>
      <c r="Z99" s="2"/>
    </row>
    <row r="100" spans="1:26" ht="13.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183"/>
      <c r="X100" s="2"/>
      <c r="Y100" s="2"/>
      <c r="Z100" s="2"/>
    </row>
    <row r="101" spans="1:26" ht="13.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183"/>
      <c r="X101" s="2"/>
      <c r="Y101" s="2"/>
      <c r="Z101" s="2"/>
    </row>
    <row r="102" spans="1:26" ht="13.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183"/>
      <c r="X102" s="2"/>
      <c r="Y102" s="2"/>
      <c r="Z102" s="2"/>
    </row>
    <row r="103" spans="1:26" ht="13.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183"/>
      <c r="X103" s="2"/>
      <c r="Y103" s="2"/>
      <c r="Z103" s="2"/>
    </row>
    <row r="104" spans="1:26" ht="13.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183"/>
      <c r="X104" s="2"/>
      <c r="Y104" s="2"/>
      <c r="Z104" s="2"/>
    </row>
    <row r="105" spans="1:26" ht="13.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183"/>
      <c r="X105" s="2"/>
      <c r="Y105" s="2"/>
      <c r="Z105" s="2"/>
    </row>
    <row r="106" spans="1:26" ht="13.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183"/>
      <c r="X106" s="2"/>
      <c r="Y106" s="2"/>
      <c r="Z106" s="2"/>
    </row>
    <row r="107" spans="1:26" ht="13.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183"/>
      <c r="X107" s="2"/>
      <c r="Y107" s="2"/>
      <c r="Z107" s="2"/>
    </row>
    <row r="108" spans="1:26" ht="13.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183"/>
      <c r="X108" s="2"/>
      <c r="Y108" s="2"/>
      <c r="Z108" s="2"/>
    </row>
    <row r="109" spans="1:26" ht="13.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183"/>
      <c r="X109" s="2"/>
      <c r="Y109" s="2"/>
      <c r="Z109" s="2"/>
    </row>
    <row r="110" spans="1:26" ht="13.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183"/>
      <c r="X110" s="2"/>
      <c r="Y110" s="2"/>
      <c r="Z110" s="2"/>
    </row>
    <row r="111" spans="1:26" ht="13.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183"/>
      <c r="X111" s="2"/>
      <c r="Y111" s="2"/>
      <c r="Z111" s="2"/>
    </row>
    <row r="112" spans="1:26" ht="13.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183"/>
      <c r="X112" s="2"/>
      <c r="Y112" s="2"/>
      <c r="Z112" s="2"/>
    </row>
    <row r="113" spans="1:26" ht="13.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183"/>
      <c r="X113" s="2"/>
      <c r="Y113" s="2"/>
      <c r="Z113" s="2"/>
    </row>
    <row r="114" spans="1:26" ht="13.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183"/>
      <c r="X114" s="2"/>
      <c r="Y114" s="2"/>
      <c r="Z114" s="2"/>
    </row>
    <row r="115" spans="1:26" ht="13.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183"/>
      <c r="X115" s="2"/>
      <c r="Y115" s="2"/>
      <c r="Z115" s="2"/>
    </row>
    <row r="116" spans="1:26" ht="13.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183"/>
      <c r="X116" s="2"/>
      <c r="Y116" s="2"/>
      <c r="Z116" s="2"/>
    </row>
    <row r="117" spans="1:26" ht="13.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183"/>
      <c r="X117" s="2"/>
      <c r="Y117" s="2"/>
      <c r="Z117" s="2"/>
    </row>
    <row r="118" spans="1:26" ht="13.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183"/>
      <c r="X118" s="2"/>
      <c r="Y118" s="2"/>
      <c r="Z118" s="2"/>
    </row>
    <row r="119" spans="1:26" ht="13.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183"/>
      <c r="X119" s="2"/>
      <c r="Y119" s="2"/>
      <c r="Z119" s="2"/>
    </row>
    <row r="120" spans="1:26" ht="13.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183"/>
      <c r="X120" s="2"/>
      <c r="Y120" s="2"/>
      <c r="Z120" s="2"/>
    </row>
    <row r="121" spans="1:26" ht="13.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183"/>
      <c r="X121" s="2"/>
      <c r="Y121" s="2"/>
      <c r="Z121" s="2"/>
    </row>
    <row r="122" spans="1:26" ht="13.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183"/>
      <c r="X122" s="2"/>
      <c r="Y122" s="2"/>
      <c r="Z122" s="2"/>
    </row>
    <row r="123" spans="1:26" ht="13.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183"/>
      <c r="X123" s="2"/>
      <c r="Y123" s="2"/>
      <c r="Z123" s="2"/>
    </row>
    <row r="124" spans="1:26" ht="13.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183"/>
      <c r="X124" s="2"/>
      <c r="Y124" s="2"/>
      <c r="Z124" s="2"/>
    </row>
    <row r="125" spans="1:26" ht="13.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183"/>
      <c r="X125" s="2"/>
      <c r="Y125" s="2"/>
      <c r="Z125" s="2"/>
    </row>
    <row r="126" spans="1:26" ht="13.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183"/>
      <c r="X126" s="2"/>
      <c r="Y126" s="2"/>
      <c r="Z126" s="2"/>
    </row>
    <row r="127" spans="1:26" ht="13.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183"/>
      <c r="X127" s="2"/>
      <c r="Y127" s="2"/>
      <c r="Z127" s="2"/>
    </row>
    <row r="128" spans="1:26" ht="13.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183"/>
      <c r="X128" s="2"/>
      <c r="Y128" s="2"/>
      <c r="Z128" s="2"/>
    </row>
    <row r="129" spans="1:26" ht="13.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183"/>
      <c r="X129" s="2"/>
      <c r="Y129" s="2"/>
      <c r="Z129" s="2"/>
    </row>
    <row r="130" spans="1:26" ht="13.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183"/>
      <c r="X130" s="2"/>
      <c r="Y130" s="2"/>
      <c r="Z130" s="2"/>
    </row>
    <row r="131" spans="1:26" ht="13.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183"/>
      <c r="X131" s="2"/>
      <c r="Y131" s="2"/>
      <c r="Z131" s="2"/>
    </row>
    <row r="132" spans="1:26" ht="13.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183"/>
      <c r="X132" s="2"/>
      <c r="Y132" s="2"/>
      <c r="Z132" s="2"/>
    </row>
    <row r="133" spans="1:26" ht="13.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183"/>
      <c r="X133" s="2"/>
      <c r="Y133" s="2"/>
      <c r="Z133" s="2"/>
    </row>
    <row r="134" spans="1:26" ht="13.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183"/>
      <c r="X134" s="2"/>
      <c r="Y134" s="2"/>
      <c r="Z134" s="2"/>
    </row>
    <row r="135" spans="1:26" ht="13.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183"/>
      <c r="X135" s="2"/>
      <c r="Y135" s="2"/>
      <c r="Z135" s="2"/>
    </row>
    <row r="136" spans="1:26" ht="13.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183"/>
      <c r="X136" s="2"/>
      <c r="Y136" s="2"/>
      <c r="Z136" s="2"/>
    </row>
    <row r="137" spans="1:26" ht="13.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183"/>
      <c r="X137" s="2"/>
      <c r="Y137" s="2"/>
      <c r="Z137" s="2"/>
    </row>
    <row r="138" spans="1:26" ht="13.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183"/>
      <c r="X138" s="2"/>
      <c r="Y138" s="2"/>
      <c r="Z138" s="2"/>
    </row>
    <row r="139" spans="1:26" ht="13.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183"/>
      <c r="X139" s="2"/>
      <c r="Y139" s="2"/>
      <c r="Z139" s="2"/>
    </row>
    <row r="140" spans="1:26" ht="13.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183"/>
      <c r="X140" s="2"/>
      <c r="Y140" s="2"/>
      <c r="Z140" s="2"/>
    </row>
    <row r="141" spans="1:26" ht="13.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183"/>
      <c r="X141" s="2"/>
      <c r="Y141" s="2"/>
      <c r="Z141" s="2"/>
    </row>
    <row r="142" spans="1:26" ht="13.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183"/>
      <c r="X142" s="2"/>
      <c r="Y142" s="2"/>
      <c r="Z142" s="2"/>
    </row>
    <row r="143" spans="1:26" ht="13.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183"/>
      <c r="X143" s="2"/>
      <c r="Y143" s="2"/>
      <c r="Z143" s="2"/>
    </row>
    <row r="144" spans="1:26" ht="13.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183"/>
      <c r="X144" s="2"/>
      <c r="Y144" s="2"/>
      <c r="Z144" s="2"/>
    </row>
    <row r="145" spans="1:26" ht="13.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183"/>
      <c r="X145" s="2"/>
      <c r="Y145" s="2"/>
      <c r="Z145" s="2"/>
    </row>
    <row r="146" spans="1:26" ht="13.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183"/>
      <c r="X146" s="2"/>
      <c r="Y146" s="2"/>
      <c r="Z146" s="2"/>
    </row>
    <row r="147" spans="1:26" ht="13.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183"/>
      <c r="X147" s="2"/>
      <c r="Y147" s="2"/>
      <c r="Z147" s="2"/>
    </row>
    <row r="148" spans="1:26" ht="13.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183"/>
      <c r="X148" s="2"/>
      <c r="Y148" s="2"/>
      <c r="Z148" s="2"/>
    </row>
    <row r="149" spans="1:26" ht="13.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183"/>
      <c r="X149" s="2"/>
      <c r="Y149" s="2"/>
      <c r="Z149" s="2"/>
    </row>
    <row r="150" spans="1:26" ht="13.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183"/>
      <c r="X150" s="2"/>
      <c r="Y150" s="2"/>
      <c r="Z150" s="2"/>
    </row>
    <row r="151" spans="1:26" ht="13.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183"/>
      <c r="X151" s="2"/>
      <c r="Y151" s="2"/>
      <c r="Z151" s="2"/>
    </row>
    <row r="152" spans="1:26" ht="13.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183"/>
      <c r="X152" s="2"/>
      <c r="Y152" s="2"/>
      <c r="Z152" s="2"/>
    </row>
    <row r="153" spans="1:26" ht="13.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183"/>
      <c r="X153" s="2"/>
      <c r="Y153" s="2"/>
      <c r="Z153" s="2"/>
    </row>
    <row r="154" spans="1:26" ht="13.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183"/>
      <c r="X154" s="2"/>
      <c r="Y154" s="2"/>
      <c r="Z154" s="2"/>
    </row>
    <row r="155" spans="1:26" ht="13.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183"/>
      <c r="X155" s="2"/>
      <c r="Y155" s="2"/>
      <c r="Z155" s="2"/>
    </row>
    <row r="156" spans="1:26" ht="13.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183"/>
      <c r="X156" s="2"/>
      <c r="Y156" s="2"/>
      <c r="Z156" s="2"/>
    </row>
    <row r="157" spans="1:26" ht="13.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183"/>
      <c r="X157" s="2"/>
      <c r="Y157" s="2"/>
      <c r="Z157" s="2"/>
    </row>
    <row r="158" spans="1:26" ht="13.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183"/>
      <c r="X158" s="2"/>
      <c r="Y158" s="2"/>
      <c r="Z158" s="2"/>
    </row>
    <row r="159" spans="1:26" ht="13.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183"/>
      <c r="X159" s="2"/>
      <c r="Y159" s="2"/>
      <c r="Z159" s="2"/>
    </row>
    <row r="160" spans="1:26" ht="13.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183"/>
      <c r="X160" s="2"/>
      <c r="Y160" s="2"/>
      <c r="Z160" s="2"/>
    </row>
    <row r="161" spans="1:26" ht="13.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183"/>
      <c r="X161" s="2"/>
      <c r="Y161" s="2"/>
      <c r="Z161" s="2"/>
    </row>
    <row r="162" spans="1:26" ht="13.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183"/>
      <c r="X162" s="2"/>
      <c r="Y162" s="2"/>
      <c r="Z162" s="2"/>
    </row>
    <row r="163" spans="1:26" ht="13.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183"/>
      <c r="X163" s="2"/>
      <c r="Y163" s="2"/>
      <c r="Z163" s="2"/>
    </row>
    <row r="164" spans="1:26" ht="13.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183"/>
      <c r="X164" s="2"/>
      <c r="Y164" s="2"/>
      <c r="Z164" s="2"/>
    </row>
    <row r="165" spans="1:26" ht="13.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183"/>
      <c r="X165" s="2"/>
      <c r="Y165" s="2"/>
      <c r="Z165" s="2"/>
    </row>
    <row r="166" spans="1:26" ht="13.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183"/>
      <c r="X166" s="2"/>
      <c r="Y166" s="2"/>
      <c r="Z166" s="2"/>
    </row>
    <row r="167" spans="1:26" ht="13.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183"/>
      <c r="X167" s="2"/>
      <c r="Y167" s="2"/>
      <c r="Z167" s="2"/>
    </row>
    <row r="168" spans="1:26" ht="13.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183"/>
      <c r="X168" s="2"/>
      <c r="Y168" s="2"/>
      <c r="Z168" s="2"/>
    </row>
    <row r="169" spans="1:26" ht="13.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183"/>
      <c r="X169" s="2"/>
      <c r="Y169" s="2"/>
      <c r="Z169" s="2"/>
    </row>
    <row r="170" spans="1:26" ht="13.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183"/>
      <c r="X170" s="2"/>
      <c r="Y170" s="2"/>
      <c r="Z170" s="2"/>
    </row>
    <row r="171" spans="1:26" ht="13.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183"/>
      <c r="X171" s="2"/>
      <c r="Y171" s="2"/>
      <c r="Z171" s="2"/>
    </row>
    <row r="172" spans="1:26" ht="13.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183"/>
      <c r="X172" s="2"/>
      <c r="Y172" s="2"/>
      <c r="Z172" s="2"/>
    </row>
    <row r="173" spans="1:26" ht="13.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183"/>
      <c r="X173" s="2"/>
      <c r="Y173" s="2"/>
      <c r="Z173" s="2"/>
    </row>
    <row r="174" spans="1:26" ht="13.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183"/>
      <c r="X174" s="2"/>
      <c r="Y174" s="2"/>
      <c r="Z174" s="2"/>
    </row>
    <row r="175" spans="1:26" ht="13.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183"/>
      <c r="X175" s="2"/>
      <c r="Y175" s="2"/>
      <c r="Z175" s="2"/>
    </row>
    <row r="176" spans="1:26" ht="13.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183"/>
      <c r="X176" s="2"/>
      <c r="Y176" s="2"/>
      <c r="Z176" s="2"/>
    </row>
    <row r="177" spans="1:26" ht="13.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183"/>
      <c r="X177" s="2"/>
      <c r="Y177" s="2"/>
      <c r="Z177" s="2"/>
    </row>
    <row r="178" spans="1:26" ht="13.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183"/>
      <c r="X178" s="2"/>
      <c r="Y178" s="2"/>
      <c r="Z178" s="2"/>
    </row>
    <row r="179" spans="1:26" ht="13.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183"/>
      <c r="X179" s="2"/>
      <c r="Y179" s="2"/>
      <c r="Z179" s="2"/>
    </row>
    <row r="180" spans="1:26" ht="13.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183"/>
      <c r="X180" s="2"/>
      <c r="Y180" s="2"/>
      <c r="Z180" s="2"/>
    </row>
    <row r="181" spans="1:26" ht="13.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183"/>
      <c r="X181" s="2"/>
      <c r="Y181" s="2"/>
      <c r="Z181" s="2"/>
    </row>
    <row r="182" spans="1:26" ht="13.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183"/>
      <c r="X182" s="2"/>
      <c r="Y182" s="2"/>
      <c r="Z182" s="2"/>
    </row>
    <row r="183" spans="1:26" ht="13.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183"/>
      <c r="X183" s="2"/>
      <c r="Y183" s="2"/>
      <c r="Z183" s="2"/>
    </row>
    <row r="184" spans="1:26" ht="13.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183"/>
      <c r="X184" s="2"/>
      <c r="Y184" s="2"/>
      <c r="Z184" s="2"/>
    </row>
    <row r="185" spans="1:26" ht="13.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183"/>
      <c r="X185" s="2"/>
      <c r="Y185" s="2"/>
      <c r="Z185" s="2"/>
    </row>
    <row r="186" spans="1:26" ht="13.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183"/>
      <c r="X186" s="2"/>
      <c r="Y186" s="2"/>
      <c r="Z186" s="2"/>
    </row>
    <row r="187" spans="1:26" ht="13.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183"/>
      <c r="X187" s="2"/>
      <c r="Y187" s="2"/>
      <c r="Z187" s="2"/>
    </row>
    <row r="188" spans="1:26" ht="13.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183"/>
      <c r="X188" s="2"/>
      <c r="Y188" s="2"/>
      <c r="Z188" s="2"/>
    </row>
    <row r="189" spans="1:26" ht="13.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183"/>
      <c r="X189" s="2"/>
      <c r="Y189" s="2"/>
      <c r="Z189" s="2"/>
    </row>
    <row r="190" spans="1:26" ht="13.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183"/>
      <c r="X190" s="2"/>
      <c r="Y190" s="2"/>
      <c r="Z190" s="2"/>
    </row>
    <row r="191" spans="1:26" ht="13.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183"/>
      <c r="X191" s="2"/>
      <c r="Y191" s="2"/>
      <c r="Z191" s="2"/>
    </row>
    <row r="192" spans="1:26" ht="13.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183"/>
      <c r="X192" s="2"/>
      <c r="Y192" s="2"/>
      <c r="Z192" s="2"/>
    </row>
    <row r="193" spans="1:26" ht="13.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183"/>
      <c r="X193" s="2"/>
      <c r="Y193" s="2"/>
      <c r="Z193" s="2"/>
    </row>
    <row r="194" spans="1:26" ht="13.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183"/>
      <c r="X194" s="2"/>
      <c r="Y194" s="2"/>
      <c r="Z194" s="2"/>
    </row>
    <row r="195" spans="1:26" ht="13.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183"/>
      <c r="X195" s="2"/>
      <c r="Y195" s="2"/>
      <c r="Z195" s="2"/>
    </row>
    <row r="196" spans="1:26" ht="13.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183"/>
      <c r="X196" s="2"/>
      <c r="Y196" s="2"/>
      <c r="Z196" s="2"/>
    </row>
    <row r="197" spans="1:26" ht="13.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183"/>
      <c r="X197" s="2"/>
      <c r="Y197" s="2"/>
      <c r="Z197" s="2"/>
    </row>
    <row r="198" spans="1:26" ht="13.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183"/>
      <c r="X198" s="2"/>
      <c r="Y198" s="2"/>
      <c r="Z198" s="2"/>
    </row>
    <row r="199" spans="1:26" ht="13.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183"/>
      <c r="X199" s="2"/>
      <c r="Y199" s="2"/>
      <c r="Z199" s="2"/>
    </row>
    <row r="200" spans="1:26" ht="13.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183"/>
      <c r="X200" s="2"/>
      <c r="Y200" s="2"/>
      <c r="Z200" s="2"/>
    </row>
    <row r="201" spans="1:26" ht="13.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183"/>
      <c r="X201" s="2"/>
      <c r="Y201" s="2"/>
      <c r="Z201" s="2"/>
    </row>
    <row r="202" spans="1:26" ht="13.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183"/>
      <c r="X202" s="2"/>
      <c r="Y202" s="2"/>
      <c r="Z202" s="2"/>
    </row>
    <row r="203" spans="1:26" ht="13.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183"/>
      <c r="X203" s="2"/>
      <c r="Y203" s="2"/>
      <c r="Z203" s="2"/>
    </row>
    <row r="204" spans="1:26" ht="13.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183"/>
      <c r="X204" s="2"/>
      <c r="Y204" s="2"/>
      <c r="Z204" s="2"/>
    </row>
    <row r="205" spans="1:26" ht="13.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183"/>
      <c r="X205" s="2"/>
      <c r="Y205" s="2"/>
      <c r="Z205" s="2"/>
    </row>
    <row r="206" spans="1:26" ht="13.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183"/>
      <c r="X206" s="2"/>
      <c r="Y206" s="2"/>
      <c r="Z206" s="2"/>
    </row>
    <row r="207" spans="1:26" ht="13.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183"/>
      <c r="X207" s="2"/>
      <c r="Y207" s="2"/>
      <c r="Z207" s="2"/>
    </row>
    <row r="208" spans="1:26" ht="13.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183"/>
      <c r="X208" s="2"/>
      <c r="Y208" s="2"/>
      <c r="Z208" s="2"/>
    </row>
    <row r="209" spans="1:26" ht="13.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183"/>
      <c r="X209" s="2"/>
      <c r="Y209" s="2"/>
      <c r="Z209" s="2"/>
    </row>
    <row r="210" spans="1:26" ht="13.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183"/>
      <c r="X210" s="2"/>
      <c r="Y210" s="2"/>
      <c r="Z210" s="2"/>
    </row>
    <row r="211" spans="1:26" ht="13.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183"/>
      <c r="X211" s="2"/>
      <c r="Y211" s="2"/>
      <c r="Z211" s="2"/>
    </row>
    <row r="212" spans="1:26" ht="13.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183"/>
      <c r="X212" s="2"/>
      <c r="Y212" s="2"/>
      <c r="Z212" s="2"/>
    </row>
    <row r="213" spans="1:26" ht="13.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183"/>
      <c r="X213" s="2"/>
      <c r="Y213" s="2"/>
      <c r="Z213" s="2"/>
    </row>
    <row r="214" spans="1:26" ht="13.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183"/>
      <c r="X214" s="2"/>
      <c r="Y214" s="2"/>
      <c r="Z214" s="2"/>
    </row>
    <row r="215" spans="1:26" ht="13.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183"/>
      <c r="X215" s="2"/>
      <c r="Y215" s="2"/>
      <c r="Z215" s="2"/>
    </row>
    <row r="216" spans="1:26" ht="13.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183"/>
      <c r="X216" s="2"/>
      <c r="Y216" s="2"/>
      <c r="Z216" s="2"/>
    </row>
    <row r="217" spans="1:26" ht="13.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183"/>
      <c r="X217" s="2"/>
      <c r="Y217" s="2"/>
      <c r="Z217" s="2"/>
    </row>
    <row r="218" spans="1:26" ht="13.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183"/>
      <c r="X218" s="2"/>
      <c r="Y218" s="2"/>
      <c r="Z218" s="2"/>
    </row>
    <row r="219" spans="1:26" ht="13.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183"/>
      <c r="X219" s="2"/>
      <c r="Y219" s="2"/>
      <c r="Z219" s="2"/>
    </row>
    <row r="220" spans="1:26" ht="13.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183"/>
      <c r="X220" s="2"/>
      <c r="Y220" s="2"/>
      <c r="Z220" s="2"/>
    </row>
    <row r="221" spans="1:26" ht="13.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183"/>
      <c r="X221" s="2"/>
      <c r="Y221" s="2"/>
      <c r="Z221" s="2"/>
    </row>
    <row r="222" spans="1:26" ht="13.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183"/>
      <c r="X222" s="2"/>
      <c r="Y222" s="2"/>
      <c r="Z222" s="2"/>
    </row>
    <row r="223" spans="1:26" ht="13.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183"/>
      <c r="X223" s="2"/>
      <c r="Y223" s="2"/>
      <c r="Z223" s="2"/>
    </row>
    <row r="224" spans="1:26" ht="13.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183"/>
      <c r="X224" s="2"/>
      <c r="Y224" s="2"/>
      <c r="Z224" s="2"/>
    </row>
    <row r="225" spans="1:26" ht="13.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183"/>
      <c r="X225" s="2"/>
      <c r="Y225" s="2"/>
      <c r="Z225" s="2"/>
    </row>
    <row r="226" spans="1:26" ht="13.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183"/>
      <c r="X226" s="2"/>
      <c r="Y226" s="2"/>
      <c r="Z226" s="2"/>
    </row>
    <row r="227" spans="1:26" ht="13.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183"/>
      <c r="X227" s="2"/>
      <c r="Y227" s="2"/>
      <c r="Z227" s="2"/>
    </row>
    <row r="228" spans="1:26" ht="13.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183"/>
      <c r="X228" s="2"/>
      <c r="Y228" s="2"/>
      <c r="Z228" s="2"/>
    </row>
    <row r="229" spans="1:26" ht="13.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183"/>
      <c r="X229" s="2"/>
      <c r="Y229" s="2"/>
      <c r="Z229" s="2"/>
    </row>
    <row r="230" spans="1:26" ht="13.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183"/>
      <c r="X230" s="2"/>
      <c r="Y230" s="2"/>
      <c r="Z230" s="2"/>
    </row>
    <row r="231" spans="1:26" ht="13.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183"/>
      <c r="X231" s="2"/>
      <c r="Y231" s="2"/>
      <c r="Z231" s="2"/>
    </row>
    <row r="232" spans="1:26" ht="13.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183"/>
      <c r="X232" s="2"/>
      <c r="Y232" s="2"/>
      <c r="Z232" s="2"/>
    </row>
    <row r="233" spans="1:26" ht="13.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183"/>
      <c r="X233" s="2"/>
      <c r="Y233" s="2"/>
      <c r="Z233" s="2"/>
    </row>
    <row r="234" spans="1:26" ht="13.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183"/>
      <c r="X234" s="2"/>
      <c r="Y234" s="2"/>
      <c r="Z234" s="2"/>
    </row>
    <row r="235" spans="1:26" ht="13.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183"/>
      <c r="X235" s="2"/>
      <c r="Y235" s="2"/>
      <c r="Z235" s="2"/>
    </row>
    <row r="236" spans="1:26" ht="13.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183"/>
      <c r="X236" s="2"/>
      <c r="Y236" s="2"/>
      <c r="Z236" s="2"/>
    </row>
    <row r="237" spans="1:26" ht="13.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183"/>
      <c r="X237" s="2"/>
      <c r="Y237" s="2"/>
      <c r="Z237" s="2"/>
    </row>
    <row r="238" spans="1:26" ht="13.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183"/>
      <c r="X238" s="2"/>
      <c r="Y238" s="2"/>
      <c r="Z238" s="2"/>
    </row>
    <row r="239" spans="1:26" ht="13.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183"/>
      <c r="X239" s="2"/>
      <c r="Y239" s="2"/>
      <c r="Z239" s="2"/>
    </row>
    <row r="240" spans="1:26" ht="13.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183"/>
      <c r="X240" s="2"/>
      <c r="Y240" s="2"/>
      <c r="Z240" s="2"/>
    </row>
    <row r="241" spans="1:26" ht="13.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183"/>
      <c r="X241" s="2"/>
      <c r="Y241" s="2"/>
      <c r="Z241" s="2"/>
    </row>
    <row r="242" spans="1:26" ht="13.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183"/>
      <c r="X242" s="2"/>
      <c r="Y242" s="2"/>
      <c r="Z242" s="2"/>
    </row>
    <row r="243" spans="1:26" ht="13.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183"/>
      <c r="X243" s="2"/>
      <c r="Y243" s="2"/>
      <c r="Z243" s="2"/>
    </row>
    <row r="244" spans="1:26" ht="13.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183"/>
      <c r="X244" s="2"/>
      <c r="Y244" s="2"/>
      <c r="Z244" s="2"/>
    </row>
    <row r="245" spans="1:26" ht="13.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183"/>
      <c r="X245" s="2"/>
      <c r="Y245" s="2"/>
      <c r="Z245" s="2"/>
    </row>
    <row r="246" spans="1:26" ht="13.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183"/>
      <c r="X246" s="2"/>
      <c r="Y246" s="2"/>
      <c r="Z246" s="2"/>
    </row>
    <row r="247" spans="1:26" ht="13.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183"/>
      <c r="X247" s="2"/>
      <c r="Y247" s="2"/>
      <c r="Z247" s="2"/>
    </row>
    <row r="248" spans="1:26" ht="13.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183"/>
      <c r="X248" s="2"/>
      <c r="Y248" s="2"/>
      <c r="Z248" s="2"/>
    </row>
    <row r="249" spans="1:26" ht="13.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183"/>
      <c r="X249" s="2"/>
      <c r="Y249" s="2"/>
      <c r="Z249" s="2"/>
    </row>
    <row r="250" spans="1:26" ht="13.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183"/>
      <c r="X250" s="2"/>
      <c r="Y250" s="2"/>
      <c r="Z250" s="2"/>
    </row>
    <row r="251" spans="1:26" ht="13.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183"/>
      <c r="X251" s="2"/>
      <c r="Y251" s="2"/>
      <c r="Z251" s="2"/>
    </row>
    <row r="252" spans="1:26" ht="13.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183"/>
      <c r="X252" s="2"/>
      <c r="Y252" s="2"/>
      <c r="Z252" s="2"/>
    </row>
    <row r="253" spans="1:26" ht="13.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183"/>
      <c r="X253" s="2"/>
      <c r="Y253" s="2"/>
      <c r="Z253" s="2"/>
    </row>
    <row r="254" spans="1:26" ht="13.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183"/>
      <c r="X254" s="2"/>
      <c r="Y254" s="2"/>
      <c r="Z254" s="2"/>
    </row>
    <row r="255" spans="1:26" ht="13.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183"/>
      <c r="X255" s="2"/>
      <c r="Y255" s="2"/>
      <c r="Z255" s="2"/>
    </row>
    <row r="256" spans="1:26" ht="13.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183"/>
      <c r="X256" s="2"/>
      <c r="Y256" s="2"/>
      <c r="Z256" s="2"/>
    </row>
    <row r="257" spans="1:26" ht="13.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183"/>
      <c r="X257" s="2"/>
      <c r="Y257" s="2"/>
      <c r="Z257" s="2"/>
    </row>
    <row r="258" spans="1:26" ht="13.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183"/>
      <c r="X258" s="2"/>
      <c r="Y258" s="2"/>
      <c r="Z258" s="2"/>
    </row>
    <row r="259" spans="1:26" ht="13.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183"/>
      <c r="X259" s="2"/>
      <c r="Y259" s="2"/>
      <c r="Z259" s="2"/>
    </row>
    <row r="260" spans="1:26" ht="13.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183"/>
      <c r="X260" s="2"/>
      <c r="Y260" s="2"/>
      <c r="Z260" s="2"/>
    </row>
    <row r="261" spans="1:26" ht="13.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183"/>
      <c r="X261" s="2"/>
      <c r="Y261" s="2"/>
      <c r="Z261" s="2"/>
    </row>
    <row r="262" spans="1:26" ht="13.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183"/>
      <c r="X262" s="2"/>
      <c r="Y262" s="2"/>
      <c r="Z262" s="2"/>
    </row>
    <row r="263" spans="1:26" ht="13.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183"/>
      <c r="X263" s="2"/>
      <c r="Y263" s="2"/>
      <c r="Z263" s="2"/>
    </row>
    <row r="264" spans="1:26" ht="13.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183"/>
      <c r="X264" s="2"/>
      <c r="Y264" s="2"/>
      <c r="Z264" s="2"/>
    </row>
    <row r="265" spans="1:26" ht="13.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183"/>
      <c r="X265" s="2"/>
      <c r="Y265" s="2"/>
      <c r="Z265" s="2"/>
    </row>
    <row r="266" spans="1:26" ht="13.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183"/>
      <c r="X266" s="2"/>
      <c r="Y266" s="2"/>
      <c r="Z266" s="2"/>
    </row>
    <row r="267" spans="1:26" ht="13.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183"/>
      <c r="X267" s="2"/>
      <c r="Y267" s="2"/>
      <c r="Z267" s="2"/>
    </row>
    <row r="268" spans="1:26" ht="13.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183"/>
      <c r="X268" s="2"/>
      <c r="Y268" s="2"/>
      <c r="Z268" s="2"/>
    </row>
    <row r="269" spans="1:26" ht="13.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183"/>
      <c r="X269" s="2"/>
      <c r="Y269" s="2"/>
      <c r="Z269" s="2"/>
    </row>
    <row r="270" spans="1:26" ht="13.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183"/>
      <c r="X270" s="2"/>
      <c r="Y270" s="2"/>
      <c r="Z270" s="2"/>
    </row>
    <row r="271" spans="1:26" ht="13.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183"/>
      <c r="X271" s="2"/>
      <c r="Y271" s="2"/>
      <c r="Z271" s="2"/>
    </row>
    <row r="272" spans="1:26" ht="13.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183"/>
      <c r="X272" s="2"/>
      <c r="Y272" s="2"/>
      <c r="Z272" s="2"/>
    </row>
    <row r="273" spans="1:26" ht="13.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183"/>
      <c r="X273" s="2"/>
      <c r="Y273" s="2"/>
      <c r="Z273" s="2"/>
    </row>
    <row r="274" spans="1:26" ht="13.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183"/>
      <c r="X274" s="2"/>
      <c r="Y274" s="2"/>
      <c r="Z274" s="2"/>
    </row>
    <row r="275" spans="1:26" ht="13.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183"/>
      <c r="X275" s="2"/>
      <c r="Y275" s="2"/>
      <c r="Z275" s="2"/>
    </row>
    <row r="276" spans="1:26" ht="13.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183"/>
      <c r="X276" s="2"/>
      <c r="Y276" s="2"/>
      <c r="Z276" s="2"/>
    </row>
    <row r="277" spans="1:26" ht="13.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183"/>
      <c r="X277" s="2"/>
      <c r="Y277" s="2"/>
      <c r="Z277" s="2"/>
    </row>
    <row r="278" spans="1:26" ht="13.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183"/>
      <c r="X278" s="2"/>
      <c r="Y278" s="2"/>
      <c r="Z278" s="2"/>
    </row>
    <row r="279" spans="1:26" ht="13.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183"/>
      <c r="X279" s="2"/>
      <c r="Y279" s="2"/>
      <c r="Z279" s="2"/>
    </row>
    <row r="280" spans="1:26" ht="13.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183"/>
      <c r="X280" s="2"/>
      <c r="Y280" s="2"/>
      <c r="Z280" s="2"/>
    </row>
    <row r="281" spans="1:26" ht="13.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183"/>
      <c r="X281" s="2"/>
      <c r="Y281" s="2"/>
      <c r="Z281" s="2"/>
    </row>
    <row r="282" spans="1:26" ht="13.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183"/>
      <c r="X282" s="2"/>
      <c r="Y282" s="2"/>
      <c r="Z282" s="2"/>
    </row>
    <row r="283" spans="1:26" ht="13.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183"/>
      <c r="X283" s="2"/>
      <c r="Y283" s="2"/>
      <c r="Z283" s="2"/>
    </row>
    <row r="284" spans="1:26" ht="13.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183"/>
      <c r="X284" s="2"/>
      <c r="Y284" s="2"/>
      <c r="Z284" s="2"/>
    </row>
    <row r="285" spans="1:26" ht="13.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183"/>
      <c r="X285" s="2"/>
      <c r="Y285" s="2"/>
      <c r="Z285" s="2"/>
    </row>
    <row r="286" spans="1:26" ht="13.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183"/>
      <c r="X286" s="2"/>
      <c r="Y286" s="2"/>
      <c r="Z286" s="2"/>
    </row>
    <row r="287" spans="1:26" ht="13.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183"/>
      <c r="X287" s="2"/>
      <c r="Y287" s="2"/>
      <c r="Z287" s="2"/>
    </row>
    <row r="288" spans="1:26" ht="13.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183"/>
      <c r="X288" s="2"/>
      <c r="Y288" s="2"/>
      <c r="Z288" s="2"/>
    </row>
    <row r="289" spans="1:26" ht="13.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183"/>
      <c r="X289" s="2"/>
      <c r="Y289" s="2"/>
      <c r="Z289" s="2"/>
    </row>
    <row r="290" spans="1:26" ht="13.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183"/>
      <c r="X290" s="2"/>
      <c r="Y290" s="2"/>
      <c r="Z290" s="2"/>
    </row>
    <row r="291" spans="1:26" ht="13.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183"/>
      <c r="X291" s="2"/>
      <c r="Y291" s="2"/>
      <c r="Z291" s="2"/>
    </row>
    <row r="292" spans="1:26" ht="13.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183"/>
      <c r="X292" s="2"/>
      <c r="Y292" s="2"/>
      <c r="Z292" s="2"/>
    </row>
    <row r="293" spans="1:26" ht="13.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183"/>
      <c r="X293" s="2"/>
      <c r="Y293" s="2"/>
      <c r="Z293" s="2"/>
    </row>
    <row r="294" spans="1:26" ht="13.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183"/>
      <c r="X294" s="2"/>
      <c r="Y294" s="2"/>
      <c r="Z294" s="2"/>
    </row>
    <row r="295" spans="1:26" ht="13.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183"/>
      <c r="X295" s="2"/>
      <c r="Y295" s="2"/>
      <c r="Z295" s="2"/>
    </row>
    <row r="296" spans="1:26" ht="13.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183"/>
      <c r="X296" s="2"/>
      <c r="Y296" s="2"/>
      <c r="Z296" s="2"/>
    </row>
    <row r="297" spans="1:26" ht="13.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183"/>
      <c r="X297" s="2"/>
      <c r="Y297" s="2"/>
      <c r="Z297" s="2"/>
    </row>
    <row r="298" spans="1:26" ht="13.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183"/>
      <c r="X298" s="2"/>
      <c r="Y298" s="2"/>
      <c r="Z298" s="2"/>
    </row>
    <row r="299" spans="1:26" ht="13.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183"/>
      <c r="X299" s="2"/>
      <c r="Y299" s="2"/>
      <c r="Z299" s="2"/>
    </row>
    <row r="300" spans="1:26" ht="13.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183"/>
      <c r="X300" s="2"/>
      <c r="Y300" s="2"/>
      <c r="Z300" s="2"/>
    </row>
    <row r="301" spans="1:26" ht="13.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183"/>
      <c r="X301" s="2"/>
      <c r="Y301" s="2"/>
      <c r="Z301" s="2"/>
    </row>
    <row r="302" spans="1:26" ht="13.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183"/>
      <c r="X302" s="2"/>
      <c r="Y302" s="2"/>
      <c r="Z302" s="2"/>
    </row>
    <row r="303" spans="1:26" ht="13.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183"/>
      <c r="X303" s="2"/>
      <c r="Y303" s="2"/>
      <c r="Z303" s="2"/>
    </row>
    <row r="304" spans="1:26" ht="13.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183"/>
      <c r="X304" s="2"/>
      <c r="Y304" s="2"/>
      <c r="Z304" s="2"/>
    </row>
    <row r="305" spans="1:26" ht="13.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183"/>
      <c r="X305" s="2"/>
      <c r="Y305" s="2"/>
      <c r="Z305" s="2"/>
    </row>
    <row r="306" spans="1:26" ht="13.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183"/>
      <c r="X306" s="2"/>
      <c r="Y306" s="2"/>
      <c r="Z306" s="2"/>
    </row>
    <row r="307" spans="1:26" ht="13.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183"/>
      <c r="X307" s="2"/>
      <c r="Y307" s="2"/>
      <c r="Z307" s="2"/>
    </row>
    <row r="308" spans="1:26" ht="13.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183"/>
      <c r="X308" s="2"/>
      <c r="Y308" s="2"/>
      <c r="Z308" s="2"/>
    </row>
    <row r="309" spans="1:26" ht="13.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183"/>
      <c r="X309" s="2"/>
      <c r="Y309" s="2"/>
      <c r="Z309" s="2"/>
    </row>
    <row r="310" spans="1:26" ht="13.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183"/>
      <c r="X310" s="2"/>
      <c r="Y310" s="2"/>
      <c r="Z310" s="2"/>
    </row>
    <row r="311" spans="1:26" ht="13.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183"/>
      <c r="X311" s="2"/>
      <c r="Y311" s="2"/>
      <c r="Z311" s="2"/>
    </row>
    <row r="312" spans="1:26" ht="13.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183"/>
      <c r="X312" s="2"/>
      <c r="Y312" s="2"/>
      <c r="Z312" s="2"/>
    </row>
    <row r="313" spans="1:26" ht="13.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183"/>
      <c r="X313" s="2"/>
      <c r="Y313" s="2"/>
      <c r="Z313" s="2"/>
    </row>
    <row r="314" spans="1:26" ht="13.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183"/>
      <c r="X314" s="2"/>
      <c r="Y314" s="2"/>
      <c r="Z314" s="2"/>
    </row>
    <row r="315" spans="1:26" ht="13.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183"/>
      <c r="X315" s="2"/>
      <c r="Y315" s="2"/>
      <c r="Z315" s="2"/>
    </row>
    <row r="316" spans="1:26" ht="13.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183"/>
      <c r="X316" s="2"/>
      <c r="Y316" s="2"/>
      <c r="Z316" s="2"/>
    </row>
    <row r="317" spans="1:26" ht="13.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183"/>
      <c r="X317" s="2"/>
      <c r="Y317" s="2"/>
      <c r="Z317" s="2"/>
    </row>
    <row r="318" spans="1:26" ht="13.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183"/>
      <c r="X318" s="2"/>
      <c r="Y318" s="2"/>
      <c r="Z318" s="2"/>
    </row>
    <row r="319" spans="1:26" ht="13.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183"/>
      <c r="X319" s="2"/>
      <c r="Y319" s="2"/>
      <c r="Z319" s="2"/>
    </row>
    <row r="320" spans="1:26" ht="13.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183"/>
      <c r="X320" s="2"/>
      <c r="Y320" s="2"/>
      <c r="Z320" s="2"/>
    </row>
    <row r="321" spans="1:26" ht="13.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183"/>
      <c r="X321" s="2"/>
      <c r="Y321" s="2"/>
      <c r="Z321" s="2"/>
    </row>
    <row r="322" spans="1:26" ht="13.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183"/>
      <c r="X322" s="2"/>
      <c r="Y322" s="2"/>
      <c r="Z322" s="2"/>
    </row>
    <row r="323" spans="1:26" ht="13.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183"/>
      <c r="X323" s="2"/>
      <c r="Y323" s="2"/>
      <c r="Z323" s="2"/>
    </row>
    <row r="324" spans="1:26" ht="13.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183"/>
      <c r="X324" s="2"/>
      <c r="Y324" s="2"/>
      <c r="Z324" s="2"/>
    </row>
    <row r="325" spans="1:26" ht="13.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183"/>
      <c r="X325" s="2"/>
      <c r="Y325" s="2"/>
      <c r="Z325" s="2"/>
    </row>
    <row r="326" spans="1:26" ht="13.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183"/>
      <c r="X326" s="2"/>
      <c r="Y326" s="2"/>
      <c r="Z326" s="2"/>
    </row>
    <row r="327" spans="1:26" ht="13.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183"/>
      <c r="X327" s="2"/>
      <c r="Y327" s="2"/>
      <c r="Z327" s="2"/>
    </row>
    <row r="328" spans="1:26" ht="13.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183"/>
      <c r="X328" s="2"/>
      <c r="Y328" s="2"/>
      <c r="Z328" s="2"/>
    </row>
    <row r="329" spans="1:26" ht="13.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183"/>
      <c r="X329" s="2"/>
      <c r="Y329" s="2"/>
      <c r="Z329" s="2"/>
    </row>
    <row r="330" spans="1:26" ht="13.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183"/>
      <c r="X330" s="2"/>
      <c r="Y330" s="2"/>
      <c r="Z330" s="2"/>
    </row>
    <row r="331" spans="1:26" ht="13.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183"/>
      <c r="X331" s="2"/>
      <c r="Y331" s="2"/>
      <c r="Z331" s="2"/>
    </row>
    <row r="332" spans="1:26" ht="13.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183"/>
      <c r="X332" s="2"/>
      <c r="Y332" s="2"/>
      <c r="Z332" s="2"/>
    </row>
    <row r="333" spans="1:26" ht="13.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183"/>
      <c r="X333" s="2"/>
      <c r="Y333" s="2"/>
      <c r="Z333" s="2"/>
    </row>
    <row r="334" spans="1:26" ht="13.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183"/>
      <c r="X334" s="2"/>
      <c r="Y334" s="2"/>
      <c r="Z334" s="2"/>
    </row>
    <row r="335" spans="1:26" ht="13.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183"/>
      <c r="X335" s="2"/>
      <c r="Y335" s="2"/>
      <c r="Z335" s="2"/>
    </row>
    <row r="336" spans="1:26" ht="13.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183"/>
      <c r="X336" s="2"/>
      <c r="Y336" s="2"/>
      <c r="Z336" s="2"/>
    </row>
    <row r="337" spans="1:26" ht="13.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183"/>
      <c r="X337" s="2"/>
      <c r="Y337" s="2"/>
      <c r="Z337" s="2"/>
    </row>
    <row r="338" spans="1:26" ht="13.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183"/>
      <c r="X338" s="2"/>
      <c r="Y338" s="2"/>
      <c r="Z338" s="2"/>
    </row>
    <row r="339" spans="1:26" ht="13.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183"/>
      <c r="X339" s="2"/>
      <c r="Y339" s="2"/>
      <c r="Z339" s="2"/>
    </row>
    <row r="340" spans="1:26" ht="13.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183"/>
      <c r="X340" s="2"/>
      <c r="Y340" s="2"/>
      <c r="Z340" s="2"/>
    </row>
    <row r="341" spans="1:26" ht="13.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183"/>
      <c r="X341" s="2"/>
      <c r="Y341" s="2"/>
      <c r="Z341" s="2"/>
    </row>
    <row r="342" spans="1:26" ht="13.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183"/>
      <c r="X342" s="2"/>
      <c r="Y342" s="2"/>
      <c r="Z342" s="2"/>
    </row>
    <row r="343" spans="1:26" ht="13.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183"/>
      <c r="X343" s="2"/>
      <c r="Y343" s="2"/>
      <c r="Z343" s="2"/>
    </row>
    <row r="344" spans="1:26" ht="13.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183"/>
      <c r="X344" s="2"/>
      <c r="Y344" s="2"/>
      <c r="Z344" s="2"/>
    </row>
    <row r="345" spans="1:26" ht="13.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183"/>
      <c r="X345" s="2"/>
      <c r="Y345" s="2"/>
      <c r="Z345" s="2"/>
    </row>
    <row r="346" spans="1:26" ht="13.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183"/>
      <c r="X346" s="2"/>
      <c r="Y346" s="2"/>
      <c r="Z346" s="2"/>
    </row>
    <row r="347" spans="1:26" ht="13.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183"/>
      <c r="X347" s="2"/>
      <c r="Y347" s="2"/>
      <c r="Z347" s="2"/>
    </row>
    <row r="348" spans="1:26" ht="13.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183"/>
      <c r="X348" s="2"/>
      <c r="Y348" s="2"/>
      <c r="Z348" s="2"/>
    </row>
    <row r="349" spans="1:26" ht="13.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183"/>
      <c r="X349" s="2"/>
      <c r="Y349" s="2"/>
      <c r="Z349" s="2"/>
    </row>
    <row r="350" spans="1:26" ht="13.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183"/>
      <c r="X350" s="2"/>
      <c r="Y350" s="2"/>
      <c r="Z350" s="2"/>
    </row>
    <row r="351" spans="1:26" ht="13.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183"/>
      <c r="X351" s="2"/>
      <c r="Y351" s="2"/>
      <c r="Z351" s="2"/>
    </row>
    <row r="352" spans="1:26" ht="13.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183"/>
      <c r="X352" s="2"/>
      <c r="Y352" s="2"/>
      <c r="Z352" s="2"/>
    </row>
    <row r="353" spans="1:26" ht="13.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183"/>
      <c r="X353" s="2"/>
      <c r="Y353" s="2"/>
      <c r="Z353" s="2"/>
    </row>
    <row r="354" spans="1:26" ht="13.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183"/>
      <c r="X354" s="2"/>
      <c r="Y354" s="2"/>
      <c r="Z354" s="2"/>
    </row>
    <row r="355" spans="1:26" ht="13.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183"/>
      <c r="X355" s="2"/>
      <c r="Y355" s="2"/>
      <c r="Z355" s="2"/>
    </row>
    <row r="356" spans="1:26" ht="13.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183"/>
      <c r="X356" s="2"/>
      <c r="Y356" s="2"/>
      <c r="Z356" s="2"/>
    </row>
    <row r="357" spans="1:26" ht="13.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183"/>
      <c r="X357" s="2"/>
      <c r="Y357" s="2"/>
      <c r="Z357" s="2"/>
    </row>
    <row r="358" spans="1:26" ht="13.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183"/>
      <c r="X358" s="2"/>
      <c r="Y358" s="2"/>
      <c r="Z358" s="2"/>
    </row>
    <row r="359" spans="1:26" ht="13.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183"/>
      <c r="X359" s="2"/>
      <c r="Y359" s="2"/>
      <c r="Z359" s="2"/>
    </row>
    <row r="360" spans="1:26" ht="13.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183"/>
      <c r="X360" s="2"/>
      <c r="Y360" s="2"/>
      <c r="Z360" s="2"/>
    </row>
    <row r="361" spans="1:26" ht="13.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183"/>
      <c r="X361" s="2"/>
      <c r="Y361" s="2"/>
      <c r="Z361" s="2"/>
    </row>
    <row r="362" spans="1:26" ht="13.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183"/>
      <c r="X362" s="2"/>
      <c r="Y362" s="2"/>
      <c r="Z362" s="2"/>
    </row>
    <row r="363" spans="1:26" ht="13.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183"/>
      <c r="X363" s="2"/>
      <c r="Y363" s="2"/>
      <c r="Z363" s="2"/>
    </row>
    <row r="364" spans="1:26" ht="13.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183"/>
      <c r="X364" s="2"/>
      <c r="Y364" s="2"/>
      <c r="Z364" s="2"/>
    </row>
    <row r="365" spans="1:26" ht="13.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183"/>
      <c r="X365" s="2"/>
      <c r="Y365" s="2"/>
      <c r="Z365" s="2"/>
    </row>
    <row r="366" spans="1:26" ht="13.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183"/>
      <c r="X366" s="2"/>
      <c r="Y366" s="2"/>
      <c r="Z366" s="2"/>
    </row>
    <row r="367" spans="1:26" ht="13.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183"/>
      <c r="X367" s="2"/>
      <c r="Y367" s="2"/>
      <c r="Z367" s="2"/>
    </row>
    <row r="368" spans="1:26" ht="13.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183"/>
      <c r="X368" s="2"/>
      <c r="Y368" s="2"/>
      <c r="Z368" s="2"/>
    </row>
    <row r="369" spans="1:26" ht="13.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183"/>
      <c r="X369" s="2"/>
      <c r="Y369" s="2"/>
      <c r="Z369" s="2"/>
    </row>
    <row r="370" spans="1:26" ht="13.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183"/>
      <c r="X370" s="2"/>
      <c r="Y370" s="2"/>
      <c r="Z370" s="2"/>
    </row>
    <row r="371" spans="1:26" ht="13.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183"/>
      <c r="X371" s="2"/>
      <c r="Y371" s="2"/>
      <c r="Z371" s="2"/>
    </row>
    <row r="372" spans="1:26" ht="13.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183"/>
      <c r="X372" s="2"/>
      <c r="Y372" s="2"/>
      <c r="Z372" s="2"/>
    </row>
    <row r="373" spans="1:26" ht="13.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183"/>
      <c r="X373" s="2"/>
      <c r="Y373" s="2"/>
      <c r="Z373" s="2"/>
    </row>
    <row r="374" spans="1:26" ht="13.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183"/>
      <c r="X374" s="2"/>
      <c r="Y374" s="2"/>
      <c r="Z374" s="2"/>
    </row>
    <row r="375" spans="1:26" ht="13.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183"/>
      <c r="X375" s="2"/>
      <c r="Y375" s="2"/>
      <c r="Z375" s="2"/>
    </row>
    <row r="376" spans="1:26" ht="13.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183"/>
      <c r="X376" s="2"/>
      <c r="Y376" s="2"/>
      <c r="Z376" s="2"/>
    </row>
    <row r="377" spans="1:26" ht="13.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183"/>
      <c r="X377" s="2"/>
      <c r="Y377" s="2"/>
      <c r="Z377" s="2"/>
    </row>
    <row r="378" spans="1:26" ht="13.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183"/>
      <c r="X378" s="2"/>
      <c r="Y378" s="2"/>
      <c r="Z378" s="2"/>
    </row>
    <row r="379" spans="1:26" ht="13.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183"/>
      <c r="X379" s="2"/>
      <c r="Y379" s="2"/>
      <c r="Z379" s="2"/>
    </row>
    <row r="380" spans="1:26" ht="13.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183"/>
      <c r="X380" s="2"/>
      <c r="Y380" s="2"/>
      <c r="Z380" s="2"/>
    </row>
    <row r="381" spans="1:26" ht="13.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183"/>
      <c r="X381" s="2"/>
      <c r="Y381" s="2"/>
      <c r="Z381" s="2"/>
    </row>
    <row r="382" spans="1:26" ht="13.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183"/>
      <c r="X382" s="2"/>
      <c r="Y382" s="2"/>
      <c r="Z382" s="2"/>
    </row>
    <row r="383" spans="1:26" ht="13.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183"/>
      <c r="X383" s="2"/>
      <c r="Y383" s="2"/>
      <c r="Z383" s="2"/>
    </row>
    <row r="384" spans="1:26" ht="13.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183"/>
      <c r="X384" s="2"/>
      <c r="Y384" s="2"/>
      <c r="Z384" s="2"/>
    </row>
    <row r="385" spans="1:26" ht="13.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183"/>
      <c r="X385" s="2"/>
      <c r="Y385" s="2"/>
      <c r="Z385" s="2"/>
    </row>
    <row r="386" spans="1:26" ht="13.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183"/>
      <c r="X386" s="2"/>
      <c r="Y386" s="2"/>
      <c r="Z386" s="2"/>
    </row>
    <row r="387" spans="1:26" ht="13.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183"/>
      <c r="X387" s="2"/>
      <c r="Y387" s="2"/>
      <c r="Z387" s="2"/>
    </row>
    <row r="388" spans="1:26" ht="13.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183"/>
      <c r="X388" s="2"/>
      <c r="Y388" s="2"/>
      <c r="Z388" s="2"/>
    </row>
    <row r="389" spans="1:26" ht="13.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183"/>
      <c r="X389" s="2"/>
      <c r="Y389" s="2"/>
      <c r="Z389" s="2"/>
    </row>
    <row r="390" spans="1:26" ht="13.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183"/>
      <c r="X390" s="2"/>
      <c r="Y390" s="2"/>
      <c r="Z390" s="2"/>
    </row>
    <row r="391" spans="1:26" ht="13.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183"/>
      <c r="X391" s="2"/>
      <c r="Y391" s="2"/>
      <c r="Z391" s="2"/>
    </row>
    <row r="392" spans="1:26" ht="13.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183"/>
      <c r="X392" s="2"/>
      <c r="Y392" s="2"/>
      <c r="Z392" s="2"/>
    </row>
    <row r="393" spans="1:26" ht="13.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183"/>
      <c r="X393" s="2"/>
      <c r="Y393" s="2"/>
      <c r="Z393" s="2"/>
    </row>
    <row r="394" spans="1:26" ht="13.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183"/>
      <c r="X394" s="2"/>
      <c r="Y394" s="2"/>
      <c r="Z394" s="2"/>
    </row>
    <row r="395" spans="1:26" ht="13.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183"/>
      <c r="X395" s="2"/>
      <c r="Y395" s="2"/>
      <c r="Z395" s="2"/>
    </row>
    <row r="396" spans="1:26" ht="13.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183"/>
      <c r="X396" s="2"/>
      <c r="Y396" s="2"/>
      <c r="Z396" s="2"/>
    </row>
    <row r="397" spans="1:26" ht="13.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183"/>
      <c r="X397" s="2"/>
      <c r="Y397" s="2"/>
      <c r="Z397" s="2"/>
    </row>
    <row r="398" spans="1:26" ht="13.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183"/>
      <c r="X398" s="2"/>
      <c r="Y398" s="2"/>
      <c r="Z398" s="2"/>
    </row>
    <row r="399" spans="1:26" ht="13.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183"/>
      <c r="X399" s="2"/>
      <c r="Y399" s="2"/>
      <c r="Z399" s="2"/>
    </row>
    <row r="400" spans="1:26" ht="13.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183"/>
      <c r="X400" s="2"/>
      <c r="Y400" s="2"/>
      <c r="Z400" s="2"/>
    </row>
    <row r="401" spans="1:26" ht="13.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183"/>
      <c r="X401" s="2"/>
      <c r="Y401" s="2"/>
      <c r="Z401" s="2"/>
    </row>
    <row r="402" spans="1:26" ht="13.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183"/>
      <c r="X402" s="2"/>
      <c r="Y402" s="2"/>
      <c r="Z402" s="2"/>
    </row>
    <row r="403" spans="1:26" ht="13.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183"/>
      <c r="X403" s="2"/>
      <c r="Y403" s="2"/>
      <c r="Z403" s="2"/>
    </row>
    <row r="404" spans="1:26" ht="13.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183"/>
      <c r="X404" s="2"/>
      <c r="Y404" s="2"/>
      <c r="Z404" s="2"/>
    </row>
    <row r="405" spans="1:26" ht="13.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183"/>
      <c r="X405" s="2"/>
      <c r="Y405" s="2"/>
      <c r="Z405" s="2"/>
    </row>
    <row r="406" spans="1:26" ht="13.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183"/>
      <c r="X406" s="2"/>
      <c r="Y406" s="2"/>
      <c r="Z406" s="2"/>
    </row>
    <row r="407" spans="1:26" ht="13.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183"/>
      <c r="X407" s="2"/>
      <c r="Y407" s="2"/>
      <c r="Z407" s="2"/>
    </row>
    <row r="408" spans="1:26" ht="13.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183"/>
      <c r="X408" s="2"/>
      <c r="Y408" s="2"/>
      <c r="Z408" s="2"/>
    </row>
    <row r="409" spans="1:26" ht="13.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183"/>
      <c r="X409" s="2"/>
      <c r="Y409" s="2"/>
      <c r="Z409" s="2"/>
    </row>
    <row r="410" spans="1:26" ht="13.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183"/>
      <c r="X410" s="2"/>
      <c r="Y410" s="2"/>
      <c r="Z410" s="2"/>
    </row>
    <row r="411" spans="1:26" ht="13.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183"/>
      <c r="X411" s="2"/>
      <c r="Y411" s="2"/>
      <c r="Z411" s="2"/>
    </row>
    <row r="412" spans="1:26" ht="13.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183"/>
      <c r="X412" s="2"/>
      <c r="Y412" s="2"/>
      <c r="Z412" s="2"/>
    </row>
    <row r="413" spans="1:26" ht="13.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183"/>
      <c r="X413" s="2"/>
      <c r="Y413" s="2"/>
      <c r="Z413" s="2"/>
    </row>
    <row r="414" spans="1:26" ht="13.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183"/>
      <c r="X414" s="2"/>
      <c r="Y414" s="2"/>
      <c r="Z414" s="2"/>
    </row>
    <row r="415" spans="1:26" ht="13.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183"/>
      <c r="X415" s="2"/>
      <c r="Y415" s="2"/>
      <c r="Z415" s="2"/>
    </row>
    <row r="416" spans="1:26" ht="13.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183"/>
      <c r="X416" s="2"/>
      <c r="Y416" s="2"/>
      <c r="Z416" s="2"/>
    </row>
    <row r="417" spans="1:26" ht="13.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183"/>
      <c r="X417" s="2"/>
      <c r="Y417" s="2"/>
      <c r="Z417" s="2"/>
    </row>
    <row r="418" spans="1:26" ht="13.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183"/>
      <c r="X418" s="2"/>
      <c r="Y418" s="2"/>
      <c r="Z418" s="2"/>
    </row>
    <row r="419" spans="1:26" ht="13.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183"/>
      <c r="X419" s="2"/>
      <c r="Y419" s="2"/>
      <c r="Z419" s="2"/>
    </row>
    <row r="420" spans="1:26" ht="13.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183"/>
      <c r="X420" s="2"/>
      <c r="Y420" s="2"/>
      <c r="Z420" s="2"/>
    </row>
    <row r="421" spans="1:26" ht="13.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183"/>
      <c r="X421" s="2"/>
      <c r="Y421" s="2"/>
      <c r="Z421" s="2"/>
    </row>
    <row r="422" spans="1:26" ht="13.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183"/>
      <c r="X422" s="2"/>
      <c r="Y422" s="2"/>
      <c r="Z422" s="2"/>
    </row>
    <row r="423" spans="1:26" ht="13.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183"/>
      <c r="X423" s="2"/>
      <c r="Y423" s="2"/>
      <c r="Z423" s="2"/>
    </row>
    <row r="424" spans="1:26" ht="13.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183"/>
      <c r="X424" s="2"/>
      <c r="Y424" s="2"/>
      <c r="Z424" s="2"/>
    </row>
    <row r="425" spans="1:26" ht="13.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183"/>
      <c r="X425" s="2"/>
      <c r="Y425" s="2"/>
      <c r="Z425" s="2"/>
    </row>
    <row r="426" spans="1:26" ht="13.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183"/>
      <c r="X426" s="2"/>
      <c r="Y426" s="2"/>
      <c r="Z426" s="2"/>
    </row>
    <row r="427" spans="1:26" ht="13.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183"/>
      <c r="X427" s="2"/>
      <c r="Y427" s="2"/>
      <c r="Z427" s="2"/>
    </row>
    <row r="428" spans="1:26" ht="13.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183"/>
      <c r="X428" s="2"/>
      <c r="Y428" s="2"/>
      <c r="Z428" s="2"/>
    </row>
    <row r="429" spans="1:26" ht="13.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183"/>
      <c r="X429" s="2"/>
      <c r="Y429" s="2"/>
      <c r="Z429" s="2"/>
    </row>
    <row r="430" spans="1:26" ht="13.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183"/>
      <c r="X430" s="2"/>
      <c r="Y430" s="2"/>
      <c r="Z430" s="2"/>
    </row>
    <row r="431" spans="1:26" ht="13.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183"/>
      <c r="X431" s="2"/>
      <c r="Y431" s="2"/>
      <c r="Z431" s="2"/>
    </row>
    <row r="432" spans="1:26" ht="13.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183"/>
      <c r="X432" s="2"/>
      <c r="Y432" s="2"/>
      <c r="Z432" s="2"/>
    </row>
    <row r="433" spans="1:26" ht="13.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183"/>
      <c r="X433" s="2"/>
      <c r="Y433" s="2"/>
      <c r="Z433" s="2"/>
    </row>
    <row r="434" spans="1:26" ht="13.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183"/>
      <c r="X434" s="2"/>
      <c r="Y434" s="2"/>
      <c r="Z434" s="2"/>
    </row>
    <row r="435" spans="1:26" ht="13.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183"/>
      <c r="X435" s="2"/>
      <c r="Y435" s="2"/>
      <c r="Z435" s="2"/>
    </row>
    <row r="436" spans="1:26" ht="13.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183"/>
      <c r="X436" s="2"/>
      <c r="Y436" s="2"/>
      <c r="Z436" s="2"/>
    </row>
    <row r="437" spans="1:26" ht="13.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183"/>
      <c r="X437" s="2"/>
      <c r="Y437" s="2"/>
      <c r="Z437" s="2"/>
    </row>
    <row r="438" spans="1:26" ht="13.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183"/>
      <c r="X438" s="2"/>
      <c r="Y438" s="2"/>
      <c r="Z438" s="2"/>
    </row>
    <row r="439" spans="1:26" ht="13.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183"/>
      <c r="X439" s="2"/>
      <c r="Y439" s="2"/>
      <c r="Z439" s="2"/>
    </row>
    <row r="440" spans="1:26" ht="13.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183"/>
      <c r="X440" s="2"/>
      <c r="Y440" s="2"/>
      <c r="Z440" s="2"/>
    </row>
    <row r="441" spans="1:26" ht="13.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183"/>
      <c r="X441" s="2"/>
      <c r="Y441" s="2"/>
      <c r="Z441" s="2"/>
    </row>
    <row r="442" spans="1:26" ht="13.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183"/>
      <c r="X442" s="2"/>
      <c r="Y442" s="2"/>
      <c r="Z442" s="2"/>
    </row>
    <row r="443" spans="1:26" ht="13.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183"/>
      <c r="X443" s="2"/>
      <c r="Y443" s="2"/>
      <c r="Z443" s="2"/>
    </row>
    <row r="444" spans="1:26" ht="13.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183"/>
      <c r="X444" s="2"/>
      <c r="Y444" s="2"/>
      <c r="Z444" s="2"/>
    </row>
    <row r="445" spans="1:26" ht="13.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183"/>
      <c r="X445" s="2"/>
      <c r="Y445" s="2"/>
      <c r="Z445" s="2"/>
    </row>
    <row r="446" spans="1:26" ht="13.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183"/>
      <c r="X446" s="2"/>
      <c r="Y446" s="2"/>
      <c r="Z446" s="2"/>
    </row>
    <row r="447" spans="1:26" ht="13.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183"/>
      <c r="X447" s="2"/>
      <c r="Y447" s="2"/>
      <c r="Z447" s="2"/>
    </row>
    <row r="448" spans="1:26" ht="13.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183"/>
      <c r="X448" s="2"/>
      <c r="Y448" s="2"/>
      <c r="Z448" s="2"/>
    </row>
    <row r="449" spans="1:26" ht="13.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183"/>
      <c r="X449" s="2"/>
      <c r="Y449" s="2"/>
      <c r="Z449" s="2"/>
    </row>
    <row r="450" spans="1:26" ht="13.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183"/>
      <c r="X450" s="2"/>
      <c r="Y450" s="2"/>
      <c r="Z450" s="2"/>
    </row>
    <row r="451" spans="1:26" ht="13.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183"/>
      <c r="X451" s="2"/>
      <c r="Y451" s="2"/>
      <c r="Z451" s="2"/>
    </row>
    <row r="452" spans="1:26" ht="13.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183"/>
      <c r="X452" s="2"/>
      <c r="Y452" s="2"/>
      <c r="Z452" s="2"/>
    </row>
    <row r="453" spans="1:26" ht="13.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183"/>
      <c r="X453" s="2"/>
      <c r="Y453" s="2"/>
      <c r="Z453" s="2"/>
    </row>
    <row r="454" spans="1:26" ht="13.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183"/>
      <c r="X454" s="2"/>
      <c r="Y454" s="2"/>
      <c r="Z454" s="2"/>
    </row>
    <row r="455" spans="1:26" ht="13.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183"/>
      <c r="X455" s="2"/>
      <c r="Y455" s="2"/>
      <c r="Z455" s="2"/>
    </row>
    <row r="456" spans="1:26" ht="13.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183"/>
      <c r="X456" s="2"/>
      <c r="Y456" s="2"/>
      <c r="Z456" s="2"/>
    </row>
    <row r="457" spans="1:26" ht="13.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183"/>
      <c r="X457" s="2"/>
      <c r="Y457" s="2"/>
      <c r="Z457" s="2"/>
    </row>
    <row r="458" spans="1:26" ht="13.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183"/>
      <c r="X458" s="2"/>
      <c r="Y458" s="2"/>
      <c r="Z458" s="2"/>
    </row>
    <row r="459" spans="1:26" ht="13.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183"/>
      <c r="X459" s="2"/>
      <c r="Y459" s="2"/>
      <c r="Z459" s="2"/>
    </row>
    <row r="460" spans="1:26" ht="13.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183"/>
      <c r="X460" s="2"/>
      <c r="Y460" s="2"/>
      <c r="Z460" s="2"/>
    </row>
    <row r="461" spans="1:26" ht="13.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183"/>
      <c r="X461" s="2"/>
      <c r="Y461" s="2"/>
      <c r="Z461" s="2"/>
    </row>
    <row r="462" spans="1:26" ht="13.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183"/>
      <c r="X462" s="2"/>
      <c r="Y462" s="2"/>
      <c r="Z462" s="2"/>
    </row>
    <row r="463" spans="1:26" ht="13.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183"/>
      <c r="X463" s="2"/>
      <c r="Y463" s="2"/>
      <c r="Z463" s="2"/>
    </row>
    <row r="464" spans="1:26" ht="13.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183"/>
      <c r="X464" s="2"/>
      <c r="Y464" s="2"/>
      <c r="Z464" s="2"/>
    </row>
    <row r="465" spans="1:26" ht="13.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183"/>
      <c r="X465" s="2"/>
      <c r="Y465" s="2"/>
      <c r="Z465" s="2"/>
    </row>
    <row r="466" spans="1:26" ht="13.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183"/>
      <c r="X466" s="2"/>
      <c r="Y466" s="2"/>
      <c r="Z466" s="2"/>
    </row>
    <row r="467" spans="1:26" ht="13.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183"/>
      <c r="X467" s="2"/>
      <c r="Y467" s="2"/>
      <c r="Z467" s="2"/>
    </row>
    <row r="468" spans="1:26" ht="13.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183"/>
      <c r="X468" s="2"/>
      <c r="Y468" s="2"/>
      <c r="Z468" s="2"/>
    </row>
    <row r="469" spans="1:26" ht="13.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183"/>
      <c r="X469" s="2"/>
      <c r="Y469" s="2"/>
      <c r="Z469" s="2"/>
    </row>
    <row r="470" spans="1:26" ht="13.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183"/>
      <c r="X470" s="2"/>
      <c r="Y470" s="2"/>
      <c r="Z470" s="2"/>
    </row>
    <row r="471" spans="1:26" ht="13.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183"/>
      <c r="X471" s="2"/>
      <c r="Y471" s="2"/>
      <c r="Z471" s="2"/>
    </row>
    <row r="472" spans="1:26" ht="13.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183"/>
      <c r="X472" s="2"/>
      <c r="Y472" s="2"/>
      <c r="Z472" s="2"/>
    </row>
    <row r="473" spans="1:26" ht="13.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183"/>
      <c r="X473" s="2"/>
      <c r="Y473" s="2"/>
      <c r="Z473" s="2"/>
    </row>
    <row r="474" spans="1:26" ht="13.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183"/>
      <c r="X474" s="2"/>
      <c r="Y474" s="2"/>
      <c r="Z474" s="2"/>
    </row>
    <row r="475" spans="1:26" ht="13.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183"/>
      <c r="X475" s="2"/>
      <c r="Y475" s="2"/>
      <c r="Z475" s="2"/>
    </row>
    <row r="476" spans="1:26" ht="13.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183"/>
      <c r="X476" s="2"/>
      <c r="Y476" s="2"/>
      <c r="Z476" s="2"/>
    </row>
    <row r="477" spans="1:26" ht="13.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183"/>
      <c r="X477" s="2"/>
      <c r="Y477" s="2"/>
      <c r="Z477" s="2"/>
    </row>
    <row r="478" spans="1:26" ht="13.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183"/>
      <c r="X478" s="2"/>
      <c r="Y478" s="2"/>
      <c r="Z478" s="2"/>
    </row>
    <row r="479" spans="1:26" ht="13.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183"/>
      <c r="X479" s="2"/>
      <c r="Y479" s="2"/>
      <c r="Z479" s="2"/>
    </row>
    <row r="480" spans="1:26" ht="13.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183"/>
      <c r="X480" s="2"/>
      <c r="Y480" s="2"/>
      <c r="Z480" s="2"/>
    </row>
    <row r="481" spans="1:26" ht="13.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183"/>
      <c r="X481" s="2"/>
      <c r="Y481" s="2"/>
      <c r="Z481" s="2"/>
    </row>
    <row r="482" spans="1:26" ht="13.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183"/>
      <c r="X482" s="2"/>
      <c r="Y482" s="2"/>
      <c r="Z482" s="2"/>
    </row>
    <row r="483" spans="1:26" ht="13.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183"/>
      <c r="X483" s="2"/>
      <c r="Y483" s="2"/>
      <c r="Z483" s="2"/>
    </row>
    <row r="484" spans="1:26" ht="13.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183"/>
      <c r="X484" s="2"/>
      <c r="Y484" s="2"/>
      <c r="Z484" s="2"/>
    </row>
    <row r="485" spans="1:26" ht="13.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183"/>
      <c r="X485" s="2"/>
      <c r="Y485" s="2"/>
      <c r="Z485" s="2"/>
    </row>
    <row r="486" spans="1:26" ht="13.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183"/>
      <c r="X486" s="2"/>
      <c r="Y486" s="2"/>
      <c r="Z486" s="2"/>
    </row>
    <row r="487" spans="1:26" ht="13.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183"/>
      <c r="X487" s="2"/>
      <c r="Y487" s="2"/>
      <c r="Z487" s="2"/>
    </row>
    <row r="488" spans="1:26" ht="13.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183"/>
      <c r="X488" s="2"/>
      <c r="Y488" s="2"/>
      <c r="Z488" s="2"/>
    </row>
    <row r="489" spans="1:26" ht="13.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183"/>
      <c r="X489" s="2"/>
      <c r="Y489" s="2"/>
      <c r="Z489" s="2"/>
    </row>
    <row r="490" spans="1:26" ht="13.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183"/>
      <c r="X490" s="2"/>
      <c r="Y490" s="2"/>
      <c r="Z490" s="2"/>
    </row>
    <row r="491" spans="1:26" ht="13.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183"/>
      <c r="X491" s="2"/>
      <c r="Y491" s="2"/>
      <c r="Z491" s="2"/>
    </row>
    <row r="492" spans="1:26" ht="13.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183"/>
      <c r="X492" s="2"/>
      <c r="Y492" s="2"/>
      <c r="Z492" s="2"/>
    </row>
    <row r="493" spans="1:26" ht="13.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183"/>
      <c r="X493" s="2"/>
      <c r="Y493" s="2"/>
      <c r="Z493" s="2"/>
    </row>
    <row r="494" spans="1:26" ht="13.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183"/>
      <c r="X494" s="2"/>
      <c r="Y494" s="2"/>
      <c r="Z494" s="2"/>
    </row>
    <row r="495" spans="1:26" ht="13.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183"/>
      <c r="X495" s="2"/>
      <c r="Y495" s="2"/>
      <c r="Z495" s="2"/>
    </row>
    <row r="496" spans="1:26" ht="13.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183"/>
      <c r="X496" s="2"/>
      <c r="Y496" s="2"/>
      <c r="Z496" s="2"/>
    </row>
    <row r="497" spans="1:26" ht="13.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183"/>
      <c r="X497" s="2"/>
      <c r="Y497" s="2"/>
      <c r="Z497" s="2"/>
    </row>
    <row r="498" spans="1:26" ht="13.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183"/>
      <c r="X498" s="2"/>
      <c r="Y498" s="2"/>
      <c r="Z498" s="2"/>
    </row>
    <row r="499" spans="1:26" ht="13.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183"/>
      <c r="X499" s="2"/>
      <c r="Y499" s="2"/>
      <c r="Z499" s="2"/>
    </row>
    <row r="500" spans="1:26" ht="13.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183"/>
      <c r="X500" s="2"/>
      <c r="Y500" s="2"/>
      <c r="Z500" s="2"/>
    </row>
    <row r="501" spans="1:26" ht="13.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183"/>
      <c r="X501" s="2"/>
      <c r="Y501" s="2"/>
      <c r="Z501" s="2"/>
    </row>
    <row r="502" spans="1:26" ht="13.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183"/>
      <c r="X502" s="2"/>
      <c r="Y502" s="2"/>
      <c r="Z502" s="2"/>
    </row>
    <row r="503" spans="1:26" ht="13.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183"/>
      <c r="X503" s="2"/>
      <c r="Y503" s="2"/>
      <c r="Z503" s="2"/>
    </row>
    <row r="504" spans="1:26" ht="13.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183"/>
      <c r="X504" s="2"/>
      <c r="Y504" s="2"/>
      <c r="Z504" s="2"/>
    </row>
    <row r="505" spans="1:26" ht="13.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183"/>
      <c r="X505" s="2"/>
      <c r="Y505" s="2"/>
      <c r="Z505" s="2"/>
    </row>
    <row r="506" spans="1:26" ht="13.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183"/>
      <c r="X506" s="2"/>
      <c r="Y506" s="2"/>
      <c r="Z506" s="2"/>
    </row>
    <row r="507" spans="1:26" ht="13.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183"/>
      <c r="X507" s="2"/>
      <c r="Y507" s="2"/>
      <c r="Z507" s="2"/>
    </row>
    <row r="508" spans="1:26" ht="13.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183"/>
      <c r="X508" s="2"/>
      <c r="Y508" s="2"/>
      <c r="Z508" s="2"/>
    </row>
    <row r="509" spans="1:26" ht="13.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183"/>
      <c r="X509" s="2"/>
      <c r="Y509" s="2"/>
      <c r="Z509" s="2"/>
    </row>
    <row r="510" spans="1:26" ht="13.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183"/>
      <c r="X510" s="2"/>
      <c r="Y510" s="2"/>
      <c r="Z510" s="2"/>
    </row>
    <row r="511" spans="1:26" ht="13.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183"/>
      <c r="X511" s="2"/>
      <c r="Y511" s="2"/>
      <c r="Z511" s="2"/>
    </row>
    <row r="512" spans="1:26" ht="13.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183"/>
      <c r="X512" s="2"/>
      <c r="Y512" s="2"/>
      <c r="Z512" s="2"/>
    </row>
    <row r="513" spans="1:26" ht="13.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183"/>
      <c r="X513" s="2"/>
      <c r="Y513" s="2"/>
      <c r="Z513" s="2"/>
    </row>
    <row r="514" spans="1:26" ht="13.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183"/>
      <c r="X514" s="2"/>
      <c r="Y514" s="2"/>
      <c r="Z514" s="2"/>
    </row>
    <row r="515" spans="1:26" ht="13.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183"/>
      <c r="X515" s="2"/>
      <c r="Y515" s="2"/>
      <c r="Z515" s="2"/>
    </row>
    <row r="516" spans="1:26" ht="13.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183"/>
      <c r="X516" s="2"/>
      <c r="Y516" s="2"/>
      <c r="Z516" s="2"/>
    </row>
    <row r="517" spans="1:26" ht="13.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183"/>
      <c r="X517" s="2"/>
      <c r="Y517" s="2"/>
      <c r="Z517" s="2"/>
    </row>
    <row r="518" spans="1:26" ht="13.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183"/>
      <c r="X518" s="2"/>
      <c r="Y518" s="2"/>
      <c r="Z518" s="2"/>
    </row>
    <row r="519" spans="1:26" ht="13.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183"/>
      <c r="X519" s="2"/>
      <c r="Y519" s="2"/>
      <c r="Z519" s="2"/>
    </row>
    <row r="520" spans="1:26" ht="13.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183"/>
      <c r="X520" s="2"/>
      <c r="Y520" s="2"/>
      <c r="Z520" s="2"/>
    </row>
    <row r="521" spans="1:26" ht="13.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183"/>
      <c r="X521" s="2"/>
      <c r="Y521" s="2"/>
      <c r="Z521" s="2"/>
    </row>
    <row r="522" spans="1:26" ht="13.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183"/>
      <c r="X522" s="2"/>
      <c r="Y522" s="2"/>
      <c r="Z522" s="2"/>
    </row>
    <row r="523" spans="1:26" ht="13.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183"/>
      <c r="X523" s="2"/>
      <c r="Y523" s="2"/>
      <c r="Z523" s="2"/>
    </row>
    <row r="524" spans="1:26" ht="13.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183"/>
      <c r="X524" s="2"/>
      <c r="Y524" s="2"/>
      <c r="Z524" s="2"/>
    </row>
    <row r="525" spans="1:26" ht="13.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183"/>
      <c r="X525" s="2"/>
      <c r="Y525" s="2"/>
      <c r="Z525" s="2"/>
    </row>
    <row r="526" spans="1:26" ht="13.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183"/>
      <c r="X526" s="2"/>
      <c r="Y526" s="2"/>
      <c r="Z526" s="2"/>
    </row>
    <row r="527" spans="1:26" ht="13.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183"/>
      <c r="X527" s="2"/>
      <c r="Y527" s="2"/>
      <c r="Z527" s="2"/>
    </row>
    <row r="528" spans="1:26" ht="13.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183"/>
      <c r="X528" s="2"/>
      <c r="Y528" s="2"/>
      <c r="Z528" s="2"/>
    </row>
    <row r="529" spans="1:26" ht="13.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183"/>
      <c r="X529" s="2"/>
      <c r="Y529" s="2"/>
      <c r="Z529" s="2"/>
    </row>
    <row r="530" spans="1:26" ht="13.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183"/>
      <c r="X530" s="2"/>
      <c r="Y530" s="2"/>
      <c r="Z530" s="2"/>
    </row>
    <row r="531" spans="1:26" ht="13.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183"/>
      <c r="X531" s="2"/>
      <c r="Y531" s="2"/>
      <c r="Z531" s="2"/>
    </row>
    <row r="532" spans="1:26" ht="13.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183"/>
      <c r="X532" s="2"/>
      <c r="Y532" s="2"/>
      <c r="Z532" s="2"/>
    </row>
    <row r="533" spans="1:26" ht="13.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183"/>
      <c r="X533" s="2"/>
      <c r="Y533" s="2"/>
      <c r="Z533" s="2"/>
    </row>
    <row r="534" spans="1:26" ht="13.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183"/>
      <c r="X534" s="2"/>
      <c r="Y534" s="2"/>
      <c r="Z534" s="2"/>
    </row>
    <row r="535" spans="1:26" ht="13.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183"/>
      <c r="X535" s="2"/>
      <c r="Y535" s="2"/>
      <c r="Z535" s="2"/>
    </row>
    <row r="536" spans="1:26" ht="13.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183"/>
      <c r="X536" s="2"/>
      <c r="Y536" s="2"/>
      <c r="Z536" s="2"/>
    </row>
    <row r="537" spans="1:26" ht="13.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183"/>
      <c r="X537" s="2"/>
      <c r="Y537" s="2"/>
      <c r="Z537" s="2"/>
    </row>
    <row r="538" spans="1:26" ht="13.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183"/>
      <c r="X538" s="2"/>
      <c r="Y538" s="2"/>
      <c r="Z538" s="2"/>
    </row>
    <row r="539" spans="1:26" ht="13.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183"/>
      <c r="X539" s="2"/>
      <c r="Y539" s="2"/>
      <c r="Z539" s="2"/>
    </row>
    <row r="540" spans="1:26" ht="13.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183"/>
      <c r="X540" s="2"/>
      <c r="Y540" s="2"/>
      <c r="Z540" s="2"/>
    </row>
    <row r="541" spans="1:26" ht="13.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183"/>
      <c r="X541" s="2"/>
      <c r="Y541" s="2"/>
      <c r="Z541" s="2"/>
    </row>
    <row r="542" spans="1:26" ht="13.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183"/>
      <c r="X542" s="2"/>
      <c r="Y542" s="2"/>
      <c r="Z542" s="2"/>
    </row>
    <row r="543" spans="1:26" ht="13.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183"/>
      <c r="X543" s="2"/>
      <c r="Y543" s="2"/>
      <c r="Z543" s="2"/>
    </row>
    <row r="544" spans="1:26" ht="13.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183"/>
      <c r="X544" s="2"/>
      <c r="Y544" s="2"/>
      <c r="Z544" s="2"/>
    </row>
    <row r="545" spans="1:26" ht="13.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183"/>
      <c r="X545" s="2"/>
      <c r="Y545" s="2"/>
      <c r="Z545" s="2"/>
    </row>
    <row r="546" spans="1:26" ht="13.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183"/>
      <c r="X546" s="2"/>
      <c r="Y546" s="2"/>
      <c r="Z546" s="2"/>
    </row>
    <row r="547" spans="1:26" ht="13.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183"/>
      <c r="X547" s="2"/>
      <c r="Y547" s="2"/>
      <c r="Z547" s="2"/>
    </row>
    <row r="548" spans="1:26" ht="13.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183"/>
      <c r="X548" s="2"/>
      <c r="Y548" s="2"/>
      <c r="Z548" s="2"/>
    </row>
    <row r="549" spans="1:26" ht="13.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183"/>
      <c r="X549" s="2"/>
      <c r="Y549" s="2"/>
      <c r="Z549" s="2"/>
    </row>
    <row r="550" spans="1:26" ht="13.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183"/>
      <c r="X550" s="2"/>
      <c r="Y550" s="2"/>
      <c r="Z550" s="2"/>
    </row>
    <row r="551" spans="1:26" ht="13.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183"/>
      <c r="X551" s="2"/>
      <c r="Y551" s="2"/>
      <c r="Z551" s="2"/>
    </row>
    <row r="552" spans="1:26" ht="13.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183"/>
      <c r="X552" s="2"/>
      <c r="Y552" s="2"/>
      <c r="Z552" s="2"/>
    </row>
    <row r="553" spans="1:26" ht="13.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183"/>
      <c r="X553" s="2"/>
      <c r="Y553" s="2"/>
      <c r="Z553" s="2"/>
    </row>
    <row r="554" spans="1:26" ht="13.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183"/>
      <c r="X554" s="2"/>
      <c r="Y554" s="2"/>
      <c r="Z554" s="2"/>
    </row>
    <row r="555" spans="1:26" ht="13.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183"/>
      <c r="X555" s="2"/>
      <c r="Y555" s="2"/>
      <c r="Z555" s="2"/>
    </row>
    <row r="556" spans="1:26" ht="13.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183"/>
      <c r="X556" s="2"/>
      <c r="Y556" s="2"/>
      <c r="Z556" s="2"/>
    </row>
    <row r="557" spans="1:26" ht="13.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183"/>
      <c r="X557" s="2"/>
      <c r="Y557" s="2"/>
      <c r="Z557" s="2"/>
    </row>
    <row r="558" spans="1:26" ht="13.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183"/>
      <c r="X558" s="2"/>
      <c r="Y558" s="2"/>
      <c r="Z558" s="2"/>
    </row>
    <row r="559" spans="1:26" ht="13.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183"/>
      <c r="X559" s="2"/>
      <c r="Y559" s="2"/>
      <c r="Z559" s="2"/>
    </row>
    <row r="560" spans="1:26" ht="13.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183"/>
      <c r="X560" s="2"/>
      <c r="Y560" s="2"/>
      <c r="Z560" s="2"/>
    </row>
    <row r="561" spans="1:26" ht="13.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183"/>
      <c r="X561" s="2"/>
      <c r="Y561" s="2"/>
      <c r="Z561" s="2"/>
    </row>
    <row r="562" spans="1:26" ht="13.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183"/>
      <c r="X562" s="2"/>
      <c r="Y562" s="2"/>
      <c r="Z562" s="2"/>
    </row>
    <row r="563" spans="1:26" ht="13.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183"/>
      <c r="X563" s="2"/>
      <c r="Y563" s="2"/>
      <c r="Z563" s="2"/>
    </row>
    <row r="564" spans="1:26" ht="13.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183"/>
      <c r="X564" s="2"/>
      <c r="Y564" s="2"/>
      <c r="Z564" s="2"/>
    </row>
    <row r="565" spans="1:26" ht="13.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183"/>
      <c r="X565" s="2"/>
      <c r="Y565" s="2"/>
      <c r="Z565" s="2"/>
    </row>
    <row r="566" spans="1:26" ht="13.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183"/>
      <c r="X566" s="2"/>
      <c r="Y566" s="2"/>
      <c r="Z566" s="2"/>
    </row>
    <row r="567" spans="1:26" ht="13.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183"/>
      <c r="X567" s="2"/>
      <c r="Y567" s="2"/>
      <c r="Z567" s="2"/>
    </row>
    <row r="568" spans="1:26" ht="13.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183"/>
      <c r="X568" s="2"/>
      <c r="Y568" s="2"/>
      <c r="Z568" s="2"/>
    </row>
    <row r="569" spans="1:26" ht="13.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183"/>
      <c r="X569" s="2"/>
      <c r="Y569" s="2"/>
      <c r="Z569" s="2"/>
    </row>
    <row r="570" spans="1:26" ht="13.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183"/>
      <c r="X570" s="2"/>
      <c r="Y570" s="2"/>
      <c r="Z570" s="2"/>
    </row>
    <row r="571" spans="1:26" ht="13.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183"/>
      <c r="X571" s="2"/>
      <c r="Y571" s="2"/>
      <c r="Z571" s="2"/>
    </row>
    <row r="572" spans="1:26" ht="13.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183"/>
      <c r="X572" s="2"/>
      <c r="Y572" s="2"/>
      <c r="Z572" s="2"/>
    </row>
    <row r="573" spans="1:26" ht="13.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183"/>
      <c r="X573" s="2"/>
      <c r="Y573" s="2"/>
      <c r="Z573" s="2"/>
    </row>
    <row r="574" spans="1:26" ht="13.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183"/>
      <c r="X574" s="2"/>
      <c r="Y574" s="2"/>
      <c r="Z574" s="2"/>
    </row>
    <row r="575" spans="1:26" ht="13.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183"/>
      <c r="X575" s="2"/>
      <c r="Y575" s="2"/>
      <c r="Z575" s="2"/>
    </row>
    <row r="576" spans="1:26" ht="13.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183"/>
      <c r="X576" s="2"/>
      <c r="Y576" s="2"/>
      <c r="Z576" s="2"/>
    </row>
    <row r="577" spans="1:26" ht="13.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183"/>
      <c r="X577" s="2"/>
      <c r="Y577" s="2"/>
      <c r="Z577" s="2"/>
    </row>
    <row r="578" spans="1:26" ht="13.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183"/>
      <c r="X578" s="2"/>
      <c r="Y578" s="2"/>
      <c r="Z578" s="2"/>
    </row>
    <row r="579" spans="1:26" ht="13.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183"/>
      <c r="X579" s="2"/>
      <c r="Y579" s="2"/>
      <c r="Z579" s="2"/>
    </row>
    <row r="580" spans="1:26" ht="13.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183"/>
      <c r="X580" s="2"/>
      <c r="Y580" s="2"/>
      <c r="Z580" s="2"/>
    </row>
    <row r="581" spans="1:26" ht="13.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183"/>
      <c r="X581" s="2"/>
      <c r="Y581" s="2"/>
      <c r="Z581" s="2"/>
    </row>
    <row r="582" spans="1:26" ht="13.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183"/>
      <c r="X582" s="2"/>
      <c r="Y582" s="2"/>
      <c r="Z582" s="2"/>
    </row>
    <row r="583" spans="1:26" ht="13.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183"/>
      <c r="X583" s="2"/>
      <c r="Y583" s="2"/>
      <c r="Z583" s="2"/>
    </row>
    <row r="584" spans="1:26" ht="13.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183"/>
      <c r="X584" s="2"/>
      <c r="Y584" s="2"/>
      <c r="Z584" s="2"/>
    </row>
    <row r="585" spans="1:26" ht="13.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183"/>
      <c r="X585" s="2"/>
      <c r="Y585" s="2"/>
      <c r="Z585" s="2"/>
    </row>
    <row r="586" spans="1:26" ht="13.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183"/>
      <c r="X586" s="2"/>
      <c r="Y586" s="2"/>
      <c r="Z586" s="2"/>
    </row>
    <row r="587" spans="1:26" ht="13.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183"/>
      <c r="X587" s="2"/>
      <c r="Y587" s="2"/>
      <c r="Z587" s="2"/>
    </row>
    <row r="588" spans="1:26" ht="13.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183"/>
      <c r="X588" s="2"/>
      <c r="Y588" s="2"/>
      <c r="Z588" s="2"/>
    </row>
    <row r="589" spans="1:26" ht="13.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183"/>
      <c r="X589" s="2"/>
      <c r="Y589" s="2"/>
      <c r="Z589" s="2"/>
    </row>
    <row r="590" spans="1:26" ht="13.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183"/>
      <c r="X590" s="2"/>
      <c r="Y590" s="2"/>
      <c r="Z590" s="2"/>
    </row>
    <row r="591" spans="1:26" ht="13.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183"/>
      <c r="X591" s="2"/>
      <c r="Y591" s="2"/>
      <c r="Z591" s="2"/>
    </row>
    <row r="592" spans="1:26" ht="13.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183"/>
      <c r="X592" s="2"/>
      <c r="Y592" s="2"/>
      <c r="Z592" s="2"/>
    </row>
    <row r="593" spans="1:26" ht="13.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183"/>
      <c r="X593" s="2"/>
      <c r="Y593" s="2"/>
      <c r="Z593" s="2"/>
    </row>
    <row r="594" spans="1:26" ht="13.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183"/>
      <c r="X594" s="2"/>
      <c r="Y594" s="2"/>
      <c r="Z594" s="2"/>
    </row>
    <row r="595" spans="1:26" ht="13.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183"/>
      <c r="X595" s="2"/>
      <c r="Y595" s="2"/>
      <c r="Z595" s="2"/>
    </row>
    <row r="596" spans="1:26" ht="13.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183"/>
      <c r="X596" s="2"/>
      <c r="Y596" s="2"/>
      <c r="Z596" s="2"/>
    </row>
    <row r="597" spans="1:26" ht="13.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183"/>
      <c r="X597" s="2"/>
      <c r="Y597" s="2"/>
      <c r="Z597" s="2"/>
    </row>
    <row r="598" spans="1:26" ht="13.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183"/>
      <c r="X598" s="2"/>
      <c r="Y598" s="2"/>
      <c r="Z598" s="2"/>
    </row>
    <row r="599" spans="1:26" ht="13.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183"/>
      <c r="X599" s="2"/>
      <c r="Y599" s="2"/>
      <c r="Z599" s="2"/>
    </row>
    <row r="600" spans="1:26" ht="13.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183"/>
      <c r="X600" s="2"/>
      <c r="Y600" s="2"/>
      <c r="Z600" s="2"/>
    </row>
    <row r="601" spans="1:26" ht="13.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183"/>
      <c r="X601" s="2"/>
      <c r="Y601" s="2"/>
      <c r="Z601" s="2"/>
    </row>
    <row r="602" spans="1:26" ht="13.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183"/>
      <c r="X602" s="2"/>
      <c r="Y602" s="2"/>
      <c r="Z602" s="2"/>
    </row>
    <row r="603" spans="1:26" ht="13.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183"/>
      <c r="X603" s="2"/>
      <c r="Y603" s="2"/>
      <c r="Z603" s="2"/>
    </row>
    <row r="604" spans="1:26" ht="13.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183"/>
      <c r="X604" s="2"/>
      <c r="Y604" s="2"/>
      <c r="Z604" s="2"/>
    </row>
    <row r="605" spans="1:26" ht="13.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183"/>
      <c r="X605" s="2"/>
      <c r="Y605" s="2"/>
      <c r="Z605" s="2"/>
    </row>
    <row r="606" spans="1:26" ht="13.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183"/>
      <c r="X606" s="2"/>
      <c r="Y606" s="2"/>
      <c r="Z606" s="2"/>
    </row>
    <row r="607" spans="1:26" ht="13.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183"/>
      <c r="X607" s="2"/>
      <c r="Y607" s="2"/>
      <c r="Z607" s="2"/>
    </row>
    <row r="608" spans="1:26" ht="13.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183"/>
      <c r="X608" s="2"/>
      <c r="Y608" s="2"/>
      <c r="Z608" s="2"/>
    </row>
    <row r="609" spans="1:26" ht="13.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183"/>
      <c r="X609" s="2"/>
      <c r="Y609" s="2"/>
      <c r="Z609" s="2"/>
    </row>
    <row r="610" spans="1:26" ht="13.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183"/>
      <c r="X610" s="2"/>
      <c r="Y610" s="2"/>
      <c r="Z610" s="2"/>
    </row>
    <row r="611" spans="1:26" ht="13.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183"/>
      <c r="X611" s="2"/>
      <c r="Y611" s="2"/>
      <c r="Z611" s="2"/>
    </row>
    <row r="612" spans="1:26" ht="13.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183"/>
      <c r="X612" s="2"/>
      <c r="Y612" s="2"/>
      <c r="Z612" s="2"/>
    </row>
    <row r="613" spans="1:26" ht="13.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183"/>
      <c r="X613" s="2"/>
      <c r="Y613" s="2"/>
      <c r="Z613" s="2"/>
    </row>
    <row r="614" spans="1:26" ht="13.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183"/>
      <c r="X614" s="2"/>
      <c r="Y614" s="2"/>
      <c r="Z614" s="2"/>
    </row>
    <row r="615" spans="1:26" ht="13.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183"/>
      <c r="X615" s="2"/>
      <c r="Y615" s="2"/>
      <c r="Z615" s="2"/>
    </row>
    <row r="616" spans="1:26" ht="13.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183"/>
      <c r="X616" s="2"/>
      <c r="Y616" s="2"/>
      <c r="Z616" s="2"/>
    </row>
    <row r="617" spans="1:26" ht="13.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183"/>
      <c r="X617" s="2"/>
      <c r="Y617" s="2"/>
      <c r="Z617" s="2"/>
    </row>
    <row r="618" spans="1:26" ht="13.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183"/>
      <c r="X618" s="2"/>
      <c r="Y618" s="2"/>
      <c r="Z618" s="2"/>
    </row>
    <row r="619" spans="1:26" ht="13.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183"/>
      <c r="X619" s="2"/>
      <c r="Y619" s="2"/>
      <c r="Z619" s="2"/>
    </row>
    <row r="620" spans="1:26" ht="13.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183"/>
      <c r="X620" s="2"/>
      <c r="Y620" s="2"/>
      <c r="Z620" s="2"/>
    </row>
    <row r="621" spans="1:26" ht="13.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183"/>
      <c r="X621" s="2"/>
      <c r="Y621" s="2"/>
      <c r="Z621" s="2"/>
    </row>
    <row r="622" spans="1:26" ht="13.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183"/>
      <c r="X622" s="2"/>
      <c r="Y622" s="2"/>
      <c r="Z622" s="2"/>
    </row>
    <row r="623" spans="1:26" ht="13.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183"/>
      <c r="X623" s="2"/>
      <c r="Y623" s="2"/>
      <c r="Z623" s="2"/>
    </row>
    <row r="624" spans="1:26" ht="13.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183"/>
      <c r="X624" s="2"/>
      <c r="Y624" s="2"/>
      <c r="Z624" s="2"/>
    </row>
    <row r="625" spans="1:26" ht="13.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183"/>
      <c r="X625" s="2"/>
      <c r="Y625" s="2"/>
      <c r="Z625" s="2"/>
    </row>
    <row r="626" spans="1:26" ht="13.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183"/>
      <c r="X626" s="2"/>
      <c r="Y626" s="2"/>
      <c r="Z626" s="2"/>
    </row>
    <row r="627" spans="1:26" ht="13.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183"/>
      <c r="X627" s="2"/>
      <c r="Y627" s="2"/>
      <c r="Z627" s="2"/>
    </row>
    <row r="628" spans="1:26" ht="13.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183"/>
      <c r="X628" s="2"/>
      <c r="Y628" s="2"/>
      <c r="Z628" s="2"/>
    </row>
    <row r="629" spans="1:26" ht="13.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183"/>
      <c r="X629" s="2"/>
      <c r="Y629" s="2"/>
      <c r="Z629" s="2"/>
    </row>
    <row r="630" spans="1:26" ht="13.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183"/>
      <c r="X630" s="2"/>
      <c r="Y630" s="2"/>
      <c r="Z630" s="2"/>
    </row>
    <row r="631" spans="1:26" ht="13.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183"/>
      <c r="X631" s="2"/>
      <c r="Y631" s="2"/>
      <c r="Z631" s="2"/>
    </row>
    <row r="632" spans="1:26" ht="13.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183"/>
      <c r="X632" s="2"/>
      <c r="Y632" s="2"/>
      <c r="Z632" s="2"/>
    </row>
    <row r="633" spans="1:26" ht="13.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183"/>
      <c r="X633" s="2"/>
      <c r="Y633" s="2"/>
      <c r="Z633" s="2"/>
    </row>
    <row r="634" spans="1:26" ht="13.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183"/>
      <c r="X634" s="2"/>
      <c r="Y634" s="2"/>
      <c r="Z634" s="2"/>
    </row>
    <row r="635" spans="1:26" ht="13.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183"/>
      <c r="X635" s="2"/>
      <c r="Y635" s="2"/>
      <c r="Z635" s="2"/>
    </row>
    <row r="636" spans="1:26" ht="13.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183"/>
      <c r="X636" s="2"/>
      <c r="Y636" s="2"/>
      <c r="Z636" s="2"/>
    </row>
    <row r="637" spans="1:26" ht="13.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183"/>
      <c r="X637" s="2"/>
      <c r="Y637" s="2"/>
      <c r="Z637" s="2"/>
    </row>
    <row r="638" spans="1:26" ht="13.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183"/>
      <c r="X638" s="2"/>
      <c r="Y638" s="2"/>
      <c r="Z638" s="2"/>
    </row>
    <row r="639" spans="1:26" ht="13.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183"/>
      <c r="X639" s="2"/>
      <c r="Y639" s="2"/>
      <c r="Z639" s="2"/>
    </row>
    <row r="640" spans="1:26" ht="13.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183"/>
      <c r="X640" s="2"/>
      <c r="Y640" s="2"/>
      <c r="Z640" s="2"/>
    </row>
    <row r="641" spans="1:26" ht="13.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183"/>
      <c r="X641" s="2"/>
      <c r="Y641" s="2"/>
      <c r="Z641" s="2"/>
    </row>
    <row r="642" spans="1:26" ht="13.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183"/>
      <c r="X642" s="2"/>
      <c r="Y642" s="2"/>
      <c r="Z642" s="2"/>
    </row>
    <row r="643" spans="1:26" ht="13.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183"/>
      <c r="X643" s="2"/>
      <c r="Y643" s="2"/>
      <c r="Z643" s="2"/>
    </row>
    <row r="644" spans="1:26" ht="13.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183"/>
      <c r="X644" s="2"/>
      <c r="Y644" s="2"/>
      <c r="Z644" s="2"/>
    </row>
    <row r="645" spans="1:26" ht="13.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183"/>
      <c r="X645" s="2"/>
      <c r="Y645" s="2"/>
      <c r="Z645" s="2"/>
    </row>
    <row r="646" spans="1:26" ht="13.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183"/>
      <c r="X646" s="2"/>
      <c r="Y646" s="2"/>
      <c r="Z646" s="2"/>
    </row>
    <row r="647" spans="1:26" ht="13.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183"/>
      <c r="X647" s="2"/>
      <c r="Y647" s="2"/>
      <c r="Z647" s="2"/>
    </row>
    <row r="648" spans="1:26" ht="13.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183"/>
      <c r="X648" s="2"/>
      <c r="Y648" s="2"/>
      <c r="Z648" s="2"/>
    </row>
    <row r="649" spans="1:26" ht="13.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183"/>
      <c r="X649" s="2"/>
      <c r="Y649" s="2"/>
      <c r="Z649" s="2"/>
    </row>
    <row r="650" spans="1:26" ht="13.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183"/>
      <c r="X650" s="2"/>
      <c r="Y650" s="2"/>
      <c r="Z650" s="2"/>
    </row>
    <row r="651" spans="1:26" ht="13.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183"/>
      <c r="X651" s="2"/>
      <c r="Y651" s="2"/>
      <c r="Z651" s="2"/>
    </row>
    <row r="652" spans="1:26" ht="13.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183"/>
      <c r="X652" s="2"/>
      <c r="Y652" s="2"/>
      <c r="Z652" s="2"/>
    </row>
    <row r="653" spans="1:26" ht="13.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183"/>
      <c r="X653" s="2"/>
      <c r="Y653" s="2"/>
      <c r="Z653" s="2"/>
    </row>
    <row r="654" spans="1:26" ht="13.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183"/>
      <c r="X654" s="2"/>
      <c r="Y654" s="2"/>
      <c r="Z654" s="2"/>
    </row>
    <row r="655" spans="1:26" ht="13.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183"/>
      <c r="X655" s="2"/>
      <c r="Y655" s="2"/>
      <c r="Z655" s="2"/>
    </row>
    <row r="656" spans="1:26" ht="13.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183"/>
      <c r="X656" s="2"/>
      <c r="Y656" s="2"/>
      <c r="Z656" s="2"/>
    </row>
    <row r="657" spans="1:26" ht="13.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183"/>
      <c r="X657" s="2"/>
      <c r="Y657" s="2"/>
      <c r="Z657" s="2"/>
    </row>
    <row r="658" spans="1:26" ht="13.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183"/>
      <c r="X658" s="2"/>
      <c r="Y658" s="2"/>
      <c r="Z658" s="2"/>
    </row>
    <row r="659" spans="1:26" ht="13.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183"/>
      <c r="X659" s="2"/>
      <c r="Y659" s="2"/>
      <c r="Z659" s="2"/>
    </row>
    <row r="660" spans="1:26" ht="13.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183"/>
      <c r="X660" s="2"/>
      <c r="Y660" s="2"/>
      <c r="Z660" s="2"/>
    </row>
    <row r="661" spans="1:26" ht="13.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183"/>
      <c r="X661" s="2"/>
      <c r="Y661" s="2"/>
      <c r="Z661" s="2"/>
    </row>
    <row r="662" spans="1:26" ht="13.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183"/>
      <c r="X662" s="2"/>
      <c r="Y662" s="2"/>
      <c r="Z662" s="2"/>
    </row>
    <row r="663" spans="1:26" ht="13.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183"/>
      <c r="X663" s="2"/>
      <c r="Y663" s="2"/>
      <c r="Z663" s="2"/>
    </row>
    <row r="664" spans="1:26" ht="13.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183"/>
      <c r="X664" s="2"/>
      <c r="Y664" s="2"/>
      <c r="Z664" s="2"/>
    </row>
    <row r="665" spans="1:26" ht="13.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183"/>
      <c r="X665" s="2"/>
      <c r="Y665" s="2"/>
      <c r="Z665" s="2"/>
    </row>
    <row r="666" spans="1:26" ht="13.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183"/>
      <c r="X666" s="2"/>
      <c r="Y666" s="2"/>
      <c r="Z666" s="2"/>
    </row>
    <row r="667" spans="1:26" ht="13.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183"/>
      <c r="X667" s="2"/>
      <c r="Y667" s="2"/>
      <c r="Z667" s="2"/>
    </row>
    <row r="668" spans="1:26" ht="13.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183"/>
      <c r="X668" s="2"/>
      <c r="Y668" s="2"/>
      <c r="Z668" s="2"/>
    </row>
    <row r="669" spans="1:26" ht="13.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183"/>
      <c r="X669" s="2"/>
      <c r="Y669" s="2"/>
      <c r="Z669" s="2"/>
    </row>
    <row r="670" spans="1:26" ht="13.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183"/>
      <c r="X670" s="2"/>
      <c r="Y670" s="2"/>
      <c r="Z670" s="2"/>
    </row>
    <row r="671" spans="1:26" ht="13.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183"/>
      <c r="X671" s="2"/>
      <c r="Y671" s="2"/>
      <c r="Z671" s="2"/>
    </row>
    <row r="672" spans="1:26" ht="13.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183"/>
      <c r="X672" s="2"/>
      <c r="Y672" s="2"/>
      <c r="Z672" s="2"/>
    </row>
    <row r="673" spans="1:26" ht="13.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183"/>
      <c r="X673" s="2"/>
      <c r="Y673" s="2"/>
      <c r="Z673" s="2"/>
    </row>
    <row r="674" spans="1:26" ht="13.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183"/>
      <c r="X674" s="2"/>
      <c r="Y674" s="2"/>
      <c r="Z674" s="2"/>
    </row>
    <row r="675" spans="1:26" ht="13.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183"/>
      <c r="X675" s="2"/>
      <c r="Y675" s="2"/>
      <c r="Z675" s="2"/>
    </row>
    <row r="676" spans="1:26" ht="13.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183"/>
      <c r="X676" s="2"/>
      <c r="Y676" s="2"/>
      <c r="Z676" s="2"/>
    </row>
    <row r="677" spans="1:26" ht="13.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183"/>
      <c r="X677" s="2"/>
      <c r="Y677" s="2"/>
      <c r="Z677" s="2"/>
    </row>
    <row r="678" spans="1:26" ht="13.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183"/>
      <c r="X678" s="2"/>
      <c r="Y678" s="2"/>
      <c r="Z678" s="2"/>
    </row>
    <row r="679" spans="1:26" ht="13.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183"/>
      <c r="X679" s="2"/>
      <c r="Y679" s="2"/>
      <c r="Z679" s="2"/>
    </row>
    <row r="680" spans="1:26" ht="13.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183"/>
      <c r="X680" s="2"/>
      <c r="Y680" s="2"/>
      <c r="Z680" s="2"/>
    </row>
    <row r="681" spans="1:26" ht="13.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183"/>
      <c r="X681" s="2"/>
      <c r="Y681" s="2"/>
      <c r="Z681" s="2"/>
    </row>
    <row r="682" spans="1:26" ht="13.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183"/>
      <c r="X682" s="2"/>
      <c r="Y682" s="2"/>
      <c r="Z682" s="2"/>
    </row>
    <row r="683" spans="1:26" ht="13.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183"/>
      <c r="X683" s="2"/>
      <c r="Y683" s="2"/>
      <c r="Z683" s="2"/>
    </row>
    <row r="684" spans="1:26" ht="13.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183"/>
      <c r="X684" s="2"/>
      <c r="Y684" s="2"/>
      <c r="Z684" s="2"/>
    </row>
    <row r="685" spans="1:26" ht="13.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183"/>
      <c r="X685" s="2"/>
      <c r="Y685" s="2"/>
      <c r="Z685" s="2"/>
    </row>
    <row r="686" spans="1:26" ht="13.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183"/>
      <c r="X686" s="2"/>
      <c r="Y686" s="2"/>
      <c r="Z686" s="2"/>
    </row>
    <row r="687" spans="1:26" ht="13.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183"/>
      <c r="X687" s="2"/>
      <c r="Y687" s="2"/>
      <c r="Z687" s="2"/>
    </row>
    <row r="688" spans="1:26" ht="13.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183"/>
      <c r="X688" s="2"/>
      <c r="Y688" s="2"/>
      <c r="Z688" s="2"/>
    </row>
    <row r="689" spans="1:26" ht="13.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183"/>
      <c r="X689" s="2"/>
      <c r="Y689" s="2"/>
      <c r="Z689" s="2"/>
    </row>
    <row r="690" spans="1:26" ht="13.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183"/>
      <c r="X690" s="2"/>
      <c r="Y690" s="2"/>
      <c r="Z690" s="2"/>
    </row>
    <row r="691" spans="1:26" ht="13.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183"/>
      <c r="X691" s="2"/>
      <c r="Y691" s="2"/>
      <c r="Z691" s="2"/>
    </row>
    <row r="692" spans="1:26" ht="13.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183"/>
      <c r="X692" s="2"/>
      <c r="Y692" s="2"/>
      <c r="Z692" s="2"/>
    </row>
    <row r="693" spans="1:26" ht="13.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183"/>
      <c r="X693" s="2"/>
      <c r="Y693" s="2"/>
      <c r="Z693" s="2"/>
    </row>
    <row r="694" spans="1:26" ht="13.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183"/>
      <c r="X694" s="2"/>
      <c r="Y694" s="2"/>
      <c r="Z694" s="2"/>
    </row>
    <row r="695" spans="1:26" ht="13.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183"/>
      <c r="X695" s="2"/>
      <c r="Y695" s="2"/>
      <c r="Z695" s="2"/>
    </row>
    <row r="696" spans="1:26" ht="13.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183"/>
      <c r="X696" s="2"/>
      <c r="Y696" s="2"/>
      <c r="Z696" s="2"/>
    </row>
    <row r="697" spans="1:26" ht="13.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183"/>
      <c r="X697" s="2"/>
      <c r="Y697" s="2"/>
      <c r="Z697" s="2"/>
    </row>
    <row r="698" spans="1:26" ht="13.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183"/>
      <c r="X698" s="2"/>
      <c r="Y698" s="2"/>
      <c r="Z698" s="2"/>
    </row>
    <row r="699" spans="1:26" ht="13.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183"/>
      <c r="X699" s="2"/>
      <c r="Y699" s="2"/>
      <c r="Z699" s="2"/>
    </row>
    <row r="700" spans="1:26" ht="13.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183"/>
      <c r="X700" s="2"/>
      <c r="Y700" s="2"/>
      <c r="Z700" s="2"/>
    </row>
    <row r="701" spans="1:26" ht="13.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183"/>
      <c r="X701" s="2"/>
      <c r="Y701" s="2"/>
      <c r="Z701" s="2"/>
    </row>
    <row r="702" spans="1:26" ht="13.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183"/>
      <c r="X702" s="2"/>
      <c r="Y702" s="2"/>
      <c r="Z702" s="2"/>
    </row>
    <row r="703" spans="1:26" ht="13.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183"/>
      <c r="X703" s="2"/>
      <c r="Y703" s="2"/>
      <c r="Z703" s="2"/>
    </row>
    <row r="704" spans="1:26" ht="13.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183"/>
      <c r="X704" s="2"/>
      <c r="Y704" s="2"/>
      <c r="Z704" s="2"/>
    </row>
    <row r="705" spans="1:26" ht="13.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183"/>
      <c r="X705" s="2"/>
      <c r="Y705" s="2"/>
      <c r="Z705" s="2"/>
    </row>
    <row r="706" spans="1:26" ht="13.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183"/>
      <c r="X706" s="2"/>
      <c r="Y706" s="2"/>
      <c r="Z706" s="2"/>
    </row>
    <row r="707" spans="1:26" ht="13.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183"/>
      <c r="X707" s="2"/>
      <c r="Y707" s="2"/>
      <c r="Z707" s="2"/>
    </row>
    <row r="708" spans="1:26" ht="13.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183"/>
      <c r="X708" s="2"/>
      <c r="Y708" s="2"/>
      <c r="Z708" s="2"/>
    </row>
    <row r="709" spans="1:26" ht="13.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183"/>
      <c r="X709" s="2"/>
      <c r="Y709" s="2"/>
      <c r="Z709" s="2"/>
    </row>
    <row r="710" spans="1:26" ht="13.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183"/>
      <c r="X710" s="2"/>
      <c r="Y710" s="2"/>
      <c r="Z710" s="2"/>
    </row>
    <row r="711" spans="1:26" ht="13.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183"/>
      <c r="X711" s="2"/>
      <c r="Y711" s="2"/>
      <c r="Z711" s="2"/>
    </row>
    <row r="712" spans="1:26" ht="13.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183"/>
      <c r="X712" s="2"/>
      <c r="Y712" s="2"/>
      <c r="Z712" s="2"/>
    </row>
    <row r="713" spans="1:26" ht="13.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183"/>
      <c r="X713" s="2"/>
      <c r="Y713" s="2"/>
      <c r="Z713" s="2"/>
    </row>
    <row r="714" spans="1:26" ht="13.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183"/>
      <c r="X714" s="2"/>
      <c r="Y714" s="2"/>
      <c r="Z714" s="2"/>
    </row>
    <row r="715" spans="1:26" ht="13.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183"/>
      <c r="X715" s="2"/>
      <c r="Y715" s="2"/>
      <c r="Z715" s="2"/>
    </row>
    <row r="716" spans="1:26" ht="13.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183"/>
      <c r="X716" s="2"/>
      <c r="Y716" s="2"/>
      <c r="Z716" s="2"/>
    </row>
    <row r="717" spans="1:26" ht="13.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183"/>
      <c r="X717" s="2"/>
      <c r="Y717" s="2"/>
      <c r="Z717" s="2"/>
    </row>
    <row r="718" spans="1:26" ht="13.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183"/>
      <c r="X718" s="2"/>
      <c r="Y718" s="2"/>
      <c r="Z718" s="2"/>
    </row>
    <row r="719" spans="1:26" ht="13.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183"/>
      <c r="X719" s="2"/>
      <c r="Y719" s="2"/>
      <c r="Z719" s="2"/>
    </row>
    <row r="720" spans="1:26" ht="13.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183"/>
      <c r="X720" s="2"/>
      <c r="Y720" s="2"/>
      <c r="Z720" s="2"/>
    </row>
    <row r="721" spans="1:26" ht="13.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183"/>
      <c r="X721" s="2"/>
      <c r="Y721" s="2"/>
      <c r="Z721" s="2"/>
    </row>
    <row r="722" spans="1:26" ht="13.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183"/>
      <c r="X722" s="2"/>
      <c r="Y722" s="2"/>
      <c r="Z722" s="2"/>
    </row>
    <row r="723" spans="1:26" ht="13.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183"/>
      <c r="X723" s="2"/>
      <c r="Y723" s="2"/>
      <c r="Z723" s="2"/>
    </row>
    <row r="724" spans="1:26" ht="13.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183"/>
      <c r="X724" s="2"/>
      <c r="Y724" s="2"/>
      <c r="Z724" s="2"/>
    </row>
    <row r="725" spans="1:26" ht="13.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183"/>
      <c r="X725" s="2"/>
      <c r="Y725" s="2"/>
      <c r="Z725" s="2"/>
    </row>
    <row r="726" spans="1:26" ht="13.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183"/>
      <c r="X726" s="2"/>
      <c r="Y726" s="2"/>
      <c r="Z726" s="2"/>
    </row>
    <row r="727" spans="1:26" ht="13.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183"/>
      <c r="X727" s="2"/>
      <c r="Y727" s="2"/>
      <c r="Z727" s="2"/>
    </row>
    <row r="728" spans="1:26" ht="13.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183"/>
      <c r="X728" s="2"/>
      <c r="Y728" s="2"/>
      <c r="Z728" s="2"/>
    </row>
    <row r="729" spans="1:26" ht="13.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183"/>
      <c r="X729" s="2"/>
      <c r="Y729" s="2"/>
      <c r="Z729" s="2"/>
    </row>
    <row r="730" spans="1:26" ht="13.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183"/>
      <c r="X730" s="2"/>
      <c r="Y730" s="2"/>
      <c r="Z730" s="2"/>
    </row>
    <row r="731" spans="1:26" ht="13.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183"/>
      <c r="X731" s="2"/>
      <c r="Y731" s="2"/>
      <c r="Z731" s="2"/>
    </row>
    <row r="732" spans="1:26" ht="13.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183"/>
      <c r="X732" s="2"/>
      <c r="Y732" s="2"/>
      <c r="Z732" s="2"/>
    </row>
    <row r="733" spans="1:26" ht="13.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183"/>
      <c r="X733" s="2"/>
      <c r="Y733" s="2"/>
      <c r="Z733" s="2"/>
    </row>
    <row r="734" spans="1:26" ht="13.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183"/>
      <c r="X734" s="2"/>
      <c r="Y734" s="2"/>
      <c r="Z734" s="2"/>
    </row>
    <row r="735" spans="1:26" ht="13.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183"/>
      <c r="X735" s="2"/>
      <c r="Y735" s="2"/>
      <c r="Z735" s="2"/>
    </row>
    <row r="736" spans="1:26" ht="13.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183"/>
      <c r="X736" s="2"/>
      <c r="Y736" s="2"/>
      <c r="Z736" s="2"/>
    </row>
    <row r="737" spans="1:26" ht="13.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183"/>
      <c r="X737" s="2"/>
      <c r="Y737" s="2"/>
      <c r="Z737" s="2"/>
    </row>
    <row r="738" spans="1:26" ht="13.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183"/>
      <c r="X738" s="2"/>
      <c r="Y738" s="2"/>
      <c r="Z738" s="2"/>
    </row>
    <row r="739" spans="1:26" ht="13.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183"/>
      <c r="X739" s="2"/>
      <c r="Y739" s="2"/>
      <c r="Z739" s="2"/>
    </row>
    <row r="740" spans="1:26" ht="13.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183"/>
      <c r="X740" s="2"/>
      <c r="Y740" s="2"/>
      <c r="Z740" s="2"/>
    </row>
    <row r="741" spans="1:26" ht="13.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183"/>
      <c r="X741" s="2"/>
      <c r="Y741" s="2"/>
      <c r="Z741" s="2"/>
    </row>
    <row r="742" spans="1:26" ht="13.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183"/>
      <c r="X742" s="2"/>
      <c r="Y742" s="2"/>
      <c r="Z742" s="2"/>
    </row>
    <row r="743" spans="1:26" ht="13.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183"/>
      <c r="X743" s="2"/>
      <c r="Y743" s="2"/>
      <c r="Z743" s="2"/>
    </row>
    <row r="744" spans="1:26" ht="13.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183"/>
      <c r="X744" s="2"/>
      <c r="Y744" s="2"/>
      <c r="Z744" s="2"/>
    </row>
    <row r="745" spans="1:26" ht="13.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183"/>
      <c r="X745" s="2"/>
      <c r="Y745" s="2"/>
      <c r="Z745" s="2"/>
    </row>
    <row r="746" spans="1:26" ht="13.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183"/>
      <c r="X746" s="2"/>
      <c r="Y746" s="2"/>
      <c r="Z746" s="2"/>
    </row>
    <row r="747" spans="1:26" ht="13.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183"/>
      <c r="X747" s="2"/>
      <c r="Y747" s="2"/>
      <c r="Z747" s="2"/>
    </row>
    <row r="748" spans="1:26" ht="13.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183"/>
      <c r="X748" s="2"/>
      <c r="Y748" s="2"/>
      <c r="Z748" s="2"/>
    </row>
    <row r="749" spans="1:26" ht="13.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183"/>
      <c r="X749" s="2"/>
      <c r="Y749" s="2"/>
      <c r="Z749" s="2"/>
    </row>
    <row r="750" spans="1:26" ht="13.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183"/>
      <c r="X750" s="2"/>
      <c r="Y750" s="2"/>
      <c r="Z750" s="2"/>
    </row>
    <row r="751" spans="1:26" ht="13.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183"/>
      <c r="X751" s="2"/>
      <c r="Y751" s="2"/>
      <c r="Z751" s="2"/>
    </row>
    <row r="752" spans="1:26" ht="13.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183"/>
      <c r="X752" s="2"/>
      <c r="Y752" s="2"/>
      <c r="Z752" s="2"/>
    </row>
    <row r="753" spans="1:26" ht="13.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183"/>
      <c r="X753" s="2"/>
      <c r="Y753" s="2"/>
      <c r="Z753" s="2"/>
    </row>
    <row r="754" spans="1:26" ht="13.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183"/>
      <c r="X754" s="2"/>
      <c r="Y754" s="2"/>
      <c r="Z754" s="2"/>
    </row>
    <row r="755" spans="1:26" ht="13.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183"/>
      <c r="X755" s="2"/>
      <c r="Y755" s="2"/>
      <c r="Z755" s="2"/>
    </row>
    <row r="756" spans="1:26" ht="13.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183"/>
      <c r="X756" s="2"/>
      <c r="Y756" s="2"/>
      <c r="Z756" s="2"/>
    </row>
    <row r="757" spans="1:26" ht="13.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183"/>
      <c r="X757" s="2"/>
      <c r="Y757" s="2"/>
      <c r="Z757" s="2"/>
    </row>
    <row r="758" spans="1:26" ht="13.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183"/>
      <c r="X758" s="2"/>
      <c r="Y758" s="2"/>
      <c r="Z758" s="2"/>
    </row>
    <row r="759" spans="1:26" ht="13.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183"/>
      <c r="X759" s="2"/>
      <c r="Y759" s="2"/>
      <c r="Z759" s="2"/>
    </row>
    <row r="760" spans="1:26" ht="13.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183"/>
      <c r="X760" s="2"/>
      <c r="Y760" s="2"/>
      <c r="Z760" s="2"/>
    </row>
    <row r="761" spans="1:26" ht="13.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183"/>
      <c r="X761" s="2"/>
      <c r="Y761" s="2"/>
      <c r="Z761" s="2"/>
    </row>
    <row r="762" spans="1:26" ht="13.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183"/>
      <c r="X762" s="2"/>
      <c r="Y762" s="2"/>
      <c r="Z762" s="2"/>
    </row>
    <row r="763" spans="1:26" ht="13.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183"/>
      <c r="X763" s="2"/>
      <c r="Y763" s="2"/>
      <c r="Z763" s="2"/>
    </row>
    <row r="764" spans="1:26" ht="13.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183"/>
      <c r="X764" s="2"/>
      <c r="Y764" s="2"/>
      <c r="Z764" s="2"/>
    </row>
    <row r="765" spans="1:26" ht="13.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183"/>
      <c r="X765" s="2"/>
      <c r="Y765" s="2"/>
      <c r="Z765" s="2"/>
    </row>
    <row r="766" spans="1:26" ht="13.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183"/>
      <c r="X766" s="2"/>
      <c r="Y766" s="2"/>
      <c r="Z766" s="2"/>
    </row>
    <row r="767" spans="1:26" ht="13.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183"/>
      <c r="X767" s="2"/>
      <c r="Y767" s="2"/>
      <c r="Z767" s="2"/>
    </row>
    <row r="768" spans="1:26" ht="13.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183"/>
      <c r="X768" s="2"/>
      <c r="Y768" s="2"/>
      <c r="Z768" s="2"/>
    </row>
    <row r="769" spans="1:26" ht="13.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183"/>
      <c r="X769" s="2"/>
      <c r="Y769" s="2"/>
      <c r="Z769" s="2"/>
    </row>
    <row r="770" spans="1:26" ht="13.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183"/>
      <c r="X770" s="2"/>
      <c r="Y770" s="2"/>
      <c r="Z770" s="2"/>
    </row>
    <row r="771" spans="1:26" ht="13.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183"/>
      <c r="X771" s="2"/>
      <c r="Y771" s="2"/>
      <c r="Z771" s="2"/>
    </row>
    <row r="772" spans="1:26" ht="13.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183"/>
      <c r="X772" s="2"/>
      <c r="Y772" s="2"/>
      <c r="Z772" s="2"/>
    </row>
    <row r="773" spans="1:26" ht="13.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183"/>
      <c r="X773" s="2"/>
      <c r="Y773" s="2"/>
      <c r="Z773" s="2"/>
    </row>
    <row r="774" spans="1:26" ht="13.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183"/>
      <c r="X774" s="2"/>
      <c r="Y774" s="2"/>
      <c r="Z774" s="2"/>
    </row>
    <row r="775" spans="1:26" ht="13.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183"/>
      <c r="X775" s="2"/>
      <c r="Y775" s="2"/>
      <c r="Z775" s="2"/>
    </row>
    <row r="776" spans="1:26" ht="13.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183"/>
      <c r="X776" s="2"/>
      <c r="Y776" s="2"/>
      <c r="Z776" s="2"/>
    </row>
    <row r="777" spans="1:26" ht="13.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183"/>
      <c r="X777" s="2"/>
      <c r="Y777" s="2"/>
      <c r="Z777" s="2"/>
    </row>
    <row r="778" spans="1:26" ht="13.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183"/>
      <c r="X778" s="2"/>
      <c r="Y778" s="2"/>
      <c r="Z778" s="2"/>
    </row>
    <row r="779" spans="1:26" ht="13.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183"/>
      <c r="X779" s="2"/>
      <c r="Y779" s="2"/>
      <c r="Z779" s="2"/>
    </row>
    <row r="780" spans="1:26" ht="13.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183"/>
      <c r="X780" s="2"/>
      <c r="Y780" s="2"/>
      <c r="Z780" s="2"/>
    </row>
    <row r="781" spans="1:26" ht="13.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183"/>
      <c r="X781" s="2"/>
      <c r="Y781" s="2"/>
      <c r="Z781" s="2"/>
    </row>
    <row r="782" spans="1:26" ht="13.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183"/>
      <c r="X782" s="2"/>
      <c r="Y782" s="2"/>
      <c r="Z782" s="2"/>
    </row>
    <row r="783" spans="1:26" ht="13.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183"/>
      <c r="X783" s="2"/>
      <c r="Y783" s="2"/>
      <c r="Z783" s="2"/>
    </row>
    <row r="784" spans="1:26" ht="13.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183"/>
      <c r="X784" s="2"/>
      <c r="Y784" s="2"/>
      <c r="Z784" s="2"/>
    </row>
    <row r="785" spans="1:26" ht="13.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183"/>
      <c r="X785" s="2"/>
      <c r="Y785" s="2"/>
      <c r="Z785" s="2"/>
    </row>
    <row r="786" spans="1:26" ht="13.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183"/>
      <c r="X786" s="2"/>
      <c r="Y786" s="2"/>
      <c r="Z786" s="2"/>
    </row>
    <row r="787" spans="1:26" ht="13.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183"/>
      <c r="X787" s="2"/>
      <c r="Y787" s="2"/>
      <c r="Z787" s="2"/>
    </row>
    <row r="788" spans="1:26" ht="13.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183"/>
      <c r="X788" s="2"/>
      <c r="Y788" s="2"/>
      <c r="Z788" s="2"/>
    </row>
    <row r="789" spans="1:26" ht="13.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183"/>
      <c r="X789" s="2"/>
      <c r="Y789" s="2"/>
      <c r="Z789" s="2"/>
    </row>
    <row r="790" spans="1:26" ht="13.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183"/>
      <c r="X790" s="2"/>
      <c r="Y790" s="2"/>
      <c r="Z790" s="2"/>
    </row>
    <row r="791" spans="1:26" ht="13.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183"/>
      <c r="X791" s="2"/>
      <c r="Y791" s="2"/>
      <c r="Z791" s="2"/>
    </row>
    <row r="792" spans="1:26" ht="13.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183"/>
      <c r="X792" s="2"/>
      <c r="Y792" s="2"/>
      <c r="Z792" s="2"/>
    </row>
    <row r="793" spans="1:26" ht="13.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183"/>
      <c r="X793" s="2"/>
      <c r="Y793" s="2"/>
      <c r="Z793" s="2"/>
    </row>
    <row r="794" spans="1:26" ht="13.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183"/>
      <c r="X794" s="2"/>
      <c r="Y794" s="2"/>
      <c r="Z794" s="2"/>
    </row>
    <row r="795" spans="1:26" ht="13.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183"/>
      <c r="X795" s="2"/>
      <c r="Y795" s="2"/>
      <c r="Z795" s="2"/>
    </row>
    <row r="796" spans="1:26" ht="13.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183"/>
      <c r="X796" s="2"/>
      <c r="Y796" s="2"/>
      <c r="Z796" s="2"/>
    </row>
    <row r="797" spans="1:26" ht="13.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183"/>
      <c r="X797" s="2"/>
      <c r="Y797" s="2"/>
      <c r="Z797" s="2"/>
    </row>
    <row r="798" spans="1:26" ht="13.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183"/>
      <c r="X798" s="2"/>
      <c r="Y798" s="2"/>
      <c r="Z798" s="2"/>
    </row>
    <row r="799" spans="1:26" ht="13.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183"/>
      <c r="X799" s="2"/>
      <c r="Y799" s="2"/>
      <c r="Z799" s="2"/>
    </row>
    <row r="800" spans="1:26" ht="13.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183"/>
      <c r="X800" s="2"/>
      <c r="Y800" s="2"/>
      <c r="Z800" s="2"/>
    </row>
    <row r="801" spans="1:26" ht="13.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183"/>
      <c r="X801" s="2"/>
      <c r="Y801" s="2"/>
      <c r="Z801" s="2"/>
    </row>
    <row r="802" spans="1:26" ht="13.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183"/>
      <c r="X802" s="2"/>
      <c r="Y802" s="2"/>
      <c r="Z802" s="2"/>
    </row>
    <row r="803" spans="1:26" ht="13.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183"/>
      <c r="X803" s="2"/>
      <c r="Y803" s="2"/>
      <c r="Z803" s="2"/>
    </row>
    <row r="804" spans="1:26" ht="13.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183"/>
      <c r="X804" s="2"/>
      <c r="Y804" s="2"/>
      <c r="Z804" s="2"/>
    </row>
    <row r="805" spans="1:26" ht="13.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183"/>
      <c r="X805" s="2"/>
      <c r="Y805" s="2"/>
      <c r="Z805" s="2"/>
    </row>
    <row r="806" spans="1:26" ht="13.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183"/>
      <c r="X806" s="2"/>
      <c r="Y806" s="2"/>
      <c r="Z806" s="2"/>
    </row>
    <row r="807" spans="1:26" ht="13.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183"/>
      <c r="X807" s="2"/>
      <c r="Y807" s="2"/>
      <c r="Z807" s="2"/>
    </row>
    <row r="808" spans="1:26" ht="13.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183"/>
      <c r="X808" s="2"/>
      <c r="Y808" s="2"/>
      <c r="Z808" s="2"/>
    </row>
    <row r="809" spans="1:26" ht="13.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183"/>
      <c r="X809" s="2"/>
      <c r="Y809" s="2"/>
      <c r="Z809" s="2"/>
    </row>
    <row r="810" spans="1:26" ht="13.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183"/>
      <c r="X810" s="2"/>
      <c r="Y810" s="2"/>
      <c r="Z810" s="2"/>
    </row>
    <row r="811" spans="1:26" ht="13.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183"/>
      <c r="X811" s="2"/>
      <c r="Y811" s="2"/>
      <c r="Z811" s="2"/>
    </row>
    <row r="812" spans="1:26" ht="13.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183"/>
      <c r="X812" s="2"/>
      <c r="Y812" s="2"/>
      <c r="Z812" s="2"/>
    </row>
    <row r="813" spans="1:26" ht="13.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183"/>
      <c r="X813" s="2"/>
      <c r="Y813" s="2"/>
      <c r="Z813" s="2"/>
    </row>
    <row r="814" spans="1:26" ht="13.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183"/>
      <c r="X814" s="2"/>
      <c r="Y814" s="2"/>
      <c r="Z814" s="2"/>
    </row>
    <row r="815" spans="1:26" ht="13.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183"/>
      <c r="X815" s="2"/>
      <c r="Y815" s="2"/>
      <c r="Z815" s="2"/>
    </row>
    <row r="816" spans="1:26" ht="13.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183"/>
      <c r="X816" s="2"/>
      <c r="Y816" s="2"/>
      <c r="Z816" s="2"/>
    </row>
    <row r="817" spans="1:26" ht="13.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183"/>
      <c r="X817" s="2"/>
      <c r="Y817" s="2"/>
      <c r="Z817" s="2"/>
    </row>
    <row r="818" spans="1:26" ht="13.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183"/>
      <c r="X818" s="2"/>
      <c r="Y818" s="2"/>
      <c r="Z818" s="2"/>
    </row>
    <row r="819" spans="1:26" ht="13.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183"/>
      <c r="X819" s="2"/>
      <c r="Y819" s="2"/>
      <c r="Z819" s="2"/>
    </row>
    <row r="820" spans="1:26" ht="13.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183"/>
      <c r="X820" s="2"/>
      <c r="Y820" s="2"/>
      <c r="Z820" s="2"/>
    </row>
    <row r="821" spans="1:26" ht="13.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183"/>
      <c r="X821" s="2"/>
      <c r="Y821" s="2"/>
      <c r="Z821" s="2"/>
    </row>
    <row r="822" spans="1:26" ht="13.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183"/>
      <c r="X822" s="2"/>
      <c r="Y822" s="2"/>
      <c r="Z822" s="2"/>
    </row>
    <row r="823" spans="1:26" ht="13.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183"/>
      <c r="X823" s="2"/>
      <c r="Y823" s="2"/>
      <c r="Z823" s="2"/>
    </row>
    <row r="824" spans="1:26" ht="13.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183"/>
      <c r="X824" s="2"/>
      <c r="Y824" s="2"/>
      <c r="Z824" s="2"/>
    </row>
    <row r="825" spans="1:26" ht="13.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183"/>
      <c r="X825" s="2"/>
      <c r="Y825" s="2"/>
      <c r="Z825" s="2"/>
    </row>
    <row r="826" spans="1:26" ht="13.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183"/>
      <c r="X826" s="2"/>
      <c r="Y826" s="2"/>
      <c r="Z826" s="2"/>
    </row>
    <row r="827" spans="1:26" ht="13.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183"/>
      <c r="X827" s="2"/>
      <c r="Y827" s="2"/>
      <c r="Z827" s="2"/>
    </row>
    <row r="828" spans="1:26" ht="13.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183"/>
      <c r="X828" s="2"/>
      <c r="Y828" s="2"/>
      <c r="Z828" s="2"/>
    </row>
    <row r="829" spans="1:26" ht="13.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183"/>
      <c r="X829" s="2"/>
      <c r="Y829" s="2"/>
      <c r="Z829" s="2"/>
    </row>
    <row r="830" spans="1:26" ht="13.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183"/>
      <c r="X830" s="2"/>
      <c r="Y830" s="2"/>
      <c r="Z830" s="2"/>
    </row>
    <row r="831" spans="1:26" ht="13.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183"/>
      <c r="X831" s="2"/>
      <c r="Y831" s="2"/>
      <c r="Z831" s="2"/>
    </row>
    <row r="832" spans="1:26" ht="13.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183"/>
      <c r="X832" s="2"/>
      <c r="Y832" s="2"/>
      <c r="Z832" s="2"/>
    </row>
    <row r="833" spans="1:26" ht="13.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183"/>
      <c r="X833" s="2"/>
      <c r="Y833" s="2"/>
      <c r="Z833" s="2"/>
    </row>
    <row r="834" spans="1:26" ht="13.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183"/>
      <c r="X834" s="2"/>
      <c r="Y834" s="2"/>
      <c r="Z834" s="2"/>
    </row>
    <row r="835" spans="1:26" ht="13.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183"/>
      <c r="X835" s="2"/>
      <c r="Y835" s="2"/>
      <c r="Z835" s="2"/>
    </row>
    <row r="836" spans="1:26" ht="13.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183"/>
      <c r="X836" s="2"/>
      <c r="Y836" s="2"/>
      <c r="Z836" s="2"/>
    </row>
    <row r="837" spans="1:26" ht="13.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183"/>
      <c r="X837" s="2"/>
      <c r="Y837" s="2"/>
      <c r="Z837" s="2"/>
    </row>
    <row r="838" spans="1:26" ht="13.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183"/>
      <c r="X838" s="2"/>
      <c r="Y838" s="2"/>
      <c r="Z838" s="2"/>
    </row>
    <row r="839" spans="1:26" ht="13.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183"/>
      <c r="X839" s="2"/>
      <c r="Y839" s="2"/>
      <c r="Z839" s="2"/>
    </row>
    <row r="840" spans="1:26" ht="13.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183"/>
      <c r="X840" s="2"/>
      <c r="Y840" s="2"/>
      <c r="Z840" s="2"/>
    </row>
    <row r="841" spans="1:26" ht="13.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183"/>
      <c r="X841" s="2"/>
      <c r="Y841" s="2"/>
      <c r="Z841" s="2"/>
    </row>
    <row r="842" spans="1:26" ht="13.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183"/>
      <c r="X842" s="2"/>
      <c r="Y842" s="2"/>
      <c r="Z842" s="2"/>
    </row>
    <row r="843" spans="1:26" ht="13.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183"/>
      <c r="X843" s="2"/>
      <c r="Y843" s="2"/>
      <c r="Z843" s="2"/>
    </row>
    <row r="844" spans="1:26" ht="13.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183"/>
      <c r="X844" s="2"/>
      <c r="Y844" s="2"/>
      <c r="Z844" s="2"/>
    </row>
    <row r="845" spans="1:26" ht="13.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183"/>
      <c r="X845" s="2"/>
      <c r="Y845" s="2"/>
      <c r="Z845" s="2"/>
    </row>
    <row r="846" spans="1:26" ht="13.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183"/>
      <c r="X846" s="2"/>
      <c r="Y846" s="2"/>
      <c r="Z846" s="2"/>
    </row>
    <row r="847" spans="1:26" ht="13.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183"/>
      <c r="X847" s="2"/>
      <c r="Y847" s="2"/>
      <c r="Z847" s="2"/>
    </row>
    <row r="848" spans="1:26" ht="13.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183"/>
      <c r="X848" s="2"/>
      <c r="Y848" s="2"/>
      <c r="Z848" s="2"/>
    </row>
    <row r="849" spans="1:26" ht="13.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183"/>
      <c r="X849" s="2"/>
      <c r="Y849" s="2"/>
      <c r="Z849" s="2"/>
    </row>
    <row r="850" spans="1:26" ht="13.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183"/>
      <c r="X850" s="2"/>
      <c r="Y850" s="2"/>
      <c r="Z850" s="2"/>
    </row>
    <row r="851" spans="1:26" ht="13.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183"/>
      <c r="X851" s="2"/>
      <c r="Y851" s="2"/>
      <c r="Z851" s="2"/>
    </row>
    <row r="852" spans="1:26" ht="13.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183"/>
      <c r="X852" s="2"/>
      <c r="Y852" s="2"/>
      <c r="Z852" s="2"/>
    </row>
    <row r="853" spans="1:26" ht="13.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183"/>
      <c r="X853" s="2"/>
      <c r="Y853" s="2"/>
      <c r="Z853" s="2"/>
    </row>
    <row r="854" spans="1:26" ht="13.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183"/>
      <c r="X854" s="2"/>
      <c r="Y854" s="2"/>
      <c r="Z854" s="2"/>
    </row>
    <row r="855" spans="1:26" ht="13.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183"/>
      <c r="X855" s="2"/>
      <c r="Y855" s="2"/>
      <c r="Z855" s="2"/>
    </row>
    <row r="856" spans="1:26" ht="13.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183"/>
      <c r="X856" s="2"/>
      <c r="Y856" s="2"/>
      <c r="Z856" s="2"/>
    </row>
    <row r="857" spans="1:26" ht="13.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183"/>
      <c r="X857" s="2"/>
      <c r="Y857" s="2"/>
      <c r="Z857" s="2"/>
    </row>
    <row r="858" spans="1:26" ht="13.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183"/>
      <c r="X858" s="2"/>
      <c r="Y858" s="2"/>
      <c r="Z858" s="2"/>
    </row>
    <row r="859" spans="1:26" ht="13.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183"/>
      <c r="X859" s="2"/>
      <c r="Y859" s="2"/>
      <c r="Z859" s="2"/>
    </row>
    <row r="860" spans="1:26" ht="13.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183"/>
      <c r="X860" s="2"/>
      <c r="Y860" s="2"/>
      <c r="Z860" s="2"/>
    </row>
    <row r="861" spans="1:26" ht="13.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183"/>
      <c r="X861" s="2"/>
      <c r="Y861" s="2"/>
      <c r="Z861" s="2"/>
    </row>
    <row r="862" spans="1:26" ht="13.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183"/>
      <c r="X862" s="2"/>
      <c r="Y862" s="2"/>
      <c r="Z862" s="2"/>
    </row>
    <row r="863" spans="1:26" ht="13.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183"/>
      <c r="X863" s="2"/>
      <c r="Y863" s="2"/>
      <c r="Z863" s="2"/>
    </row>
    <row r="864" spans="1:26" ht="13.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183"/>
      <c r="X864" s="2"/>
      <c r="Y864" s="2"/>
      <c r="Z864" s="2"/>
    </row>
    <row r="865" spans="1:26" ht="13.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183"/>
      <c r="X865" s="2"/>
      <c r="Y865" s="2"/>
      <c r="Z865" s="2"/>
    </row>
    <row r="866" spans="1:26" ht="13.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183"/>
      <c r="X866" s="2"/>
      <c r="Y866" s="2"/>
      <c r="Z866" s="2"/>
    </row>
    <row r="867" spans="1:26" ht="13.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183"/>
      <c r="X867" s="2"/>
      <c r="Y867" s="2"/>
      <c r="Z867" s="2"/>
    </row>
    <row r="868" spans="1:26" ht="13.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183"/>
      <c r="X868" s="2"/>
      <c r="Y868" s="2"/>
      <c r="Z868" s="2"/>
    </row>
    <row r="869" spans="1:26" ht="13.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183"/>
      <c r="X869" s="2"/>
      <c r="Y869" s="2"/>
      <c r="Z869" s="2"/>
    </row>
    <row r="870" spans="1:26" ht="13.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183"/>
      <c r="X870" s="2"/>
      <c r="Y870" s="2"/>
      <c r="Z870" s="2"/>
    </row>
    <row r="871" spans="1:26" ht="13.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183"/>
      <c r="X871" s="2"/>
      <c r="Y871" s="2"/>
      <c r="Z871" s="2"/>
    </row>
    <row r="872" spans="1:26" ht="13.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183"/>
      <c r="X872" s="2"/>
      <c r="Y872" s="2"/>
      <c r="Z872" s="2"/>
    </row>
    <row r="873" spans="1:26" ht="13.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183"/>
      <c r="X873" s="2"/>
      <c r="Y873" s="2"/>
      <c r="Z873" s="2"/>
    </row>
    <row r="874" spans="1:26" ht="13.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183"/>
      <c r="X874" s="2"/>
      <c r="Y874" s="2"/>
      <c r="Z874" s="2"/>
    </row>
    <row r="875" spans="1:26" ht="13.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183"/>
      <c r="X875" s="2"/>
      <c r="Y875" s="2"/>
      <c r="Z875" s="2"/>
    </row>
    <row r="876" spans="1:26" ht="13.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183"/>
      <c r="X876" s="2"/>
      <c r="Y876" s="2"/>
      <c r="Z876" s="2"/>
    </row>
    <row r="877" spans="1:26" ht="13.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183"/>
      <c r="X877" s="2"/>
      <c r="Y877" s="2"/>
      <c r="Z877" s="2"/>
    </row>
    <row r="878" spans="1:26" ht="13.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183"/>
      <c r="X878" s="2"/>
      <c r="Y878" s="2"/>
      <c r="Z878" s="2"/>
    </row>
    <row r="879" spans="1:26" ht="13.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183"/>
      <c r="X879" s="2"/>
      <c r="Y879" s="2"/>
      <c r="Z879" s="2"/>
    </row>
    <row r="880" spans="1:26" ht="13.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183"/>
      <c r="X880" s="2"/>
      <c r="Y880" s="2"/>
      <c r="Z880" s="2"/>
    </row>
    <row r="881" spans="1:26" ht="13.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183"/>
      <c r="X881" s="2"/>
      <c r="Y881" s="2"/>
      <c r="Z881" s="2"/>
    </row>
    <row r="882" spans="1:26" ht="13.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183"/>
      <c r="X882" s="2"/>
      <c r="Y882" s="2"/>
      <c r="Z882" s="2"/>
    </row>
    <row r="883" spans="1:26" ht="13.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183"/>
      <c r="X883" s="2"/>
      <c r="Y883" s="2"/>
      <c r="Z883" s="2"/>
    </row>
    <row r="884" spans="1:26" ht="13.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183"/>
      <c r="X884" s="2"/>
      <c r="Y884" s="2"/>
      <c r="Z884" s="2"/>
    </row>
    <row r="885" spans="1:26" ht="13.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183"/>
      <c r="X885" s="2"/>
      <c r="Y885" s="2"/>
      <c r="Z885" s="2"/>
    </row>
    <row r="886" spans="1:26" ht="13.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183"/>
      <c r="X886" s="2"/>
      <c r="Y886" s="2"/>
      <c r="Z886" s="2"/>
    </row>
    <row r="887" spans="1:26" ht="13.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183"/>
      <c r="X887" s="2"/>
      <c r="Y887" s="2"/>
      <c r="Z887" s="2"/>
    </row>
    <row r="888" spans="1:26" ht="13.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183"/>
      <c r="X888" s="2"/>
      <c r="Y888" s="2"/>
      <c r="Z888" s="2"/>
    </row>
    <row r="889" spans="1:26" ht="13.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183"/>
      <c r="X889" s="2"/>
      <c r="Y889" s="2"/>
      <c r="Z889" s="2"/>
    </row>
    <row r="890" spans="1:26" ht="13.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183"/>
      <c r="X890" s="2"/>
      <c r="Y890" s="2"/>
      <c r="Z890" s="2"/>
    </row>
    <row r="891" spans="1:26" ht="13.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183"/>
      <c r="X891" s="2"/>
      <c r="Y891" s="2"/>
      <c r="Z891" s="2"/>
    </row>
    <row r="892" spans="1:26" ht="13.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183"/>
      <c r="X892" s="2"/>
      <c r="Y892" s="2"/>
      <c r="Z892" s="2"/>
    </row>
    <row r="893" spans="1:26" ht="13.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183"/>
      <c r="X893" s="2"/>
      <c r="Y893" s="2"/>
      <c r="Z893" s="2"/>
    </row>
    <row r="894" spans="1:26" ht="13.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183"/>
      <c r="X894" s="2"/>
      <c r="Y894" s="2"/>
      <c r="Z894" s="2"/>
    </row>
    <row r="895" spans="1:26" ht="13.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183"/>
      <c r="X895" s="2"/>
      <c r="Y895" s="2"/>
      <c r="Z895" s="2"/>
    </row>
    <row r="896" spans="1:26" ht="13.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183"/>
      <c r="X896" s="2"/>
      <c r="Y896" s="2"/>
      <c r="Z896" s="2"/>
    </row>
    <row r="897" spans="1:26" ht="13.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183"/>
      <c r="X897" s="2"/>
      <c r="Y897" s="2"/>
      <c r="Z897" s="2"/>
    </row>
    <row r="898" spans="1:26" ht="13.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183"/>
      <c r="X898" s="2"/>
      <c r="Y898" s="2"/>
      <c r="Z898" s="2"/>
    </row>
    <row r="899" spans="1:26" ht="13.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183"/>
      <c r="X899" s="2"/>
      <c r="Y899" s="2"/>
      <c r="Z899" s="2"/>
    </row>
    <row r="900" spans="1:26" ht="13.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183"/>
      <c r="X900" s="2"/>
      <c r="Y900" s="2"/>
      <c r="Z900" s="2"/>
    </row>
    <row r="901" spans="1:26" ht="13.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183"/>
      <c r="X901" s="2"/>
      <c r="Y901" s="2"/>
      <c r="Z901" s="2"/>
    </row>
    <row r="902" spans="1:26" ht="13.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183"/>
      <c r="X902" s="2"/>
      <c r="Y902" s="2"/>
      <c r="Z902" s="2"/>
    </row>
    <row r="903" spans="1:26" ht="13.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183"/>
      <c r="X903" s="2"/>
      <c r="Y903" s="2"/>
      <c r="Z903" s="2"/>
    </row>
    <row r="904" spans="1:26" ht="13.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183"/>
      <c r="X904" s="2"/>
      <c r="Y904" s="2"/>
      <c r="Z904" s="2"/>
    </row>
    <row r="905" spans="1:26" ht="13.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183"/>
      <c r="X905" s="2"/>
      <c r="Y905" s="2"/>
      <c r="Z905" s="2"/>
    </row>
    <row r="906" spans="1:26" ht="13.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183"/>
      <c r="X906" s="2"/>
      <c r="Y906" s="2"/>
      <c r="Z906" s="2"/>
    </row>
    <row r="907" spans="1:26" ht="13.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183"/>
      <c r="X907" s="2"/>
      <c r="Y907" s="2"/>
      <c r="Z907" s="2"/>
    </row>
    <row r="908" spans="1:26" ht="13.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183"/>
      <c r="X908" s="2"/>
      <c r="Y908" s="2"/>
      <c r="Z908" s="2"/>
    </row>
    <row r="909" spans="1:26" ht="13.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183"/>
      <c r="X909" s="2"/>
      <c r="Y909" s="2"/>
      <c r="Z909" s="2"/>
    </row>
    <row r="910" spans="1:26" ht="13.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183"/>
      <c r="X910" s="2"/>
      <c r="Y910" s="2"/>
      <c r="Z910" s="2"/>
    </row>
    <row r="911" spans="1:26" ht="13.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183"/>
      <c r="X911" s="2"/>
      <c r="Y911" s="2"/>
      <c r="Z911" s="2"/>
    </row>
    <row r="912" spans="1:26" ht="13.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183"/>
      <c r="X912" s="2"/>
      <c r="Y912" s="2"/>
      <c r="Z912" s="2"/>
    </row>
    <row r="913" spans="1:26" ht="13.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183"/>
      <c r="X913" s="2"/>
      <c r="Y913" s="2"/>
      <c r="Z913" s="2"/>
    </row>
    <row r="914" spans="1:26" ht="13.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183"/>
      <c r="X914" s="2"/>
      <c r="Y914" s="2"/>
      <c r="Z914" s="2"/>
    </row>
    <row r="915" spans="1:26" ht="13.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183"/>
      <c r="X915" s="2"/>
      <c r="Y915" s="2"/>
      <c r="Z915" s="2"/>
    </row>
    <row r="916" spans="1:26" ht="13.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183"/>
      <c r="X916" s="2"/>
      <c r="Y916" s="2"/>
      <c r="Z916" s="2"/>
    </row>
    <row r="917" spans="1:26" ht="13.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183"/>
      <c r="X917" s="2"/>
      <c r="Y917" s="2"/>
      <c r="Z917" s="2"/>
    </row>
    <row r="918" spans="1:26" ht="13.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183"/>
      <c r="X918" s="2"/>
      <c r="Y918" s="2"/>
      <c r="Z918" s="2"/>
    </row>
    <row r="919" spans="1:26" ht="13.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183"/>
      <c r="X919" s="2"/>
      <c r="Y919" s="2"/>
      <c r="Z919" s="2"/>
    </row>
    <row r="920" spans="1:26" ht="13.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183"/>
      <c r="X920" s="2"/>
      <c r="Y920" s="2"/>
      <c r="Z920" s="2"/>
    </row>
    <row r="921" spans="1:26" ht="13.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183"/>
      <c r="X921" s="2"/>
      <c r="Y921" s="2"/>
      <c r="Z921" s="2"/>
    </row>
    <row r="922" spans="1:26" ht="13.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183"/>
      <c r="X922" s="2"/>
      <c r="Y922" s="2"/>
      <c r="Z922" s="2"/>
    </row>
    <row r="923" spans="1:26" ht="13.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183"/>
      <c r="X923" s="2"/>
      <c r="Y923" s="2"/>
      <c r="Z923" s="2"/>
    </row>
    <row r="924" spans="1:26" ht="13.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183"/>
      <c r="X924" s="2"/>
      <c r="Y924" s="2"/>
      <c r="Z924" s="2"/>
    </row>
    <row r="925" spans="1:26" ht="13.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183"/>
      <c r="X925" s="2"/>
      <c r="Y925" s="2"/>
      <c r="Z925" s="2"/>
    </row>
    <row r="926" spans="1:26" ht="13.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183"/>
      <c r="X926" s="2"/>
      <c r="Y926" s="2"/>
      <c r="Z926" s="2"/>
    </row>
    <row r="927" spans="1:26" ht="13.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183"/>
      <c r="X927" s="2"/>
      <c r="Y927" s="2"/>
      <c r="Z927" s="2"/>
    </row>
    <row r="928" spans="1:26" ht="13.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183"/>
      <c r="X928" s="2"/>
      <c r="Y928" s="2"/>
      <c r="Z928" s="2"/>
    </row>
    <row r="929" spans="1:26" ht="13.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183"/>
      <c r="X929" s="2"/>
      <c r="Y929" s="2"/>
      <c r="Z929" s="2"/>
    </row>
    <row r="930" spans="1:26" ht="13.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183"/>
      <c r="X930" s="2"/>
      <c r="Y930" s="2"/>
      <c r="Z930" s="2"/>
    </row>
    <row r="931" spans="1:26" ht="13.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183"/>
      <c r="X931" s="2"/>
      <c r="Y931" s="2"/>
      <c r="Z931" s="2"/>
    </row>
    <row r="932" spans="1:26" ht="13.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183"/>
      <c r="X932" s="2"/>
      <c r="Y932" s="2"/>
      <c r="Z932" s="2"/>
    </row>
    <row r="933" spans="1:26" ht="13.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183"/>
      <c r="X933" s="2"/>
      <c r="Y933" s="2"/>
      <c r="Z933" s="2"/>
    </row>
    <row r="934" spans="1:26" ht="13.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183"/>
      <c r="X934" s="2"/>
      <c r="Y934" s="2"/>
      <c r="Z934" s="2"/>
    </row>
    <row r="935" spans="1:26" ht="13.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183"/>
      <c r="X935" s="2"/>
      <c r="Y935" s="2"/>
      <c r="Z935" s="2"/>
    </row>
    <row r="936" spans="1:26" ht="13.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183"/>
      <c r="X936" s="2"/>
      <c r="Y936" s="2"/>
      <c r="Z936" s="2"/>
    </row>
    <row r="937" spans="1:26" ht="13.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183"/>
      <c r="X937" s="2"/>
      <c r="Y937" s="2"/>
      <c r="Z937" s="2"/>
    </row>
    <row r="938" spans="1:26" ht="13.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183"/>
      <c r="X938" s="2"/>
      <c r="Y938" s="2"/>
      <c r="Z938" s="2"/>
    </row>
    <row r="939" spans="1:26" ht="13.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183"/>
      <c r="X939" s="2"/>
      <c r="Y939" s="2"/>
      <c r="Z939" s="2"/>
    </row>
    <row r="940" spans="1:26" ht="13.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183"/>
      <c r="X940" s="2"/>
      <c r="Y940" s="2"/>
      <c r="Z940" s="2"/>
    </row>
    <row r="941" spans="1:26" ht="13.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183"/>
      <c r="X941" s="2"/>
      <c r="Y941" s="2"/>
      <c r="Z941" s="2"/>
    </row>
    <row r="942" spans="1:26" ht="13.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183"/>
      <c r="X942" s="2"/>
      <c r="Y942" s="2"/>
      <c r="Z942" s="2"/>
    </row>
    <row r="943" spans="1:26" ht="13.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183"/>
      <c r="X943" s="2"/>
      <c r="Y943" s="2"/>
      <c r="Z943" s="2"/>
    </row>
    <row r="944" spans="1:26" ht="13.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183"/>
      <c r="X944" s="2"/>
      <c r="Y944" s="2"/>
      <c r="Z944" s="2"/>
    </row>
    <row r="945" spans="1:26" ht="13.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183"/>
      <c r="X945" s="2"/>
      <c r="Y945" s="2"/>
      <c r="Z945" s="2"/>
    </row>
    <row r="946" spans="1:26" ht="13.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183"/>
      <c r="X946" s="2"/>
      <c r="Y946" s="2"/>
      <c r="Z946" s="2"/>
    </row>
    <row r="947" spans="1:26" ht="13.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183"/>
      <c r="X947" s="2"/>
      <c r="Y947" s="2"/>
      <c r="Z947" s="2"/>
    </row>
    <row r="948" spans="1:26" ht="13.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183"/>
      <c r="X948" s="2"/>
      <c r="Y948" s="2"/>
      <c r="Z948" s="2"/>
    </row>
    <row r="949" spans="1:26" ht="13.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183"/>
      <c r="X949" s="2"/>
      <c r="Y949" s="2"/>
      <c r="Z949" s="2"/>
    </row>
    <row r="950" spans="1:26" ht="13.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183"/>
      <c r="X950" s="2"/>
      <c r="Y950" s="2"/>
      <c r="Z950" s="2"/>
    </row>
    <row r="951" spans="1:26" ht="13.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183"/>
      <c r="X951" s="2"/>
      <c r="Y951" s="2"/>
      <c r="Z951" s="2"/>
    </row>
    <row r="952" spans="1:26" ht="13.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183"/>
      <c r="X952" s="2"/>
      <c r="Y952" s="2"/>
      <c r="Z952" s="2"/>
    </row>
    <row r="953" spans="1:26" ht="13.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183"/>
      <c r="X953" s="2"/>
      <c r="Y953" s="2"/>
      <c r="Z953" s="2"/>
    </row>
    <row r="954" spans="1:26" ht="13.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183"/>
      <c r="X954" s="2"/>
      <c r="Y954" s="2"/>
      <c r="Z954" s="2"/>
    </row>
    <row r="955" spans="1:26" ht="13.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183"/>
      <c r="X955" s="2"/>
      <c r="Y955" s="2"/>
      <c r="Z955" s="2"/>
    </row>
    <row r="956" spans="1:26" ht="13.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183"/>
      <c r="X956" s="2"/>
      <c r="Y956" s="2"/>
      <c r="Z956" s="2"/>
    </row>
    <row r="957" spans="1:26" ht="13.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183"/>
      <c r="X957" s="2"/>
      <c r="Y957" s="2"/>
      <c r="Z957" s="2"/>
    </row>
    <row r="958" spans="1:26" ht="13.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183"/>
      <c r="X958" s="2"/>
      <c r="Y958" s="2"/>
      <c r="Z958" s="2"/>
    </row>
    <row r="959" spans="1:26" ht="13.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183"/>
      <c r="X959" s="2"/>
      <c r="Y959" s="2"/>
      <c r="Z959" s="2"/>
    </row>
    <row r="960" spans="1:26" ht="13.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183"/>
      <c r="X960" s="2"/>
      <c r="Y960" s="2"/>
      <c r="Z960" s="2"/>
    </row>
    <row r="961" spans="1:26" ht="13.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183"/>
      <c r="X961" s="2"/>
      <c r="Y961" s="2"/>
      <c r="Z961" s="2"/>
    </row>
    <row r="962" spans="1:26" ht="13.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183"/>
      <c r="X962" s="2"/>
      <c r="Y962" s="2"/>
      <c r="Z962" s="2"/>
    </row>
    <row r="963" spans="1:26" ht="13.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183"/>
      <c r="X963" s="2"/>
      <c r="Y963" s="2"/>
      <c r="Z963" s="2"/>
    </row>
    <row r="964" spans="1:26" ht="13.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183"/>
      <c r="X964" s="2"/>
      <c r="Y964" s="2"/>
      <c r="Z964" s="2"/>
    </row>
    <row r="965" spans="1:26" ht="13.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183"/>
      <c r="X965" s="2"/>
      <c r="Y965" s="2"/>
      <c r="Z965" s="2"/>
    </row>
    <row r="966" spans="1:26" ht="13.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183"/>
      <c r="X966" s="2"/>
      <c r="Y966" s="2"/>
      <c r="Z966" s="2"/>
    </row>
    <row r="967" spans="1:26" ht="13.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183"/>
      <c r="X967" s="2"/>
      <c r="Y967" s="2"/>
      <c r="Z967" s="2"/>
    </row>
    <row r="968" spans="1:26" ht="13.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183"/>
      <c r="X968" s="2"/>
      <c r="Y968" s="2"/>
      <c r="Z968" s="2"/>
    </row>
    <row r="969" spans="1:26" ht="13.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183"/>
      <c r="X969" s="2"/>
      <c r="Y969" s="2"/>
      <c r="Z969" s="2"/>
    </row>
    <row r="970" spans="1:26" ht="13.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183"/>
      <c r="X970" s="2"/>
      <c r="Y970" s="2"/>
      <c r="Z970" s="2"/>
    </row>
    <row r="971" spans="1:26" ht="13.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183"/>
      <c r="X971" s="2"/>
      <c r="Y971" s="2"/>
      <c r="Z971" s="2"/>
    </row>
    <row r="972" spans="1:26" ht="13.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183"/>
      <c r="X972" s="2"/>
      <c r="Y972" s="2"/>
      <c r="Z972" s="2"/>
    </row>
    <row r="973" spans="1:26" ht="13.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183"/>
      <c r="X973" s="2"/>
      <c r="Y973" s="2"/>
      <c r="Z973" s="2"/>
    </row>
    <row r="974" spans="1:26" ht="13.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183"/>
      <c r="X974" s="2"/>
      <c r="Y974" s="2"/>
      <c r="Z974" s="2"/>
    </row>
    <row r="975" spans="1:26" ht="13.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183"/>
      <c r="X975" s="2"/>
      <c r="Y975" s="2"/>
      <c r="Z975" s="2"/>
    </row>
    <row r="976" spans="1:26" ht="13.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183"/>
      <c r="X976" s="2"/>
      <c r="Y976" s="2"/>
      <c r="Z976" s="2"/>
    </row>
    <row r="977" spans="1:26" ht="13.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183"/>
      <c r="X977" s="2"/>
      <c r="Y977" s="2"/>
      <c r="Z977" s="2"/>
    </row>
    <row r="978" spans="1:26" ht="13.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183"/>
      <c r="X978" s="2"/>
      <c r="Y978" s="2"/>
      <c r="Z978" s="2"/>
    </row>
    <row r="979" spans="1:26" ht="13.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183"/>
      <c r="X979" s="2"/>
      <c r="Y979" s="2"/>
      <c r="Z979" s="2"/>
    </row>
    <row r="980" spans="1:26" ht="13.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183"/>
      <c r="X980" s="2"/>
      <c r="Y980" s="2"/>
      <c r="Z980" s="2"/>
    </row>
    <row r="981" spans="1:26" ht="13.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183"/>
      <c r="X981" s="2"/>
      <c r="Y981" s="2"/>
      <c r="Z981" s="2"/>
    </row>
    <row r="982" spans="1:26" ht="13.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183"/>
      <c r="X982" s="2"/>
      <c r="Y982" s="2"/>
      <c r="Z982" s="2"/>
    </row>
    <row r="983" spans="1:26" ht="13.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183"/>
      <c r="X983" s="2"/>
      <c r="Y983" s="2"/>
      <c r="Z983" s="2"/>
    </row>
    <row r="984" spans="1:26" ht="13.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183"/>
      <c r="X984" s="2"/>
      <c r="Y984" s="2"/>
      <c r="Z984" s="2"/>
    </row>
    <row r="985" spans="1:26" ht="13.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183"/>
      <c r="X985" s="2"/>
      <c r="Y985" s="2"/>
      <c r="Z985" s="2"/>
    </row>
    <row r="986" spans="1:26" ht="13.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183"/>
      <c r="X986" s="2"/>
      <c r="Y986" s="2"/>
      <c r="Z986" s="2"/>
    </row>
    <row r="987" spans="1:26" ht="13.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183"/>
      <c r="X987" s="2"/>
      <c r="Y987" s="2"/>
      <c r="Z987" s="2"/>
    </row>
    <row r="988" spans="1:26" ht="13.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183"/>
      <c r="X988" s="2"/>
      <c r="Y988" s="2"/>
      <c r="Z988" s="2"/>
    </row>
    <row r="989" spans="1:26" ht="13.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183"/>
      <c r="X989" s="2"/>
      <c r="Y989" s="2"/>
      <c r="Z989" s="2"/>
    </row>
    <row r="990" spans="1:26" ht="13.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183"/>
      <c r="X990" s="2"/>
      <c r="Y990" s="2"/>
      <c r="Z990" s="2"/>
    </row>
    <row r="991" spans="1:26" ht="13.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183"/>
      <c r="X991" s="2"/>
      <c r="Y991" s="2"/>
      <c r="Z991" s="2"/>
    </row>
    <row r="992" spans="1:26" ht="13.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183"/>
      <c r="X992" s="2"/>
      <c r="Y992" s="2"/>
      <c r="Z992" s="2"/>
    </row>
    <row r="993" spans="1:26" ht="13.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183"/>
      <c r="X993" s="2"/>
      <c r="Y993" s="2"/>
      <c r="Z993" s="2"/>
    </row>
    <row r="994" spans="1:26" ht="13.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183"/>
      <c r="X994" s="2"/>
      <c r="Y994" s="2"/>
      <c r="Z994" s="2"/>
    </row>
    <row r="995" spans="1:26" ht="13.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183"/>
      <c r="X995" s="2"/>
      <c r="Y995" s="2"/>
      <c r="Z995" s="2"/>
    </row>
    <row r="996" spans="1:26" ht="13.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183"/>
      <c r="X996" s="2"/>
      <c r="Y996" s="2"/>
      <c r="Z996" s="2"/>
    </row>
    <row r="997" spans="1:26" ht="13.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183"/>
      <c r="X997" s="2"/>
      <c r="Y997" s="2"/>
      <c r="Z997" s="2"/>
    </row>
    <row r="998" spans="1:26" ht="13.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183"/>
      <c r="X998" s="2"/>
      <c r="Y998" s="2"/>
      <c r="Z998" s="2"/>
    </row>
    <row r="999" spans="1:26" ht="13.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183"/>
      <c r="X999" s="2"/>
      <c r="Y999" s="2"/>
      <c r="Z999" s="2"/>
    </row>
    <row r="1000" spans="1:26" ht="13.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183"/>
      <c r="X1000" s="2"/>
      <c r="Y1000" s="2"/>
      <c r="Z1000" s="2"/>
    </row>
  </sheetData>
  <mergeCells count="1">
    <mergeCell ref="T22:V22"/>
  </mergeCells>
  <pageMargins left="0.7" right="0.7" top="0.75" bottom="0.75" header="0" footer="0"/>
  <pageSetup scale="43"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DEF6"/>
  </sheetPr>
  <dimension ref="A1:Z1000"/>
  <sheetViews>
    <sheetView showGridLines="0" zoomScale="80" zoomScaleNormal="80" workbookViewId="0">
      <pane xSplit="1" ySplit="1" topLeftCell="B2" activePane="bottomRight" state="frozen"/>
      <selection pane="topRight" activeCell="B1" sqref="B1"/>
      <selection pane="bottomLeft" activeCell="A2" sqref="A2"/>
      <selection pane="bottomRight"/>
    </sheetView>
  </sheetViews>
  <sheetFormatPr defaultColWidth="14.42578125" defaultRowHeight="15" customHeight="1" x14ac:dyDescent="0.25"/>
  <cols>
    <col min="1" max="2" width="1.7109375" customWidth="1"/>
    <col min="3" max="3" width="29.5703125" customWidth="1"/>
    <col min="4" max="4" width="22.28515625" customWidth="1"/>
    <col min="5" max="5" width="25.7109375" customWidth="1"/>
    <col min="6" max="6" width="32.5703125" customWidth="1"/>
    <col min="7" max="7" width="1.7109375" customWidth="1"/>
    <col min="8" max="26" width="9.140625" customWidth="1"/>
  </cols>
  <sheetData>
    <row r="1" spans="1:26" ht="13.5" customHeight="1" x14ac:dyDescent="0.35">
      <c r="A1" s="2"/>
      <c r="B1" s="2"/>
      <c r="C1" s="5" t="str">
        <f ca="1">Company_Name&amp;" - "&amp;MID(CELL("filename",A1),FIND("]",CELL("filename",A1))+1,255)</f>
        <v>American Express Company - Integrity</v>
      </c>
      <c r="D1" s="2"/>
      <c r="E1" s="2"/>
      <c r="F1" s="2"/>
      <c r="G1" s="2"/>
      <c r="H1" s="2"/>
      <c r="I1" s="2"/>
      <c r="J1" s="2"/>
      <c r="K1" s="2"/>
      <c r="L1" s="2"/>
      <c r="M1" s="2"/>
      <c r="N1" s="2"/>
      <c r="O1" s="2"/>
      <c r="P1" s="2"/>
      <c r="Q1" s="2"/>
      <c r="R1" s="2"/>
      <c r="S1" s="2"/>
      <c r="T1" s="2"/>
      <c r="U1" s="2"/>
      <c r="V1" s="2"/>
      <c r="W1" s="2"/>
      <c r="X1" s="2"/>
      <c r="Y1" s="2"/>
      <c r="Z1" s="2"/>
    </row>
    <row r="2" spans="1:26" ht="13.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3.5" customHeight="1" x14ac:dyDescent="0.25">
      <c r="A3" s="3"/>
      <c r="B3" s="2"/>
      <c r="C3" s="184" t="s">
        <v>35</v>
      </c>
      <c r="D3" s="185"/>
      <c r="E3" s="185"/>
      <c r="F3" s="184"/>
      <c r="G3" s="184"/>
      <c r="H3" s="2"/>
      <c r="I3" s="2"/>
      <c r="J3" s="2"/>
      <c r="K3" s="2"/>
      <c r="L3" s="2"/>
      <c r="M3" s="2"/>
      <c r="N3" s="2"/>
      <c r="O3" s="2"/>
      <c r="P3" s="2"/>
      <c r="Q3" s="2"/>
      <c r="R3" s="2"/>
      <c r="S3" s="2"/>
      <c r="T3" s="2"/>
      <c r="U3" s="2"/>
      <c r="V3" s="2"/>
      <c r="W3" s="2"/>
      <c r="X3" s="2"/>
      <c r="Y3" s="2"/>
      <c r="Z3" s="2"/>
    </row>
    <row r="4" spans="1:26" ht="13.5" customHeight="1" x14ac:dyDescent="0.25">
      <c r="A4" s="2"/>
      <c r="B4" s="2"/>
      <c r="C4" s="186" t="s">
        <v>164</v>
      </c>
      <c r="D4" s="187"/>
      <c r="E4" s="187"/>
      <c r="F4" s="187"/>
      <c r="G4" s="188"/>
      <c r="H4" s="2"/>
      <c r="I4" s="2"/>
      <c r="J4" s="2"/>
      <c r="K4" s="2"/>
      <c r="L4" s="2"/>
      <c r="M4" s="2"/>
      <c r="N4" s="2"/>
      <c r="O4" s="2"/>
      <c r="P4" s="2"/>
      <c r="Q4" s="2"/>
      <c r="R4" s="2"/>
      <c r="S4" s="2"/>
      <c r="T4" s="2"/>
      <c r="U4" s="2"/>
      <c r="V4" s="2"/>
      <c r="W4" s="2"/>
      <c r="X4" s="2"/>
      <c r="Y4" s="2"/>
      <c r="Z4" s="2"/>
    </row>
    <row r="5" spans="1:26" ht="13.5" customHeight="1" x14ac:dyDescent="0.25">
      <c r="A5" s="2"/>
      <c r="B5" s="2"/>
      <c r="C5" s="189"/>
      <c r="D5" s="190"/>
      <c r="E5" s="2"/>
      <c r="F5" s="2"/>
      <c r="G5" s="2"/>
      <c r="H5" s="2"/>
      <c r="I5" s="2"/>
      <c r="J5" s="2"/>
      <c r="K5" s="2"/>
      <c r="L5" s="2"/>
      <c r="M5" s="2"/>
      <c r="N5" s="2"/>
      <c r="O5" s="2"/>
      <c r="P5" s="2"/>
      <c r="Q5" s="2"/>
      <c r="R5" s="2"/>
      <c r="S5" s="2"/>
      <c r="T5" s="2"/>
      <c r="U5" s="2"/>
      <c r="V5" s="2"/>
      <c r="W5" s="2"/>
      <c r="X5" s="2"/>
      <c r="Y5" s="2"/>
      <c r="Z5" s="2"/>
    </row>
    <row r="6" spans="1:26" ht="13.5" customHeight="1" x14ac:dyDescent="0.25">
      <c r="A6" s="2"/>
      <c r="B6" s="2"/>
      <c r="C6" s="4" t="s">
        <v>165</v>
      </c>
      <c r="D6" s="190"/>
      <c r="E6" s="2"/>
      <c r="F6" s="2"/>
      <c r="G6" s="2"/>
      <c r="H6" s="2"/>
      <c r="I6" s="2"/>
      <c r="J6" s="2"/>
      <c r="K6" s="2"/>
      <c r="L6" s="2"/>
      <c r="M6" s="2"/>
      <c r="N6" s="2"/>
      <c r="O6" s="2"/>
      <c r="P6" s="2"/>
      <c r="Q6" s="2"/>
      <c r="R6" s="2"/>
      <c r="S6" s="2"/>
      <c r="T6" s="2"/>
      <c r="U6" s="2"/>
      <c r="V6" s="2"/>
      <c r="W6" s="2"/>
      <c r="X6" s="2"/>
      <c r="Y6" s="2"/>
      <c r="Z6" s="2"/>
    </row>
    <row r="7" spans="1:26" ht="13.5" customHeight="1" x14ac:dyDescent="0.25">
      <c r="A7" s="2"/>
      <c r="B7" s="2"/>
      <c r="C7" s="189" t="s">
        <v>166</v>
      </c>
      <c r="D7" s="190">
        <f ca="1">SUM(Model!F158:AG158)</f>
        <v>0</v>
      </c>
      <c r="E7" s="2"/>
      <c r="F7" s="2"/>
      <c r="G7" s="2"/>
      <c r="H7" s="2"/>
      <c r="I7" s="2"/>
      <c r="J7" s="2"/>
      <c r="K7" s="2"/>
      <c r="L7" s="2"/>
      <c r="M7" s="2"/>
      <c r="N7" s="2"/>
      <c r="O7" s="2"/>
      <c r="P7" s="2"/>
      <c r="Q7" s="2"/>
      <c r="R7" s="2"/>
      <c r="S7" s="2"/>
      <c r="T7" s="2"/>
      <c r="U7" s="2"/>
      <c r="V7" s="2"/>
      <c r="W7" s="2"/>
      <c r="X7" s="2"/>
      <c r="Y7" s="2"/>
      <c r="Z7" s="2"/>
    </row>
    <row r="8" spans="1:26" ht="13.5" customHeight="1" x14ac:dyDescent="0.25">
      <c r="A8" s="2"/>
      <c r="B8" s="2"/>
      <c r="C8" s="189" t="s">
        <v>167</v>
      </c>
      <c r="D8" s="190" t="str">
        <f>IF(Case_Scenario="Base","OK!","Check!")</f>
        <v>OK!</v>
      </c>
      <c r="E8" s="2"/>
      <c r="F8" s="2"/>
      <c r="G8" s="2"/>
      <c r="H8" s="2"/>
      <c r="I8" s="2"/>
      <c r="J8" s="2"/>
      <c r="K8" s="2"/>
      <c r="L8" s="2"/>
      <c r="M8" s="2"/>
      <c r="N8" s="2"/>
      <c r="O8" s="2"/>
      <c r="P8" s="2"/>
      <c r="Q8" s="2"/>
      <c r="R8" s="2"/>
      <c r="S8" s="2"/>
      <c r="T8" s="2"/>
      <c r="U8" s="2"/>
      <c r="V8" s="2"/>
      <c r="W8" s="2"/>
      <c r="X8" s="2"/>
      <c r="Y8" s="2"/>
      <c r="Z8" s="2"/>
    </row>
    <row r="9" spans="1:26" ht="13.5" customHeight="1" x14ac:dyDescent="0.25">
      <c r="A9" s="2"/>
      <c r="B9" s="2"/>
      <c r="C9" s="189" t="s">
        <v>168</v>
      </c>
      <c r="D9" s="190" t="str">
        <f>IF(Model!C8="On","OK!","CHECK - OFF")</f>
        <v>OK!</v>
      </c>
      <c r="E9" s="2"/>
      <c r="F9" s="2"/>
      <c r="G9" s="2"/>
      <c r="H9" s="2"/>
      <c r="I9" s="2"/>
      <c r="J9" s="2"/>
      <c r="K9" s="2"/>
      <c r="L9" s="2"/>
      <c r="M9" s="2"/>
      <c r="N9" s="2"/>
      <c r="O9" s="2"/>
      <c r="P9" s="2"/>
      <c r="Q9" s="2"/>
      <c r="R9" s="2"/>
      <c r="S9" s="2"/>
      <c r="T9" s="2"/>
      <c r="U9" s="2"/>
      <c r="V9" s="2"/>
      <c r="W9" s="2"/>
      <c r="X9" s="2"/>
      <c r="Y9" s="2"/>
      <c r="Z9" s="2"/>
    </row>
    <row r="10" spans="1:26" ht="13.5" customHeight="1" x14ac:dyDescent="0.25">
      <c r="A10" s="2"/>
      <c r="B10" s="2"/>
      <c r="C10" s="189" t="s">
        <v>136</v>
      </c>
      <c r="D10" s="190"/>
      <c r="E10" s="2"/>
      <c r="F10" s="2"/>
      <c r="G10" s="2"/>
      <c r="H10" s="2"/>
      <c r="I10" s="2"/>
      <c r="J10" s="2"/>
      <c r="K10" s="2"/>
      <c r="L10" s="2"/>
      <c r="M10" s="2"/>
      <c r="N10" s="2"/>
      <c r="O10" s="2"/>
      <c r="P10" s="2"/>
      <c r="Q10" s="2"/>
      <c r="R10" s="2"/>
      <c r="S10" s="2"/>
      <c r="T10" s="2"/>
      <c r="U10" s="2"/>
      <c r="V10" s="2"/>
      <c r="W10" s="2"/>
      <c r="X10" s="2"/>
      <c r="Y10" s="2"/>
      <c r="Z10" s="2"/>
    </row>
    <row r="11" spans="1:26" ht="13.5" customHeight="1" x14ac:dyDescent="0.25">
      <c r="A11" s="2"/>
      <c r="B11" s="2"/>
      <c r="C11" s="191"/>
      <c r="D11" s="190"/>
      <c r="E11" s="2"/>
      <c r="F11" s="2"/>
      <c r="G11" s="2"/>
      <c r="H11" s="2"/>
      <c r="I11" s="2"/>
      <c r="J11" s="2"/>
      <c r="K11" s="2"/>
      <c r="L11" s="2"/>
      <c r="M11" s="2"/>
      <c r="N11" s="2"/>
      <c r="O11" s="2"/>
      <c r="P11" s="2"/>
      <c r="Q11" s="2"/>
      <c r="R11" s="2"/>
      <c r="S11" s="2"/>
      <c r="T11" s="2"/>
      <c r="U11" s="2"/>
      <c r="V11" s="2"/>
      <c r="W11" s="2"/>
      <c r="X11" s="2"/>
      <c r="Y11" s="2"/>
      <c r="Z11" s="2"/>
    </row>
    <row r="12" spans="1:26" ht="13.5" customHeight="1" x14ac:dyDescent="0.25">
      <c r="A12" s="2"/>
      <c r="B12" s="2"/>
      <c r="C12" s="4" t="s">
        <v>169</v>
      </c>
      <c r="D12" s="190"/>
      <c r="E12" s="2"/>
      <c r="F12" s="2"/>
      <c r="G12" s="2"/>
      <c r="H12" s="2"/>
      <c r="I12" s="2"/>
      <c r="J12" s="2"/>
      <c r="K12" s="2"/>
      <c r="L12" s="2"/>
      <c r="M12" s="2"/>
      <c r="N12" s="2"/>
      <c r="O12" s="2"/>
      <c r="P12" s="2"/>
      <c r="Q12" s="2"/>
      <c r="R12" s="2"/>
      <c r="S12" s="2"/>
      <c r="T12" s="2"/>
      <c r="U12" s="2"/>
      <c r="V12" s="2"/>
      <c r="W12" s="2"/>
      <c r="X12" s="2"/>
      <c r="Y12" s="2"/>
      <c r="Z12" s="2"/>
    </row>
    <row r="13" spans="1:26" ht="13.5" customHeight="1" x14ac:dyDescent="0.25">
      <c r="A13" s="2"/>
      <c r="B13" s="2"/>
      <c r="C13" s="189" t="s">
        <v>170</v>
      </c>
      <c r="D13" s="190">
        <f ca="1">SUM(Valuation!F84,Valuation!K84,Valuation!P84,Valuation!F143:F147,Valuation!L143:L147,Valuation!F219:F223,Valuation!L219:L223)</f>
        <v>0</v>
      </c>
      <c r="E13" s="2"/>
      <c r="F13" s="2"/>
      <c r="G13" s="2"/>
      <c r="H13" s="2"/>
      <c r="I13" s="2"/>
      <c r="J13" s="2"/>
      <c r="K13" s="2"/>
      <c r="L13" s="2"/>
      <c r="M13" s="2"/>
      <c r="N13" s="2"/>
      <c r="O13" s="2"/>
      <c r="P13" s="2"/>
      <c r="Q13" s="2"/>
      <c r="R13" s="2"/>
      <c r="S13" s="2"/>
      <c r="T13" s="2"/>
      <c r="U13" s="2"/>
      <c r="V13" s="2"/>
      <c r="W13" s="2"/>
      <c r="X13" s="2"/>
      <c r="Y13" s="2"/>
      <c r="Z13" s="2"/>
    </row>
    <row r="14" spans="1:26" ht="13.5" customHeight="1" x14ac:dyDescent="0.25">
      <c r="A14" s="2"/>
      <c r="B14" s="2"/>
      <c r="C14" s="189" t="s">
        <v>171</v>
      </c>
      <c r="D14" s="190">
        <f ca="1">SUM(WACC!Q20,WACC!N33:N37)</f>
        <v>0</v>
      </c>
      <c r="E14" s="2"/>
      <c r="F14" s="2"/>
      <c r="G14" s="2"/>
      <c r="H14" s="2"/>
      <c r="I14" s="2"/>
      <c r="J14" s="2"/>
      <c r="K14" s="2"/>
      <c r="L14" s="2"/>
      <c r="M14" s="2"/>
      <c r="N14" s="2"/>
      <c r="O14" s="2"/>
      <c r="P14" s="2"/>
      <c r="Q14" s="2"/>
      <c r="R14" s="2"/>
      <c r="S14" s="2"/>
      <c r="T14" s="2"/>
      <c r="U14" s="2"/>
      <c r="V14" s="2"/>
      <c r="W14" s="2"/>
      <c r="X14" s="2"/>
      <c r="Y14" s="2"/>
      <c r="Z14" s="2"/>
    </row>
    <row r="15" spans="1:26" ht="13.5" customHeight="1" x14ac:dyDescent="0.25">
      <c r="A15" s="2"/>
      <c r="B15" s="2"/>
      <c r="C15" s="189"/>
      <c r="D15" s="2"/>
      <c r="E15" s="2"/>
      <c r="F15" s="2"/>
      <c r="G15" s="2"/>
      <c r="H15" s="2"/>
      <c r="I15" s="2"/>
      <c r="J15" s="2"/>
      <c r="K15" s="2"/>
      <c r="L15" s="2"/>
      <c r="M15" s="2"/>
      <c r="N15" s="2"/>
      <c r="O15" s="2"/>
      <c r="P15" s="2"/>
      <c r="Q15" s="2"/>
      <c r="R15" s="2"/>
      <c r="S15" s="2"/>
      <c r="T15" s="2"/>
      <c r="U15" s="2"/>
      <c r="V15" s="2"/>
      <c r="W15" s="2"/>
      <c r="X15" s="2"/>
      <c r="Y15" s="2"/>
      <c r="Z15" s="2"/>
    </row>
    <row r="16" spans="1:26" ht="13.5" customHeight="1" x14ac:dyDescent="0.25">
      <c r="A16" s="2"/>
      <c r="B16" s="2"/>
      <c r="C16" s="192" t="s">
        <v>172</v>
      </c>
      <c r="D16" s="2"/>
      <c r="E16" s="2"/>
      <c r="F16" s="2"/>
      <c r="G16" s="2"/>
      <c r="H16" s="2"/>
      <c r="I16" s="2"/>
      <c r="J16" s="2"/>
      <c r="K16" s="2"/>
      <c r="L16" s="2"/>
      <c r="M16" s="2"/>
      <c r="N16" s="2"/>
      <c r="O16" s="2"/>
      <c r="P16" s="2"/>
      <c r="Q16" s="2"/>
      <c r="R16" s="2"/>
      <c r="S16" s="2"/>
      <c r="T16" s="2"/>
      <c r="U16" s="2"/>
      <c r="V16" s="2"/>
      <c r="W16" s="2"/>
      <c r="X16" s="2"/>
      <c r="Y16" s="2"/>
      <c r="Z16" s="2"/>
    </row>
    <row r="17" spans="1:26" ht="13.5" customHeight="1" x14ac:dyDescent="0.25">
      <c r="A17" s="2"/>
      <c r="B17" s="2"/>
      <c r="C17" s="189" t="s">
        <v>173</v>
      </c>
      <c r="D17" s="183" t="str">
        <f>Cover!$Q$2</f>
        <v>Report</v>
      </c>
      <c r="E17" s="2"/>
      <c r="F17" s="2"/>
      <c r="G17" s="2"/>
      <c r="H17" s="2"/>
      <c r="I17" s="2"/>
      <c r="J17" s="2"/>
      <c r="K17" s="2"/>
      <c r="L17" s="2"/>
      <c r="M17" s="2"/>
      <c r="N17" s="2"/>
      <c r="O17" s="2"/>
      <c r="P17" s="2"/>
      <c r="Q17" s="2"/>
      <c r="R17" s="2"/>
      <c r="S17" s="2"/>
      <c r="T17" s="2"/>
      <c r="U17" s="2"/>
      <c r="V17" s="2"/>
      <c r="W17" s="2"/>
      <c r="X17" s="2"/>
      <c r="Y17" s="2"/>
      <c r="Z17" s="2"/>
    </row>
    <row r="18" spans="1:26" ht="13.5" customHeight="1" x14ac:dyDescent="0.25">
      <c r="A18" s="2"/>
      <c r="B18" s="2"/>
      <c r="C18" s="189" t="s">
        <v>174</v>
      </c>
      <c r="D18" s="183" t="str">
        <f>'Revenue Build'!$C$22</f>
        <v>Report</v>
      </c>
      <c r="E18" s="2"/>
      <c r="F18" s="2"/>
      <c r="G18" s="2"/>
      <c r="H18" s="2"/>
      <c r="I18" s="2"/>
      <c r="J18" s="2"/>
      <c r="K18" s="2"/>
      <c r="L18" s="2"/>
      <c r="M18" s="2"/>
      <c r="N18" s="2"/>
      <c r="O18" s="2"/>
      <c r="P18" s="2"/>
      <c r="Q18" s="2"/>
      <c r="R18" s="2"/>
      <c r="S18" s="2"/>
      <c r="T18" s="2"/>
      <c r="U18" s="2"/>
      <c r="V18" s="2"/>
      <c r="W18" s="2"/>
      <c r="X18" s="2"/>
      <c r="Y18" s="2"/>
      <c r="Z18" s="2"/>
    </row>
    <row r="19" spans="1:26" ht="13.5" customHeight="1" x14ac:dyDescent="0.25">
      <c r="A19" s="2"/>
      <c r="B19" s="2"/>
      <c r="C19" s="189" t="s">
        <v>165</v>
      </c>
      <c r="D19" s="183" t="str">
        <f>Model!$C$5</f>
        <v>Report</v>
      </c>
      <c r="E19" s="2"/>
      <c r="F19" s="2"/>
      <c r="G19" s="2"/>
      <c r="H19" s="2"/>
      <c r="I19" s="2"/>
      <c r="J19" s="2"/>
      <c r="K19" s="2"/>
      <c r="L19" s="2"/>
      <c r="M19" s="2"/>
      <c r="N19" s="2"/>
      <c r="O19" s="2"/>
      <c r="P19" s="2"/>
      <c r="Q19" s="2"/>
      <c r="R19" s="2"/>
      <c r="S19" s="2"/>
      <c r="T19" s="2"/>
      <c r="U19" s="2"/>
      <c r="V19" s="2"/>
      <c r="W19" s="2"/>
      <c r="X19" s="2"/>
      <c r="Y19" s="2"/>
      <c r="Z19" s="2"/>
    </row>
    <row r="20" spans="1:26" ht="13.5" customHeight="1" x14ac:dyDescent="0.25">
      <c r="A20" s="2"/>
      <c r="B20" s="2"/>
      <c r="C20" s="189" t="s">
        <v>43</v>
      </c>
      <c r="D20" s="183" t="str">
        <f>WACC!R5</f>
        <v>Report</v>
      </c>
      <c r="E20" s="2"/>
      <c r="F20" s="2"/>
      <c r="G20" s="2"/>
      <c r="H20" s="2"/>
      <c r="I20" s="2"/>
      <c r="J20" s="2"/>
      <c r="K20" s="2"/>
      <c r="L20" s="2"/>
      <c r="M20" s="2"/>
      <c r="N20" s="2"/>
      <c r="O20" s="2"/>
      <c r="P20" s="2"/>
      <c r="Q20" s="2"/>
      <c r="R20" s="2"/>
      <c r="S20" s="2"/>
      <c r="T20" s="2"/>
      <c r="U20" s="2"/>
      <c r="V20" s="2"/>
      <c r="W20" s="2"/>
      <c r="X20" s="2"/>
      <c r="Y20" s="2"/>
      <c r="Z20" s="2"/>
    </row>
    <row r="21" spans="1:26" ht="13.5" customHeight="1" x14ac:dyDescent="0.25">
      <c r="A21" s="2"/>
      <c r="B21" s="2"/>
      <c r="C21" s="189" t="s">
        <v>175</v>
      </c>
      <c r="D21" s="183" t="str">
        <f>Valuation!$R$2</f>
        <v>Report</v>
      </c>
      <c r="E21" s="2"/>
      <c r="F21" s="2"/>
      <c r="G21" s="2"/>
      <c r="H21" s="2"/>
      <c r="I21" s="2"/>
      <c r="J21" s="2"/>
      <c r="K21" s="2"/>
      <c r="L21" s="2"/>
      <c r="M21" s="2"/>
      <c r="N21" s="2"/>
      <c r="O21" s="2"/>
      <c r="P21" s="2"/>
      <c r="Q21" s="2"/>
      <c r="R21" s="2"/>
      <c r="S21" s="2"/>
      <c r="T21" s="2"/>
      <c r="U21" s="2"/>
      <c r="V21" s="2"/>
      <c r="W21" s="2"/>
      <c r="X21" s="2"/>
      <c r="Y21" s="2"/>
      <c r="Z21" s="2"/>
    </row>
    <row r="22" spans="1:26" ht="13.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3.5" customHeight="1" x14ac:dyDescent="0.25">
      <c r="A23" s="2"/>
      <c r="B23" s="2"/>
      <c r="C23" s="184" t="s">
        <v>176</v>
      </c>
      <c r="D23" s="185"/>
      <c r="E23" s="185"/>
      <c r="F23" s="184"/>
      <c r="G23" s="184"/>
      <c r="H23" s="2"/>
      <c r="I23" s="2"/>
      <c r="J23" s="2"/>
      <c r="K23" s="2"/>
      <c r="L23" s="2"/>
      <c r="M23" s="2"/>
      <c r="N23" s="2"/>
      <c r="O23" s="2"/>
      <c r="P23" s="2"/>
      <c r="Q23" s="2"/>
      <c r="R23" s="2"/>
      <c r="S23" s="2"/>
      <c r="T23" s="2"/>
      <c r="U23" s="2"/>
      <c r="V23" s="2"/>
      <c r="W23" s="2"/>
      <c r="X23" s="2"/>
      <c r="Y23" s="2"/>
      <c r="Z23" s="2"/>
    </row>
    <row r="24" spans="1:26" ht="13.5" customHeight="1" x14ac:dyDescent="0.25">
      <c r="A24" s="2"/>
      <c r="B24" s="2"/>
      <c r="C24" s="186" t="s">
        <v>177</v>
      </c>
      <c r="D24" s="187" t="s">
        <v>178</v>
      </c>
      <c r="E24" s="187" t="s">
        <v>179</v>
      </c>
      <c r="F24" s="193" t="s">
        <v>180</v>
      </c>
      <c r="G24" s="188"/>
      <c r="H24" s="2"/>
      <c r="I24" s="2"/>
      <c r="J24" s="2"/>
      <c r="K24" s="2"/>
      <c r="L24" s="2"/>
      <c r="M24" s="2"/>
      <c r="N24" s="2"/>
      <c r="O24" s="2"/>
      <c r="P24" s="2"/>
      <c r="Q24" s="2"/>
      <c r="R24" s="2"/>
      <c r="S24" s="2"/>
      <c r="T24" s="2"/>
      <c r="U24" s="2"/>
      <c r="V24" s="2"/>
      <c r="W24" s="2"/>
      <c r="X24" s="2"/>
      <c r="Y24" s="2"/>
      <c r="Z24" s="2"/>
    </row>
    <row r="25" spans="1:26" ht="13.5" customHeight="1" x14ac:dyDescent="0.25">
      <c r="A25" s="2"/>
      <c r="B25" s="2"/>
      <c r="C25" s="194">
        <v>44476</v>
      </c>
      <c r="D25" s="195" t="s">
        <v>181</v>
      </c>
      <c r="E25" s="194" t="s">
        <v>182</v>
      </c>
      <c r="F25" s="196" t="s">
        <v>183</v>
      </c>
      <c r="G25" s="2"/>
      <c r="H25" s="2"/>
      <c r="I25" s="2"/>
      <c r="J25" s="2"/>
      <c r="K25" s="2"/>
      <c r="L25" s="2"/>
      <c r="M25" s="2"/>
      <c r="N25" s="2"/>
      <c r="O25" s="2"/>
      <c r="P25" s="2"/>
      <c r="Q25" s="2"/>
      <c r="R25" s="2"/>
      <c r="S25" s="2"/>
      <c r="T25" s="2"/>
      <c r="U25" s="2"/>
      <c r="V25" s="2"/>
      <c r="W25" s="2"/>
      <c r="X25" s="2"/>
      <c r="Y25" s="2"/>
      <c r="Z25" s="2"/>
    </row>
    <row r="26" spans="1:26" ht="13.5" customHeight="1" x14ac:dyDescent="0.25">
      <c r="A26" s="2"/>
      <c r="B26" s="2"/>
      <c r="C26" s="197">
        <v>44476</v>
      </c>
      <c r="D26" s="183" t="s">
        <v>184</v>
      </c>
      <c r="E26" s="194" t="s">
        <v>185</v>
      </c>
      <c r="F26" s="196" t="s">
        <v>186</v>
      </c>
      <c r="G26" s="2"/>
      <c r="H26" s="2"/>
      <c r="I26" s="2"/>
      <c r="J26" s="2"/>
      <c r="K26" s="2"/>
      <c r="L26" s="2"/>
      <c r="M26" s="2"/>
      <c r="N26" s="2"/>
      <c r="O26" s="2"/>
      <c r="P26" s="2"/>
      <c r="Q26" s="2"/>
      <c r="R26" s="2"/>
      <c r="S26" s="2"/>
      <c r="T26" s="2"/>
      <c r="U26" s="2"/>
      <c r="V26" s="2"/>
      <c r="W26" s="2"/>
      <c r="X26" s="2"/>
      <c r="Y26" s="2"/>
      <c r="Z26" s="2"/>
    </row>
    <row r="27" spans="1:26" ht="13.5" customHeight="1" x14ac:dyDescent="0.25">
      <c r="A27" s="2"/>
      <c r="B27" s="2"/>
      <c r="C27" s="194">
        <v>44480</v>
      </c>
      <c r="D27" s="195" t="s">
        <v>187</v>
      </c>
      <c r="E27" s="194" t="s">
        <v>182</v>
      </c>
      <c r="F27" s="196" t="s">
        <v>188</v>
      </c>
      <c r="G27" s="2"/>
      <c r="H27" s="2"/>
      <c r="I27" s="2"/>
      <c r="J27" s="2"/>
      <c r="K27" s="2"/>
      <c r="L27" s="2"/>
      <c r="M27" s="2"/>
      <c r="N27" s="2"/>
      <c r="O27" s="2"/>
      <c r="P27" s="2"/>
      <c r="Q27" s="2"/>
      <c r="R27" s="2"/>
      <c r="S27" s="2"/>
      <c r="T27" s="2"/>
      <c r="U27" s="2"/>
      <c r="V27" s="2"/>
      <c r="W27" s="2"/>
      <c r="X27" s="2"/>
      <c r="Y27" s="2"/>
      <c r="Z27" s="2"/>
    </row>
    <row r="28" spans="1:26" ht="13.5" customHeight="1" x14ac:dyDescent="0.25">
      <c r="A28" s="2"/>
      <c r="B28" s="2"/>
      <c r="C28" s="194">
        <v>44488</v>
      </c>
      <c r="D28" s="195" t="s">
        <v>189</v>
      </c>
      <c r="E28" s="194" t="s">
        <v>182</v>
      </c>
      <c r="F28" s="196" t="s">
        <v>190</v>
      </c>
      <c r="G28" s="2"/>
      <c r="H28" s="2"/>
      <c r="I28" s="2"/>
      <c r="J28" s="2"/>
      <c r="K28" s="2"/>
      <c r="L28" s="2"/>
      <c r="M28" s="2"/>
      <c r="N28" s="2"/>
      <c r="O28" s="2"/>
      <c r="P28" s="2"/>
      <c r="Q28" s="2"/>
      <c r="R28" s="2"/>
      <c r="S28" s="2"/>
      <c r="T28" s="2"/>
      <c r="U28" s="2"/>
      <c r="V28" s="2"/>
      <c r="W28" s="2"/>
      <c r="X28" s="2"/>
      <c r="Y28" s="2"/>
      <c r="Z28" s="2"/>
    </row>
    <row r="29" spans="1:26" ht="13.5" customHeight="1" x14ac:dyDescent="0.25">
      <c r="A29" s="2"/>
      <c r="B29" s="2"/>
      <c r="C29" s="197">
        <v>44489</v>
      </c>
      <c r="D29" s="183" t="s">
        <v>191</v>
      </c>
      <c r="E29" s="191" t="s">
        <v>192</v>
      </c>
      <c r="F29" s="196" t="s">
        <v>193</v>
      </c>
      <c r="G29" s="2"/>
      <c r="H29" s="2"/>
      <c r="I29" s="2"/>
      <c r="J29" s="2"/>
      <c r="K29" s="2"/>
      <c r="L29" s="2"/>
      <c r="M29" s="2"/>
      <c r="N29" s="2"/>
      <c r="O29" s="2"/>
      <c r="P29" s="2"/>
      <c r="Q29" s="2"/>
      <c r="R29" s="2"/>
      <c r="S29" s="2"/>
      <c r="T29" s="2"/>
      <c r="U29" s="2"/>
      <c r="V29" s="2"/>
      <c r="W29" s="2"/>
      <c r="X29" s="2"/>
      <c r="Y29" s="2"/>
      <c r="Z29" s="2"/>
    </row>
    <row r="30" spans="1:26" ht="13.5" customHeight="1" x14ac:dyDescent="0.25">
      <c r="A30" s="2"/>
      <c r="B30" s="2"/>
      <c r="C30" s="197">
        <v>44491</v>
      </c>
      <c r="D30" s="183" t="s">
        <v>194</v>
      </c>
      <c r="E30" s="191" t="s">
        <v>192</v>
      </c>
      <c r="F30" s="196" t="s">
        <v>195</v>
      </c>
      <c r="G30" s="2"/>
      <c r="H30" s="2"/>
      <c r="I30" s="2"/>
      <c r="J30" s="2"/>
      <c r="K30" s="2"/>
      <c r="L30" s="2"/>
      <c r="M30" s="2"/>
      <c r="N30" s="2"/>
      <c r="O30" s="2"/>
      <c r="P30" s="2"/>
      <c r="Q30" s="2"/>
      <c r="R30" s="2"/>
      <c r="S30" s="2"/>
      <c r="T30" s="2"/>
      <c r="U30" s="2"/>
      <c r="V30" s="2"/>
      <c r="W30" s="2"/>
      <c r="X30" s="2"/>
      <c r="Y30" s="2"/>
      <c r="Z30" s="2"/>
    </row>
    <row r="31" spans="1:26" ht="13.5" customHeight="1" x14ac:dyDescent="0.25">
      <c r="A31" s="2"/>
      <c r="B31" s="2"/>
      <c r="C31" s="198">
        <v>44496</v>
      </c>
      <c r="D31" s="183" t="s">
        <v>196</v>
      </c>
      <c r="E31" s="199" t="s">
        <v>185</v>
      </c>
      <c r="F31" s="200" t="s">
        <v>197</v>
      </c>
      <c r="G31" s="2"/>
      <c r="H31" s="2"/>
      <c r="I31" s="2"/>
      <c r="J31" s="2"/>
      <c r="K31" s="2"/>
      <c r="L31" s="2"/>
      <c r="M31" s="2"/>
      <c r="N31" s="2"/>
      <c r="O31" s="2"/>
      <c r="P31" s="2"/>
      <c r="Q31" s="2"/>
      <c r="R31" s="2"/>
      <c r="S31" s="2"/>
      <c r="T31" s="2"/>
      <c r="U31" s="2"/>
      <c r="V31" s="2"/>
      <c r="W31" s="2"/>
      <c r="X31" s="2"/>
      <c r="Y31" s="2"/>
      <c r="Z31" s="2"/>
    </row>
    <row r="32" spans="1:26" ht="13.5" customHeight="1" x14ac:dyDescent="0.25">
      <c r="A32" s="2"/>
      <c r="B32" s="2"/>
      <c r="C32" s="198">
        <v>44503</v>
      </c>
      <c r="D32" s="183" t="s">
        <v>198</v>
      </c>
      <c r="E32" s="199" t="s">
        <v>192</v>
      </c>
      <c r="F32" s="200" t="s">
        <v>199</v>
      </c>
      <c r="G32" s="2"/>
      <c r="H32" s="2"/>
      <c r="I32" s="2"/>
      <c r="J32" s="2"/>
      <c r="K32" s="2"/>
      <c r="L32" s="2"/>
      <c r="M32" s="2"/>
      <c r="N32" s="2"/>
      <c r="O32" s="2"/>
      <c r="P32" s="2"/>
      <c r="Q32" s="2"/>
      <c r="R32" s="2"/>
      <c r="S32" s="2"/>
      <c r="T32" s="2"/>
      <c r="U32" s="2"/>
      <c r="V32" s="2"/>
      <c r="W32" s="2"/>
      <c r="X32" s="2"/>
      <c r="Y32" s="2"/>
      <c r="Z32" s="2"/>
    </row>
    <row r="33" spans="1:26" ht="13.5" customHeight="1" x14ac:dyDescent="0.25">
      <c r="A33" s="2"/>
      <c r="B33" s="2"/>
      <c r="C33" s="198">
        <v>44512</v>
      </c>
      <c r="D33" s="183" t="s">
        <v>200</v>
      </c>
      <c r="E33" s="2" t="s">
        <v>192</v>
      </c>
      <c r="F33" s="201" t="s">
        <v>201</v>
      </c>
      <c r="G33" s="2"/>
      <c r="H33" s="2"/>
      <c r="I33" s="2"/>
      <c r="J33" s="2"/>
      <c r="K33" s="2"/>
      <c r="L33" s="2"/>
      <c r="M33" s="2"/>
      <c r="N33" s="2"/>
      <c r="O33" s="2"/>
      <c r="P33" s="2"/>
      <c r="Q33" s="2"/>
      <c r="R33" s="2"/>
      <c r="S33" s="2"/>
      <c r="T33" s="2"/>
      <c r="U33" s="2"/>
      <c r="V33" s="2"/>
      <c r="W33" s="2"/>
      <c r="X33" s="2"/>
      <c r="Y33" s="2"/>
      <c r="Z33" s="2"/>
    </row>
    <row r="34" spans="1:26" ht="13.5" customHeight="1" x14ac:dyDescent="0.25">
      <c r="A34" s="2"/>
      <c r="B34" s="2"/>
      <c r="C34" s="198">
        <v>44522</v>
      </c>
      <c r="D34" s="183" t="s">
        <v>202</v>
      </c>
      <c r="E34" s="2" t="s">
        <v>192</v>
      </c>
      <c r="F34" s="201" t="s">
        <v>203</v>
      </c>
      <c r="G34" s="2"/>
      <c r="H34" s="2"/>
      <c r="I34" s="2"/>
      <c r="J34" s="2"/>
      <c r="K34" s="2"/>
      <c r="L34" s="2"/>
      <c r="M34" s="2"/>
      <c r="N34" s="2"/>
      <c r="O34" s="2"/>
      <c r="P34" s="2"/>
      <c r="Q34" s="2"/>
      <c r="R34" s="2"/>
      <c r="S34" s="2"/>
      <c r="T34" s="2"/>
      <c r="U34" s="2"/>
      <c r="V34" s="2"/>
      <c r="W34" s="2"/>
      <c r="X34" s="2"/>
      <c r="Y34" s="2"/>
      <c r="Z34" s="2"/>
    </row>
    <row r="35" spans="1:26" ht="13.5" customHeight="1" x14ac:dyDescent="0.25">
      <c r="A35" s="2"/>
      <c r="B35" s="2"/>
      <c r="C35" s="198">
        <v>44582</v>
      </c>
      <c r="D35" s="183" t="s">
        <v>204</v>
      </c>
      <c r="E35" s="2" t="s">
        <v>185</v>
      </c>
      <c r="F35" s="201" t="s">
        <v>205</v>
      </c>
      <c r="G35" s="2"/>
      <c r="H35" s="2"/>
      <c r="I35" s="2"/>
      <c r="J35" s="2"/>
      <c r="K35" s="2"/>
      <c r="L35" s="2"/>
      <c r="M35" s="2"/>
      <c r="N35" s="2"/>
      <c r="O35" s="2"/>
      <c r="P35" s="2"/>
      <c r="Q35" s="2"/>
      <c r="R35" s="2"/>
      <c r="S35" s="2"/>
      <c r="T35" s="2"/>
      <c r="U35" s="2"/>
      <c r="V35" s="2"/>
      <c r="W35" s="2"/>
      <c r="X35" s="2"/>
      <c r="Y35" s="2"/>
      <c r="Z35" s="2"/>
    </row>
    <row r="36" spans="1:26" ht="13.5" customHeight="1" x14ac:dyDescent="0.25">
      <c r="A36" s="2"/>
      <c r="B36" s="2"/>
      <c r="C36" s="198">
        <v>44584</v>
      </c>
      <c r="D36" s="183" t="s">
        <v>206</v>
      </c>
      <c r="E36" s="2" t="s">
        <v>207</v>
      </c>
      <c r="F36" s="191" t="s">
        <v>208</v>
      </c>
      <c r="G36" s="2"/>
      <c r="H36" s="2"/>
      <c r="I36" s="2"/>
      <c r="J36" s="2"/>
      <c r="K36" s="2"/>
      <c r="L36" s="2"/>
      <c r="M36" s="2"/>
      <c r="N36" s="2"/>
      <c r="O36" s="2"/>
      <c r="P36" s="2"/>
      <c r="Q36" s="2"/>
      <c r="R36" s="2"/>
      <c r="S36" s="2"/>
      <c r="T36" s="2"/>
      <c r="U36" s="2"/>
      <c r="V36" s="2"/>
      <c r="W36" s="2"/>
      <c r="X36" s="2"/>
      <c r="Y36" s="2"/>
      <c r="Z36" s="2"/>
    </row>
    <row r="37" spans="1:26" ht="153.75" customHeight="1" x14ac:dyDescent="0.25">
      <c r="A37" s="2"/>
      <c r="B37" s="2"/>
      <c r="C37" s="198">
        <v>44587</v>
      </c>
      <c r="D37" s="183" t="s">
        <v>209</v>
      </c>
      <c r="E37" s="199" t="s">
        <v>185</v>
      </c>
      <c r="F37" s="201" t="s">
        <v>210</v>
      </c>
      <c r="G37" s="2"/>
      <c r="H37" s="2"/>
      <c r="I37" s="2"/>
      <c r="J37" s="2"/>
      <c r="K37" s="2"/>
      <c r="L37" s="2"/>
      <c r="M37" s="2"/>
      <c r="N37" s="2"/>
      <c r="O37" s="2"/>
      <c r="P37" s="2"/>
      <c r="Q37" s="2"/>
      <c r="R37" s="2"/>
      <c r="S37" s="2"/>
      <c r="T37" s="2"/>
      <c r="U37" s="2"/>
      <c r="V37" s="2"/>
      <c r="W37" s="2"/>
      <c r="X37" s="2"/>
      <c r="Y37" s="2"/>
      <c r="Z37" s="2"/>
    </row>
    <row r="38" spans="1:26" ht="13.5" customHeight="1" x14ac:dyDescent="0.25">
      <c r="A38" s="2"/>
      <c r="B38" s="2"/>
      <c r="C38" s="198">
        <v>44607</v>
      </c>
      <c r="D38" s="183" t="s">
        <v>211</v>
      </c>
      <c r="E38" s="199" t="s">
        <v>192</v>
      </c>
      <c r="F38" s="201" t="s">
        <v>212</v>
      </c>
      <c r="G38" s="2"/>
      <c r="H38" s="2"/>
      <c r="I38" s="2"/>
      <c r="J38" s="2"/>
      <c r="K38" s="2"/>
      <c r="L38" s="2"/>
      <c r="M38" s="2"/>
      <c r="N38" s="2"/>
      <c r="O38" s="2"/>
      <c r="P38" s="2"/>
      <c r="Q38" s="2"/>
      <c r="R38" s="2"/>
      <c r="S38" s="2"/>
      <c r="T38" s="2"/>
      <c r="U38" s="2"/>
      <c r="V38" s="2"/>
      <c r="W38" s="2"/>
      <c r="X38" s="2"/>
      <c r="Y38" s="2"/>
      <c r="Z38" s="2"/>
    </row>
    <row r="39" spans="1:26" ht="13.5" customHeight="1" x14ac:dyDescent="0.25">
      <c r="A39" s="2"/>
      <c r="B39" s="2"/>
      <c r="C39" s="197">
        <v>44979</v>
      </c>
      <c r="D39" s="183" t="s">
        <v>213</v>
      </c>
      <c r="E39" s="202" t="s">
        <v>214</v>
      </c>
      <c r="F39" s="203" t="s">
        <v>215</v>
      </c>
      <c r="G39" s="2"/>
      <c r="H39" s="2"/>
      <c r="I39" s="2"/>
      <c r="J39" s="2"/>
      <c r="K39" s="2"/>
      <c r="L39" s="2"/>
      <c r="M39" s="2"/>
      <c r="N39" s="2"/>
      <c r="O39" s="2"/>
      <c r="P39" s="2"/>
      <c r="Q39" s="2"/>
      <c r="R39" s="2"/>
      <c r="S39" s="2"/>
      <c r="T39" s="2"/>
      <c r="U39" s="2"/>
      <c r="V39" s="2"/>
      <c r="W39" s="2"/>
      <c r="X39" s="2"/>
      <c r="Y39" s="2"/>
      <c r="Z39" s="2"/>
    </row>
    <row r="40" spans="1:26" ht="13.5" customHeight="1" x14ac:dyDescent="0.25">
      <c r="A40" s="2"/>
      <c r="B40" s="2"/>
      <c r="C40" s="197">
        <v>44990</v>
      </c>
      <c r="D40" s="183" t="s">
        <v>216</v>
      </c>
      <c r="E40" s="202" t="s">
        <v>217</v>
      </c>
      <c r="F40" s="203" t="s">
        <v>218</v>
      </c>
      <c r="G40" s="2"/>
      <c r="H40" s="2"/>
      <c r="I40" s="2"/>
      <c r="J40" s="2"/>
      <c r="K40" s="2"/>
      <c r="L40" s="2"/>
      <c r="M40" s="2"/>
      <c r="N40" s="2"/>
      <c r="O40" s="2"/>
      <c r="P40" s="2"/>
      <c r="Q40" s="2"/>
      <c r="R40" s="2"/>
      <c r="S40" s="2"/>
      <c r="T40" s="2"/>
      <c r="U40" s="2"/>
      <c r="V40" s="2"/>
      <c r="W40" s="2"/>
      <c r="X40" s="2"/>
      <c r="Y40" s="2"/>
      <c r="Z40" s="2"/>
    </row>
    <row r="41" spans="1:26" ht="13.5" customHeight="1" x14ac:dyDescent="0.25">
      <c r="A41" s="2"/>
      <c r="B41" s="2"/>
      <c r="C41" s="197">
        <v>44991</v>
      </c>
      <c r="D41" s="183" t="s">
        <v>219</v>
      </c>
      <c r="E41" s="202" t="s">
        <v>217</v>
      </c>
      <c r="F41" s="203" t="s">
        <v>220</v>
      </c>
      <c r="G41" s="2"/>
      <c r="H41" s="2"/>
      <c r="I41" s="2"/>
      <c r="J41" s="2"/>
      <c r="K41" s="2"/>
      <c r="L41" s="2"/>
      <c r="M41" s="2"/>
      <c r="N41" s="2"/>
      <c r="O41" s="2"/>
      <c r="P41" s="2"/>
      <c r="Q41" s="2"/>
      <c r="R41" s="2"/>
      <c r="S41" s="2"/>
      <c r="T41" s="2"/>
      <c r="U41" s="2"/>
      <c r="V41" s="2"/>
      <c r="W41" s="2"/>
      <c r="X41" s="2"/>
      <c r="Y41" s="2"/>
      <c r="Z41" s="2"/>
    </row>
    <row r="42" spans="1:26" ht="13.5" customHeight="1" x14ac:dyDescent="0.25">
      <c r="A42" s="2"/>
      <c r="B42" s="2"/>
      <c r="C42" s="197">
        <v>45005</v>
      </c>
      <c r="D42" s="183" t="s">
        <v>221</v>
      </c>
      <c r="E42" s="202" t="s">
        <v>222</v>
      </c>
      <c r="F42" s="203" t="s">
        <v>223</v>
      </c>
      <c r="G42" s="2"/>
      <c r="H42" s="2"/>
      <c r="I42" s="2"/>
      <c r="J42" s="2"/>
      <c r="K42" s="2"/>
      <c r="L42" s="2"/>
      <c r="M42" s="2"/>
      <c r="N42" s="2"/>
      <c r="O42" s="2"/>
      <c r="P42" s="2"/>
      <c r="Q42" s="2"/>
      <c r="R42" s="2"/>
      <c r="S42" s="2"/>
      <c r="T42" s="2"/>
      <c r="U42" s="2"/>
      <c r="V42" s="2"/>
      <c r="W42" s="2"/>
      <c r="X42" s="2"/>
      <c r="Y42" s="2"/>
      <c r="Z42" s="2"/>
    </row>
    <row r="43" spans="1:26" ht="13.5" customHeight="1" x14ac:dyDescent="0.25">
      <c r="A43" s="2"/>
      <c r="B43" s="2"/>
      <c r="C43" s="197">
        <v>45130</v>
      </c>
      <c r="D43" s="183" t="s">
        <v>224</v>
      </c>
      <c r="E43" s="202" t="s">
        <v>225</v>
      </c>
      <c r="F43" s="203" t="s">
        <v>226</v>
      </c>
      <c r="G43" s="2"/>
      <c r="H43" s="2"/>
      <c r="I43" s="2"/>
      <c r="J43" s="2"/>
      <c r="K43" s="2"/>
      <c r="L43" s="2"/>
      <c r="M43" s="2"/>
      <c r="N43" s="2"/>
      <c r="O43" s="2"/>
      <c r="P43" s="2"/>
      <c r="Q43" s="2"/>
      <c r="R43" s="2"/>
      <c r="S43" s="2"/>
      <c r="T43" s="2"/>
      <c r="U43" s="2"/>
      <c r="V43" s="2"/>
      <c r="W43" s="2"/>
      <c r="X43" s="2"/>
      <c r="Y43" s="2"/>
      <c r="Z43" s="2"/>
    </row>
    <row r="44" spans="1:26" ht="107.25" customHeight="1" x14ac:dyDescent="0.25">
      <c r="A44" s="2"/>
      <c r="B44" s="2"/>
      <c r="C44" s="197">
        <v>45230</v>
      </c>
      <c r="D44" s="183" t="s">
        <v>227</v>
      </c>
      <c r="E44" s="202" t="s">
        <v>225</v>
      </c>
      <c r="F44" s="203" t="s">
        <v>228</v>
      </c>
      <c r="G44" s="2"/>
      <c r="H44" s="2"/>
      <c r="I44" s="2"/>
      <c r="J44" s="2"/>
      <c r="K44" s="2"/>
      <c r="L44" s="2"/>
      <c r="M44" s="2"/>
      <c r="N44" s="2"/>
      <c r="O44" s="2"/>
      <c r="P44" s="2"/>
      <c r="Q44" s="2"/>
      <c r="R44" s="2"/>
      <c r="S44" s="2"/>
      <c r="T44" s="2"/>
      <c r="U44" s="2"/>
      <c r="V44" s="2"/>
      <c r="W44" s="2"/>
      <c r="X44" s="2"/>
      <c r="Y44" s="2"/>
      <c r="Z44" s="2"/>
    </row>
    <row r="45" spans="1:26" ht="13.5" customHeight="1" x14ac:dyDescent="0.25">
      <c r="A45" s="2"/>
      <c r="B45" s="2"/>
      <c r="C45" s="197">
        <v>45325</v>
      </c>
      <c r="D45" s="183" t="s">
        <v>229</v>
      </c>
      <c r="E45" s="202" t="s">
        <v>230</v>
      </c>
      <c r="F45" s="203" t="s">
        <v>231</v>
      </c>
      <c r="G45" s="2"/>
      <c r="H45" s="2"/>
      <c r="I45" s="2"/>
      <c r="J45" s="2"/>
      <c r="K45" s="2"/>
      <c r="L45" s="2"/>
      <c r="M45" s="2"/>
      <c r="N45" s="2"/>
      <c r="O45" s="2"/>
      <c r="P45" s="2"/>
      <c r="Q45" s="2"/>
      <c r="R45" s="2"/>
      <c r="S45" s="2"/>
      <c r="T45" s="2"/>
      <c r="U45" s="2"/>
      <c r="V45" s="2"/>
      <c r="W45" s="2"/>
      <c r="X45" s="2"/>
      <c r="Y45" s="2"/>
      <c r="Z45" s="2"/>
    </row>
    <row r="46" spans="1:26" ht="90" customHeight="1" x14ac:dyDescent="0.25">
      <c r="A46" s="2"/>
      <c r="B46" s="2"/>
      <c r="C46" s="197">
        <v>45376</v>
      </c>
      <c r="D46" s="183" t="s">
        <v>232</v>
      </c>
      <c r="E46" s="202" t="s">
        <v>225</v>
      </c>
      <c r="F46" s="203" t="s">
        <v>233</v>
      </c>
      <c r="G46" s="2"/>
      <c r="H46" s="2"/>
      <c r="I46" s="2"/>
      <c r="J46" s="2"/>
      <c r="K46" s="2"/>
      <c r="L46" s="2"/>
      <c r="M46" s="2"/>
      <c r="N46" s="2"/>
      <c r="O46" s="2"/>
      <c r="P46" s="2"/>
      <c r="Q46" s="2"/>
      <c r="R46" s="2"/>
      <c r="S46" s="2"/>
      <c r="T46" s="2"/>
      <c r="U46" s="2"/>
      <c r="V46" s="2"/>
      <c r="W46" s="2"/>
      <c r="X46" s="2"/>
      <c r="Y46" s="2"/>
      <c r="Z46" s="2"/>
    </row>
    <row r="47" spans="1:26" ht="13.5" customHeight="1" x14ac:dyDescent="0.25">
      <c r="A47" s="2"/>
      <c r="B47" s="2"/>
      <c r="C47" s="197">
        <v>45581</v>
      </c>
      <c r="D47" s="183" t="s">
        <v>234</v>
      </c>
      <c r="E47" s="202" t="s">
        <v>235</v>
      </c>
      <c r="F47" s="203" t="s">
        <v>236</v>
      </c>
      <c r="G47" s="2"/>
      <c r="H47" s="2"/>
      <c r="I47" s="2"/>
      <c r="J47" s="2"/>
      <c r="K47" s="2"/>
      <c r="L47" s="2"/>
      <c r="M47" s="2"/>
      <c r="N47" s="2"/>
      <c r="O47" s="2"/>
      <c r="P47" s="2"/>
      <c r="Q47" s="2"/>
      <c r="R47" s="2"/>
      <c r="S47" s="2"/>
      <c r="T47" s="2"/>
      <c r="U47" s="2"/>
      <c r="V47" s="2"/>
      <c r="W47" s="2"/>
      <c r="X47" s="2"/>
      <c r="Y47" s="2"/>
      <c r="Z47" s="2"/>
    </row>
    <row r="48" spans="1:26" ht="13.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D5:D14">
    <cfRule type="expression" dxfId="148" priority="1">
      <formula>$AM$2="Report"</formula>
    </cfRule>
  </conditionalFormatting>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355F"/>
  </sheetPr>
  <dimension ref="A1:AK982"/>
  <sheetViews>
    <sheetView showGridLines="0" zoomScale="80" zoomScaleNormal="80" workbookViewId="0"/>
  </sheetViews>
  <sheetFormatPr defaultColWidth="14.42578125" defaultRowHeight="15" customHeight="1" outlineLevelRow="2" outlineLevelCol="1" x14ac:dyDescent="0.25"/>
  <cols>
    <col min="1" max="2" width="1.7109375" customWidth="1"/>
    <col min="3" max="3" width="51.28515625" customWidth="1"/>
    <col min="4" max="5" width="1.7109375" customWidth="1"/>
    <col min="6" max="7" width="12.85546875" hidden="1" customWidth="1" outlineLevel="1"/>
    <col min="8" max="8" width="13.140625" hidden="1" customWidth="1" outlineLevel="1"/>
    <col min="9" max="9" width="12.85546875" hidden="1" customWidth="1" outlineLevel="1"/>
    <col min="10" max="10" width="12.85546875" customWidth="1" collapsed="1"/>
    <col min="11" max="11" width="12.85546875" hidden="1" customWidth="1" outlineLevel="1"/>
    <col min="12" max="12" width="13.140625" hidden="1" customWidth="1" outlineLevel="1"/>
    <col min="13" max="14" width="12.85546875" hidden="1" customWidth="1" outlineLevel="1"/>
    <col min="15" max="15" width="12.85546875" customWidth="1" collapsed="1"/>
    <col min="16" max="19" width="12.85546875" hidden="1" customWidth="1" outlineLevel="1"/>
    <col min="20" max="20" width="13.42578125" customWidth="1" collapsed="1"/>
    <col min="21" max="21" width="12.85546875" hidden="1" customWidth="1" outlineLevel="1"/>
    <col min="22" max="22" width="13.140625" hidden="1" customWidth="1" outlineLevel="1"/>
    <col min="23" max="23" width="12.85546875" hidden="1" customWidth="1" outlineLevel="1"/>
    <col min="24" max="24" width="13.140625" hidden="1" customWidth="1" outlineLevel="1"/>
    <col min="25" max="25" width="12.85546875" customWidth="1" collapsed="1"/>
    <col min="26" max="27" width="13.140625" hidden="1" customWidth="1" outlineLevel="1"/>
    <col min="28" max="28" width="12.85546875" hidden="1" customWidth="1" outlineLevel="1"/>
    <col min="29" max="29" width="13.140625" hidden="1" customWidth="1" outlineLevel="1"/>
    <col min="30" max="30" width="13.42578125" customWidth="1" collapsed="1"/>
    <col min="31" max="33" width="13.42578125" customWidth="1"/>
    <col min="34" max="34" width="1.7109375" customWidth="1"/>
    <col min="35" max="36" width="12.85546875" customWidth="1"/>
  </cols>
  <sheetData>
    <row r="1" spans="1:36" ht="12.75" customHeight="1" x14ac:dyDescent="0.35">
      <c r="A1" s="204"/>
      <c r="B1" s="204"/>
      <c r="C1" s="5" t="str">
        <f ca="1">Company_Name&amp;" - "&amp;MID(CELL("filename",A1),FIND("]",CELL("filename",A1))+1,255)&amp;": "&amp;Case_Scenario&amp;" Case"</f>
        <v>American Express Company - Revenue Build: Base Case</v>
      </c>
      <c r="D1" s="204"/>
      <c r="E1" s="204"/>
      <c r="F1" s="204"/>
      <c r="G1" s="204"/>
      <c r="H1" s="204"/>
      <c r="I1" s="204"/>
      <c r="J1" s="204"/>
      <c r="K1" s="204"/>
      <c r="L1" s="204"/>
      <c r="M1" s="204"/>
      <c r="N1" s="204"/>
      <c r="O1" s="204"/>
      <c r="P1" s="204"/>
      <c r="Q1" s="204"/>
      <c r="R1" s="204"/>
      <c r="S1" s="204"/>
      <c r="T1" s="204"/>
      <c r="U1" s="204"/>
      <c r="V1" s="204"/>
      <c r="W1" s="204"/>
      <c r="X1" s="204"/>
      <c r="Y1" s="204"/>
      <c r="Z1" s="204"/>
      <c r="AA1" s="204"/>
      <c r="AB1" s="204"/>
      <c r="AC1" s="204"/>
      <c r="AD1" s="204"/>
      <c r="AE1" s="204"/>
      <c r="AF1" s="204"/>
      <c r="AG1" s="204"/>
      <c r="AH1" s="204"/>
      <c r="AI1" s="204"/>
      <c r="AJ1" s="204"/>
    </row>
    <row r="2" spans="1:36" ht="12.75" customHeight="1" x14ac:dyDescent="0.25">
      <c r="A2" s="9"/>
      <c r="B2" s="9"/>
      <c r="C2" s="7" t="str">
        <f>Cover!C2</f>
        <v>$ in Millions Except Per Share Data</v>
      </c>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row>
    <row r="3" spans="1:36" ht="12.75" customHeight="1" x14ac:dyDescent="0.25">
      <c r="A3" s="3"/>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row>
    <row r="4" spans="1:36" ht="12.75" customHeight="1" x14ac:dyDescent="0.25">
      <c r="A4" s="205" t="s">
        <v>0</v>
      </c>
      <c r="B4" s="9"/>
      <c r="C4" s="50" t="s">
        <v>237</v>
      </c>
      <c r="D4" s="13"/>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row>
    <row r="5" spans="1:36" ht="12.75" hidden="1" customHeight="1" outlineLevel="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row>
    <row r="6" spans="1:36" ht="12.75" hidden="1" customHeight="1" outlineLevel="1" x14ac:dyDescent="0.25">
      <c r="A6" s="9"/>
      <c r="B6" s="9"/>
      <c r="C6" s="95" t="str">
        <f>C30&amp;" Methodology"</f>
        <v>Total Company Revenue Methodology</v>
      </c>
      <c r="D6" s="206"/>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row>
    <row r="7" spans="1:36" ht="12.75" hidden="1" customHeight="1" outlineLevel="1" x14ac:dyDescent="0.25">
      <c r="A7" s="9"/>
      <c r="B7" s="9"/>
      <c r="C7" s="103" t="s">
        <v>238</v>
      </c>
      <c r="D7" s="37"/>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row>
    <row r="8" spans="1:36" ht="12.75" hidden="1" customHeight="1" outlineLevel="1" x14ac:dyDescent="0.25">
      <c r="A8" s="9"/>
      <c r="B8" s="9"/>
      <c r="C8" s="95" t="str">
        <f>C33&amp;" Methodology"</f>
        <v>Discount Revenue Methodology</v>
      </c>
      <c r="D8" s="206"/>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row>
    <row r="9" spans="1:36" ht="12.75" hidden="1" customHeight="1" outlineLevel="1" x14ac:dyDescent="0.25">
      <c r="A9" s="9"/>
      <c r="B9" s="9"/>
      <c r="C9" s="103" t="str">
        <f>IF(Company_Rev_Methodology="Segment","Segment",IF(Company_Rev_Methodology="Activity-Based","Activity-Based",IF(Company_Rev_Methodology="Backlog","Backlog",IF(Company_Rev_Methodology="Mixed",D9,"--"))))</f>
        <v>Segment</v>
      </c>
      <c r="D9" s="37" t="s">
        <v>239</v>
      </c>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row>
    <row r="10" spans="1:36" ht="12.75" hidden="1" customHeight="1" outlineLevel="1" x14ac:dyDescent="0.25">
      <c r="A10" s="9"/>
      <c r="B10" s="9"/>
      <c r="C10" s="95" t="str">
        <f>C41&amp;" Methodology"</f>
        <v>Net Card Fees Revenue Methodology</v>
      </c>
      <c r="D10" s="206"/>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row>
    <row r="11" spans="1:36" ht="12.75" hidden="1" customHeight="1" outlineLevel="1" x14ac:dyDescent="0.25">
      <c r="A11" s="9"/>
      <c r="B11" s="9"/>
      <c r="C11" s="103" t="str">
        <f>IF(Company_Rev_Methodology="Segment","Segment",IF(Company_Rev_Methodology="Activity-Based","Activity-Based",IF(Company_Rev_Methodology="Backlog","Backlog",IF(Company_Rev_Methodology="Mixed",D11,"--"))))</f>
        <v>Segment</v>
      </c>
      <c r="D11" s="37" t="s">
        <v>240</v>
      </c>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row>
    <row r="12" spans="1:36" ht="12.75" hidden="1" customHeight="1" outlineLevel="1" x14ac:dyDescent="0.25">
      <c r="A12" s="9"/>
      <c r="B12" s="9"/>
      <c r="C12" s="95" t="str">
        <f>C45&amp;" Methodology"</f>
        <v>Service Fees and Other Revenue Methodology</v>
      </c>
      <c r="D12" s="206"/>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row>
    <row r="13" spans="1:36" ht="12.75" hidden="1" customHeight="1" outlineLevel="1" x14ac:dyDescent="0.25">
      <c r="A13" s="9"/>
      <c r="B13" s="9"/>
      <c r="C13" s="103" t="str">
        <f>IF(Company_Rev_Methodology="Segment","Segment",IF(Company_Rev_Methodology="Activity-Based","Activity-Based",IF(Company_Rev_Methodology="Backlog","Backlog",IF(Company_Rev_Methodology="Mixed",D13,"--"))))</f>
        <v>Segment</v>
      </c>
      <c r="D13" s="37" t="s">
        <v>238</v>
      </c>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row>
    <row r="14" spans="1:36" ht="12.75" hidden="1" customHeight="1" outlineLevel="1" x14ac:dyDescent="0.25">
      <c r="A14" s="9"/>
      <c r="B14" s="9"/>
      <c r="C14" s="95" t="e">
        <f>#REF!&amp;" Methodology"</f>
        <v>#REF!</v>
      </c>
      <c r="D14" s="206"/>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row>
    <row r="15" spans="1:36" ht="12.75" hidden="1" customHeight="1" outlineLevel="1" x14ac:dyDescent="0.25">
      <c r="A15" s="9"/>
      <c r="B15" s="9"/>
      <c r="C15" s="103" t="str">
        <f>IF(Company_Rev_Methodology="Segment","Segment",IF(Company_Rev_Methodology="Activity-Based","Activity-Based",IF(Company_Rev_Methodology="Backlog","Backlog",IF(Company_Rev_Methodology="Mixed",D15,"--"))))</f>
        <v>Segment</v>
      </c>
      <c r="D15" s="37" t="s">
        <v>238</v>
      </c>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row>
    <row r="16" spans="1:36" ht="12.75" hidden="1" customHeight="1" outlineLevel="1" x14ac:dyDescent="0.25">
      <c r="A16" s="9"/>
      <c r="B16" s="9"/>
      <c r="C16" s="95" t="e">
        <f>#REF!&amp;" Methodology"</f>
        <v>#REF!</v>
      </c>
      <c r="D16" s="206"/>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row>
    <row r="17" spans="1:36" ht="12.75" hidden="1" customHeight="1" outlineLevel="1" x14ac:dyDescent="0.25">
      <c r="A17" s="9"/>
      <c r="B17" s="9"/>
      <c r="C17" s="103" t="str">
        <f>IF(Company_Rev_Methodology="Segment","Segment",IF(Company_Rev_Methodology="Activity-Based","Activity-Based",IF(Company_Rev_Methodology="Backlog","Backlog",IF(Company_Rev_Methodology="Mixed",D17,"--"))))</f>
        <v>Segment</v>
      </c>
      <c r="D17" s="37" t="s">
        <v>238</v>
      </c>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row>
    <row r="18" spans="1:36" ht="12.75" hidden="1" customHeight="1" outlineLevel="1" x14ac:dyDescent="0.25">
      <c r="A18" s="9"/>
      <c r="B18" s="9"/>
      <c r="C18" s="95" t="e">
        <f>#REF!&amp;" Methodology"</f>
        <v>#REF!</v>
      </c>
      <c r="D18" s="206"/>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row>
    <row r="19" spans="1:36" ht="12.75" hidden="1" customHeight="1" outlineLevel="1" x14ac:dyDescent="0.25">
      <c r="A19" s="9"/>
      <c r="B19" s="9"/>
      <c r="C19" s="103" t="str">
        <f>IF(Company_Rev_Methodology="Segment","Segment",IF(Company_Rev_Methodology="Activity-Based","Activity-Based",IF(Company_Rev_Methodology="Backlog","Backlog",IF(Company_Rev_Methodology="Mixed",D19,"--"))))</f>
        <v>Segment</v>
      </c>
      <c r="D19" s="37" t="s">
        <v>238</v>
      </c>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row>
    <row r="20" spans="1:36" ht="12.75" customHeight="1" collapsed="1" x14ac:dyDescent="0.25">
      <c r="A20" s="9"/>
      <c r="B20" s="9"/>
      <c r="C20" s="103"/>
      <c r="D20" s="37"/>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row>
    <row r="21" spans="1:36" ht="12.75" customHeight="1" x14ac:dyDescent="0.25">
      <c r="A21" s="9"/>
      <c r="B21" s="9"/>
      <c r="C21" s="207" t="s">
        <v>1</v>
      </c>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row>
    <row r="22" spans="1:36" ht="12.75" customHeight="1" x14ac:dyDescent="0.25">
      <c r="A22" s="9"/>
      <c r="B22" s="9"/>
      <c r="C22" s="208" t="s">
        <v>1154</v>
      </c>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row>
    <row r="23" spans="1:36" ht="12.75" customHeight="1" x14ac:dyDescent="0.2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row>
    <row r="24" spans="1:36" ht="12.75" customHeight="1" x14ac:dyDescent="0.25">
      <c r="A24" s="9"/>
      <c r="B24" s="9"/>
      <c r="C24" s="209" t="s">
        <v>241</v>
      </c>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row>
    <row r="25" spans="1:36" ht="12.75" customHeight="1" x14ac:dyDescent="0.25">
      <c r="A25" s="9"/>
      <c r="B25" s="9"/>
      <c r="C25" s="208" t="s">
        <v>98</v>
      </c>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row>
    <row r="26" spans="1:36" ht="12.75" customHeight="1" outlineLevel="1" x14ac:dyDescent="0.25">
      <c r="A26" s="205"/>
      <c r="B26" s="9"/>
      <c r="C26" s="9"/>
      <c r="D26" s="9"/>
      <c r="E26" s="9"/>
      <c r="F26" s="9"/>
      <c r="G26" s="9"/>
      <c r="H26" s="9"/>
      <c r="I26" s="9"/>
      <c r="J26" s="37">
        <v>1</v>
      </c>
      <c r="K26" s="37"/>
      <c r="L26" s="37"/>
      <c r="M26" s="37"/>
      <c r="N26" s="37"/>
      <c r="O26" s="37">
        <v>2</v>
      </c>
      <c r="P26" s="37"/>
      <c r="Q26" s="37"/>
      <c r="R26" s="37"/>
      <c r="S26" s="37"/>
      <c r="T26" s="37">
        <v>3</v>
      </c>
      <c r="U26" s="37"/>
      <c r="V26" s="37"/>
      <c r="W26" s="37"/>
      <c r="X26" s="37"/>
      <c r="Y26" s="37">
        <v>4</v>
      </c>
      <c r="Z26" s="37"/>
      <c r="AA26" s="37"/>
      <c r="AB26" s="37"/>
      <c r="AC26" s="37"/>
      <c r="AD26" s="37">
        <v>5</v>
      </c>
      <c r="AE26" s="37">
        <v>6</v>
      </c>
      <c r="AF26" s="37">
        <v>7</v>
      </c>
      <c r="AG26" s="37">
        <v>8</v>
      </c>
      <c r="AH26" s="9"/>
      <c r="AI26" s="9"/>
      <c r="AJ26" s="9"/>
    </row>
    <row r="27" spans="1:36" ht="12.75" customHeight="1" x14ac:dyDescent="0.25">
      <c r="A27" s="205"/>
      <c r="B27" s="210"/>
      <c r="C27" s="211"/>
      <c r="D27" s="212"/>
      <c r="E27" s="212"/>
      <c r="F27" s="212"/>
      <c r="G27" s="212"/>
      <c r="H27" s="212"/>
      <c r="I27" s="212"/>
      <c r="J27" s="212"/>
      <c r="K27" s="212"/>
      <c r="L27" s="212"/>
      <c r="M27" s="212"/>
      <c r="N27" s="212"/>
      <c r="O27" s="212"/>
      <c r="P27" s="212"/>
      <c r="Q27" s="212"/>
      <c r="R27" s="212"/>
      <c r="S27" s="212"/>
      <c r="T27" s="212"/>
      <c r="U27" s="212"/>
      <c r="V27" s="212"/>
      <c r="W27" s="212"/>
      <c r="X27" s="212"/>
      <c r="Y27" s="212"/>
      <c r="Z27" s="212"/>
      <c r="AA27" s="212"/>
      <c r="AB27" s="212"/>
      <c r="AC27" s="212"/>
      <c r="AD27" s="212"/>
      <c r="AE27" s="212"/>
      <c r="AF27" s="212"/>
      <c r="AG27" s="213"/>
      <c r="AH27" s="210"/>
      <c r="AI27" s="985" t="s">
        <v>99</v>
      </c>
      <c r="AJ27" s="986"/>
    </row>
    <row r="28" spans="1:36" ht="12.75" customHeight="1" x14ac:dyDescent="0.25">
      <c r="A28" s="205" t="s">
        <v>0</v>
      </c>
      <c r="B28" s="9"/>
      <c r="C28" s="214" t="s">
        <v>31</v>
      </c>
      <c r="D28" s="215"/>
      <c r="E28" s="215"/>
      <c r="F28" s="216" t="str">
        <f>Model!F$25</f>
        <v>1Q23</v>
      </c>
      <c r="G28" s="145" t="str">
        <f>Model!G$25</f>
        <v>2Q23</v>
      </c>
      <c r="H28" s="145" t="str">
        <f>Model!H$25</f>
        <v>3Q23</v>
      </c>
      <c r="I28" s="145" t="str">
        <f>Model!I$25</f>
        <v>4Q23</v>
      </c>
      <c r="J28" s="145">
        <f>Model!J$25</f>
        <v>2023</v>
      </c>
      <c r="K28" s="145" t="str">
        <f>Model!K$25</f>
        <v>1Q24</v>
      </c>
      <c r="L28" s="145" t="str">
        <f>Model!L$25</f>
        <v>2Q24</v>
      </c>
      <c r="M28" s="145" t="str">
        <f>Model!M$25</f>
        <v>3Q24</v>
      </c>
      <c r="N28" s="145" t="str">
        <f>Model!N$25</f>
        <v>4Q24</v>
      </c>
      <c r="O28" s="145">
        <f>Model!O$25</f>
        <v>2024</v>
      </c>
      <c r="P28" s="145" t="str">
        <f>Model!P$25</f>
        <v>1Q25</v>
      </c>
      <c r="Q28" s="145" t="str">
        <f>Model!Q$25</f>
        <v>2Q25</v>
      </c>
      <c r="R28" s="145" t="str">
        <f>Model!R$25</f>
        <v>3Q25</v>
      </c>
      <c r="S28" s="145" t="str">
        <f>Model!S$25</f>
        <v>4Q25</v>
      </c>
      <c r="T28" s="145">
        <f>Model!T$25</f>
        <v>2025</v>
      </c>
      <c r="U28" s="145" t="str">
        <f>Model!U$25</f>
        <v>1Q26</v>
      </c>
      <c r="V28" s="145" t="str">
        <f>Model!V$25</f>
        <v>2Q26e</v>
      </c>
      <c r="W28" s="145" t="str">
        <f>Model!W$25</f>
        <v>3Q26e</v>
      </c>
      <c r="X28" s="145" t="str">
        <f>Model!X$25</f>
        <v>4Q26e</v>
      </c>
      <c r="Y28" s="145" t="str">
        <f>Model!Y$25</f>
        <v>2026e</v>
      </c>
      <c r="Z28" s="145" t="str">
        <f>Model!Z$25</f>
        <v>1Q27e</v>
      </c>
      <c r="AA28" s="145" t="str">
        <f>Model!AA$25</f>
        <v>2Q27e</v>
      </c>
      <c r="AB28" s="145" t="str">
        <f>Model!AB$25</f>
        <v>3Q27e</v>
      </c>
      <c r="AC28" s="145" t="str">
        <f>Model!AC$25</f>
        <v>4Q27e</v>
      </c>
      <c r="AD28" s="145" t="str">
        <f>Model!AD$25</f>
        <v>2027e</v>
      </c>
      <c r="AE28" s="145" t="str">
        <f>Model!AE$25</f>
        <v>2028e</v>
      </c>
      <c r="AF28" s="145" t="str">
        <f>Model!AF$25</f>
        <v>2029e</v>
      </c>
      <c r="AG28" s="146" t="str">
        <f>Model!AG$25</f>
        <v>2030e</v>
      </c>
      <c r="AH28" s="217"/>
      <c r="AI28" s="218" t="s">
        <v>100</v>
      </c>
      <c r="AJ28" s="146" t="s">
        <v>101</v>
      </c>
    </row>
    <row r="29" spans="1:36" ht="12.75" customHeight="1" x14ac:dyDescent="0.25">
      <c r="A29" s="9"/>
      <c r="B29" s="9"/>
      <c r="C29" s="9"/>
      <c r="D29" s="9"/>
      <c r="E29" s="9"/>
      <c r="F29" s="219"/>
      <c r="G29" s="219"/>
      <c r="H29" s="219"/>
      <c r="I29" s="219"/>
      <c r="J29" s="220"/>
      <c r="K29" s="219"/>
      <c r="L29" s="219"/>
      <c r="M29" s="219"/>
      <c r="N29" s="219"/>
      <c r="O29" s="220"/>
      <c r="P29" s="219"/>
      <c r="Q29" s="219"/>
      <c r="R29" s="219"/>
      <c r="S29" s="219"/>
      <c r="T29" s="220"/>
      <c r="U29" s="219"/>
      <c r="V29" s="221"/>
      <c r="W29" s="221"/>
      <c r="X29" s="221"/>
      <c r="Y29" s="222"/>
      <c r="Z29" s="221"/>
      <c r="AA29" s="221"/>
      <c r="AB29" s="221"/>
      <c r="AC29" s="221"/>
      <c r="AD29" s="222"/>
      <c r="AE29" s="222"/>
      <c r="AF29" s="222"/>
      <c r="AG29" s="222"/>
      <c r="AH29" s="9"/>
      <c r="AI29" s="137"/>
      <c r="AJ29" s="223"/>
    </row>
    <row r="30" spans="1:36" ht="12.75" customHeight="1" x14ac:dyDescent="0.25">
      <c r="A30" s="9"/>
      <c r="B30" s="9"/>
      <c r="C30" s="9" t="s">
        <v>242</v>
      </c>
      <c r="D30" s="9"/>
      <c r="E30" s="9"/>
      <c r="F30" s="224">
        <f>'Segment Analysis'!F7</f>
        <v>15714</v>
      </c>
      <c r="G30" s="224">
        <f>'Segment Analysis'!G7</f>
        <v>16724</v>
      </c>
      <c r="H30" s="224">
        <f>'Segment Analysis'!H7</f>
        <v>17179</v>
      </c>
      <c r="I30" s="224">
        <f>'Segment Analysis'!I7</f>
        <v>17747</v>
      </c>
      <c r="J30" s="225">
        <f>'Segment Analysis'!J7</f>
        <v>67364</v>
      </c>
      <c r="K30" s="224">
        <f>'Segment Analysis'!K7</f>
        <v>17807</v>
      </c>
      <c r="L30" s="224">
        <f>'Segment Analysis'!L7</f>
        <v>18397</v>
      </c>
      <c r="M30" s="224">
        <f>'Segment Analysis'!M7</f>
        <v>18779</v>
      </c>
      <c r="N30" s="224">
        <f>'Segment Analysis'!N7</f>
        <v>19218</v>
      </c>
      <c r="O30" s="225">
        <f>'Segment Analysis'!O7</f>
        <v>74201</v>
      </c>
      <c r="P30" s="224">
        <f>'Segment Analysis'!P7</f>
        <v>18933</v>
      </c>
      <c r="Q30" s="224">
        <f>'Segment Analysis'!Q7</f>
        <v>19933</v>
      </c>
      <c r="R30" s="224">
        <f>'Segment Analysis'!R7</f>
        <v>20557</v>
      </c>
      <c r="S30" s="224">
        <f>'Segment Analysis'!S7</f>
        <v>21040</v>
      </c>
      <c r="T30" s="225">
        <f>'Segment Analysis'!T7</f>
        <v>80463</v>
      </c>
      <c r="U30" s="224">
        <f>'Segment Analysis'!U7</f>
        <v>20880</v>
      </c>
      <c r="V30" s="226">
        <f t="shared" ref="V30:AG30" si="0">SUM(V33,V37,V41,V45)</f>
        <v>21729.202999999998</v>
      </c>
      <c r="W30" s="226">
        <f t="shared" si="0"/>
        <v>22323.438950000003</v>
      </c>
      <c r="X30" s="226">
        <f t="shared" si="0"/>
        <v>23124.4003792</v>
      </c>
      <c r="Y30" s="227">
        <f>SUM(U30:X30)</f>
        <v>88057.04232919999</v>
      </c>
      <c r="Z30" s="226">
        <f t="shared" si="0"/>
        <v>23062.491167255997</v>
      </c>
      <c r="AA30" s="226">
        <f t="shared" si="0"/>
        <v>24123.962710826741</v>
      </c>
      <c r="AB30" s="226">
        <f t="shared" si="0"/>
        <v>24704.224590130412</v>
      </c>
      <c r="AC30" s="226">
        <f t="shared" si="0"/>
        <v>25658.825330628726</v>
      </c>
      <c r="AD30" s="227">
        <f>SUM(Z30:AC30)</f>
        <v>97549.503798841877</v>
      </c>
      <c r="AE30" s="227">
        <f t="shared" si="0"/>
        <v>104638.90724681984</v>
      </c>
      <c r="AF30" s="227">
        <f t="shared" si="0"/>
        <v>111964.7825308442</v>
      </c>
      <c r="AG30" s="227">
        <f t="shared" si="0"/>
        <v>118840.28275763517</v>
      </c>
      <c r="AH30" s="9"/>
      <c r="AI30" s="228">
        <f>IFERROR((T30/J30)^(1/3)-1,"--")</f>
        <v>6.1018080281917131E-2</v>
      </c>
      <c r="AJ30" s="229">
        <f>IFERROR((AG30/T30)^(1/5)-1,"--")</f>
        <v>8.1118978204195002E-2</v>
      </c>
    </row>
    <row r="31" spans="1:36" ht="12.75" customHeight="1" x14ac:dyDescent="0.25">
      <c r="A31" s="230"/>
      <c r="B31" s="231"/>
      <c r="C31" s="232" t="str">
        <f>IF($C$25="Quarterly","% Growth QoQ","% Growth YoY")</f>
        <v>% Growth QoQ</v>
      </c>
      <c r="D31" s="231"/>
      <c r="E31" s="231"/>
      <c r="F31" s="233"/>
      <c r="G31" s="234">
        <f>IF($C$25="Annual",'Segment Analysis'!G145,'Segment Analysis'!G163)</f>
        <v>6.4273895889016108E-2</v>
      </c>
      <c r="H31" s="234">
        <f>IF($C$25="Annual",'Segment Analysis'!H145,'Segment Analysis'!H163)</f>
        <v>2.7206409949772858E-2</v>
      </c>
      <c r="I31" s="234">
        <f>IF($C$25="Annual",'Segment Analysis'!I145,'Segment Analysis'!I163)</f>
        <v>3.306362419232789E-2</v>
      </c>
      <c r="J31" s="235">
        <f>IF($C$25="Annual",'Segment Analysis'!J145,'Segment Analysis'!J145)</f>
        <v>0</v>
      </c>
      <c r="K31" s="234">
        <f>IF($C$25="Annual",'Segment Analysis'!K145,'Segment Analysis'!K145)</f>
        <v>0.13319333078783258</v>
      </c>
      <c r="L31" s="234">
        <f>IF($C$25="Annual",'Segment Analysis'!L145,'Segment Analysis'!L145)</f>
        <v>0.10003587658454904</v>
      </c>
      <c r="M31" s="234">
        <f>IF($C$25="Annual",'Segment Analysis'!M145,'Segment Analysis'!M145)</f>
        <v>9.3136969555853044E-2</v>
      </c>
      <c r="N31" s="234">
        <f>IF($C$25="Annual",'Segment Analysis'!N145,'Segment Analysis'!N145)</f>
        <v>8.2887248549050607E-2</v>
      </c>
      <c r="O31" s="235">
        <f>IF($C$25="Annual",'Segment Analysis'!O145,'Segment Analysis'!O145)</f>
        <v>0.10149337925301349</v>
      </c>
      <c r="P31" s="234">
        <f>IF($C$25="Annual",'Segment Analysis'!P145,'Segment Analysis'!P145)</f>
        <v>6.3233559836019637E-2</v>
      </c>
      <c r="Q31" s="234">
        <f>IF($C$25="Annual",'Segment Analysis'!Q145,'Segment Analysis'!Q145)</f>
        <v>8.3491873675055617E-2</v>
      </c>
      <c r="R31" s="234">
        <f>IF($C$25="Annual",'Segment Analysis'!R145,'Segment Analysis'!R145)</f>
        <v>9.4680227914159421E-2</v>
      </c>
      <c r="S31" s="234">
        <f>IF($C$25="Annual",'Segment Analysis'!S145,'Segment Analysis'!S145)</f>
        <v>9.4806951816005736E-2</v>
      </c>
      <c r="T31" s="235">
        <f>IF($C$25="Annual",'Segment Analysis'!T145,'Segment Analysis'!T145)</f>
        <v>8.4392393633508922E-2</v>
      </c>
      <c r="U31" s="234">
        <f>IF($C$25="Annual",'Segment Analysis'!U145,'Segment Analysis'!U145)</f>
        <v>0.1028363175408018</v>
      </c>
      <c r="V31" s="236">
        <f t="shared" ref="V31" si="1">IFERROR(V30/U30-1,"--")</f>
        <v>4.0670641762452053E-2</v>
      </c>
      <c r="W31" s="236">
        <f t="shared" ref="W31" si="2">IFERROR(W30/V30-1,"--")</f>
        <v>2.7347342191980317E-2</v>
      </c>
      <c r="X31" s="236">
        <f t="shared" ref="X31" si="3">IFERROR(X30/W30-1,"--")</f>
        <v>3.5879840511759298E-2</v>
      </c>
      <c r="Y31" s="237">
        <f>IFERROR(Y30/T30-1,"--")</f>
        <v>9.4379308864944056E-2</v>
      </c>
      <c r="Z31" s="236">
        <f>IFERROR(Z30/X30-1,"--")</f>
        <v>-2.6772245303142705E-3</v>
      </c>
      <c r="AA31" s="236">
        <f t="shared" ref="AA31:AC31" si="4">IFERROR(AA30/Z30-1,"--")</f>
        <v>4.602588401541885E-2</v>
      </c>
      <c r="AB31" s="236">
        <f t="shared" si="4"/>
        <v>2.4053340085924191E-2</v>
      </c>
      <c r="AC31" s="236">
        <f t="shared" si="4"/>
        <v>3.8641194222290398E-2</v>
      </c>
      <c r="AD31" s="237">
        <f>IFERROR(AD30/Y30-1,"--")</f>
        <v>0.10779900412910148</v>
      </c>
      <c r="AE31" s="237">
        <f t="shared" ref="AE31:AG31" si="5">IFERROR(AE30/AD30-1,"--")</f>
        <v>7.2674930900695545E-2</v>
      </c>
      <c r="AF31" s="237">
        <f t="shared" si="5"/>
        <v>7.0011007155724947E-2</v>
      </c>
      <c r="AG31" s="237">
        <f t="shared" si="5"/>
        <v>6.1407704024226462E-2</v>
      </c>
      <c r="AH31" s="231"/>
      <c r="AI31" s="238"/>
      <c r="AJ31" s="239"/>
    </row>
    <row r="32" spans="1:36" ht="12.75" customHeight="1" x14ac:dyDescent="0.25">
      <c r="A32" s="230"/>
      <c r="B32" s="231"/>
      <c r="C32" s="232"/>
      <c r="D32" s="231"/>
      <c r="E32" s="231"/>
      <c r="F32" s="858"/>
      <c r="G32" s="847"/>
      <c r="H32" s="847"/>
      <c r="I32" s="847"/>
      <c r="J32" s="235"/>
      <c r="K32" s="847"/>
      <c r="L32" s="847"/>
      <c r="M32" s="847"/>
      <c r="N32" s="847"/>
      <c r="O32" s="235"/>
      <c r="P32" s="847"/>
      <c r="Q32" s="847"/>
      <c r="R32" s="847"/>
      <c r="S32" s="847"/>
      <c r="T32" s="235"/>
      <c r="U32" s="847"/>
      <c r="V32" s="857"/>
      <c r="W32" s="857"/>
      <c r="X32" s="857"/>
      <c r="Y32" s="237"/>
      <c r="Z32" s="857"/>
      <c r="AA32" s="857"/>
      <c r="AB32" s="857"/>
      <c r="AC32" s="857"/>
      <c r="AD32" s="237"/>
      <c r="AE32" s="237"/>
      <c r="AF32" s="237"/>
      <c r="AG32" s="237"/>
      <c r="AH32" s="231"/>
      <c r="AI32" s="848"/>
      <c r="AJ32" s="849"/>
    </row>
    <row r="33" spans="1:36" ht="12.75" customHeight="1" x14ac:dyDescent="0.25">
      <c r="A33" s="9"/>
      <c r="B33" s="9"/>
      <c r="C33" s="9" t="str">
        <f>'Segment Analysis'!C8</f>
        <v>Discount Revenue</v>
      </c>
      <c r="D33" s="9"/>
      <c r="E33" s="9"/>
      <c r="F33" s="224">
        <f>'Segment Analysis'!F8</f>
        <v>7947</v>
      </c>
      <c r="G33" s="224">
        <f>'Segment Analysis'!G8</f>
        <v>8481</v>
      </c>
      <c r="H33" s="224">
        <f>'Segment Analysis'!H8</f>
        <v>8408</v>
      </c>
      <c r="I33" s="224">
        <f>'Segment Analysis'!I8</f>
        <v>8580</v>
      </c>
      <c r="J33" s="225">
        <f>'Segment Analysis'!J8</f>
        <v>33416</v>
      </c>
      <c r="K33" s="224">
        <f>'Segment Analysis'!K8</f>
        <v>8380</v>
      </c>
      <c r="L33" s="224">
        <f>'Segment Analysis'!L8</f>
        <v>8855</v>
      </c>
      <c r="M33" s="224">
        <f>'Segment Analysis'!M8</f>
        <v>8780</v>
      </c>
      <c r="N33" s="224">
        <f>'Segment Analysis'!N8</f>
        <v>9177</v>
      </c>
      <c r="O33" s="225">
        <f>'Segment Analysis'!O8</f>
        <v>35192</v>
      </c>
      <c r="P33" s="224">
        <f>'Segment Analysis'!P8</f>
        <v>8743</v>
      </c>
      <c r="Q33" s="224">
        <f>'Segment Analysis'!Q8</f>
        <v>9361</v>
      </c>
      <c r="R33" s="224">
        <f>'Segment Analysis'!R8</f>
        <v>9413</v>
      </c>
      <c r="S33" s="224">
        <f>'Segment Analysis'!S8</f>
        <v>9884</v>
      </c>
      <c r="T33" s="225">
        <f>'Segment Analysis'!T8</f>
        <v>37401</v>
      </c>
      <c r="U33" s="224">
        <f>'Segment Analysis'!U8</f>
        <v>9512</v>
      </c>
      <c r="V33" s="226">
        <f>IF(Segment1_Rev_Methodology="Segment",V51,IF(Segment1_Rev_Methodology="Activity-Based",#REF!,IF(Segment1_Rev_Methodology="Backlog",V147,"--")))</f>
        <v>10082.720000000001</v>
      </c>
      <c r="W33" s="226">
        <f>IF(Segment1_Rev_Methodology="Segment",W51,IF(Segment1_Rev_Methodology="Activity-Based",#REF!,IF(Segment1_Rev_Methodology="Backlog",W147,"--")))</f>
        <v>10233.960800000001</v>
      </c>
      <c r="X33" s="226">
        <f>IF(Segment1_Rev_Methodology="Segment",X51,IF(Segment1_Rev_Methodology="Activity-Based",#REF!,IF(Segment1_Rev_Methodology="Backlog",X147,"--")))</f>
        <v>10796.828643999999</v>
      </c>
      <c r="Y33" s="227">
        <f>SUM(U33:X33)</f>
        <v>40625.509444000003</v>
      </c>
      <c r="Z33" s="226">
        <f>IF(Segment1_Rev_Methodology="Segment",Z51,IF(Segment1_Rev_Methodology="Activity-Based",#REF!,IF(Segment1_Rev_Methodology="Backlog",Z147,"--")))</f>
        <v>10688.860357559999</v>
      </c>
      <c r="AA33" s="226">
        <f>IF(Segment1_Rev_Methodology="Segment",AA51,IF(Segment1_Rev_Methodology="Activity-Based",#REF!,IF(Segment1_Rev_Methodology="Backlog",AA147,"--")))</f>
        <v>11437.0805825892</v>
      </c>
      <c r="AB33" s="226">
        <f>IF(Segment1_Rev_Methodology="Segment",AB51,IF(Segment1_Rev_Methodology="Activity-Based",#REF!,IF(Segment1_Rev_Methodology="Backlog",AB147,"--")))</f>
        <v>11665.822194240984</v>
      </c>
      <c r="AC33" s="226">
        <f>IF(Segment1_Rev_Methodology="Segment",AC51,IF(Segment1_Rev_Methodology="Activity-Based",#REF!,IF(Segment1_Rev_Methodology="Backlog",AC147,"--")))</f>
        <v>12307.442414924237</v>
      </c>
      <c r="AD33" s="227">
        <f>SUM(Z33:AC33)</f>
        <v>46099.205549314429</v>
      </c>
      <c r="AE33" s="227">
        <f>IF(Segment1_Rev_Methodology="Segment",AE51,IF(Segment1_Rev_Methodology="Activity-Based",#REF!,IF(Segment1_Rev_Methodology="Backlog",AE147,"--")))</f>
        <v>49326.149937766444</v>
      </c>
      <c r="AF33" s="227">
        <f>IF(Segment1_Rev_Methodology="Segment",AF51,IF(Segment1_Rev_Methodology="Activity-Based",#REF!,IF(Segment1_Rev_Methodology="Backlog",AF147,"--")))</f>
        <v>52285.718934032433</v>
      </c>
      <c r="AG33" s="227">
        <f>IF(Segment1_Rev_Methodology="Segment",AG51,IF(Segment1_Rev_Methodology="Activity-Based",#REF!,IF(Segment1_Rev_Methodology="Backlog",AG147,"--")))</f>
        <v>55422.862070074385</v>
      </c>
      <c r="AH33" s="9"/>
      <c r="AI33" s="228">
        <f>IFERROR((T33/J33)^(1/3)-1,"--")</f>
        <v>3.8268274831648963E-2</v>
      </c>
      <c r="AJ33" s="229">
        <f>IFERROR((AG33/T33)^(1/5)-1,"--")</f>
        <v>8.183529691128788E-2</v>
      </c>
    </row>
    <row r="34" spans="1:36" ht="12.75" customHeight="1" x14ac:dyDescent="0.25">
      <c r="A34" s="230"/>
      <c r="B34" s="231"/>
      <c r="C34" s="232" t="str">
        <f>IF($C$25="Quarterly","% Growth QoQ","% Growth YoY")</f>
        <v>% Growth QoQ</v>
      </c>
      <c r="D34" s="231"/>
      <c r="E34" s="231"/>
      <c r="F34" s="233"/>
      <c r="G34" s="234">
        <f>IF($C$25="Annual",'Segment Analysis'!G146,'Segment Analysis'!G164)</f>
        <v>6.7195167987919913E-2</v>
      </c>
      <c r="H34" s="234">
        <f>IF($C$25="Annual",'Segment Analysis'!H146,'Segment Analysis'!H164)</f>
        <v>-8.6074755335455722E-3</v>
      </c>
      <c r="I34" s="234">
        <f>IF($C$25="Annual",'Segment Analysis'!I146,'Segment Analysis'!I164)</f>
        <v>2.0456707897240634E-2</v>
      </c>
      <c r="J34" s="235">
        <f>IF($C$25="Annual",'Segment Analysis'!J148,'Segment Analysis'!J148)</f>
        <v>0</v>
      </c>
      <c r="K34" s="234">
        <f>IF($C$25="Annual",'Segment Analysis'!K146,'Segment Analysis'!K146)</f>
        <v>5.4485969548257129E-2</v>
      </c>
      <c r="L34" s="234">
        <f>IF($C$25="Annual",'Segment Analysis'!L146,'Segment Analysis'!L146)</f>
        <v>4.4098573281452724E-2</v>
      </c>
      <c r="M34" s="234">
        <f>IF($C$25="Annual",'Segment Analysis'!M146,'Segment Analysis'!M146)</f>
        <v>4.4243577545195034E-2</v>
      </c>
      <c r="N34" s="234">
        <f>IF($C$25="Annual",'Segment Analysis'!N146,'Segment Analysis'!N146)</f>
        <v>6.9580419580419495E-2</v>
      </c>
      <c r="O34" s="235">
        <f>IF($C$25="Annual",'Segment Analysis'!O146,'Segment Analysis'!O146)</f>
        <v>5.3148192482643131E-2</v>
      </c>
      <c r="P34" s="234">
        <f>IF($C$25="Annual",'Segment Analysis'!P146,'Segment Analysis'!P146)</f>
        <v>4.3317422434367536E-2</v>
      </c>
      <c r="Q34" s="234">
        <f>IF($C$25="Annual",'Segment Analysis'!Q146,'Segment Analysis'!Q146)</f>
        <v>5.7142857142857162E-2</v>
      </c>
      <c r="R34" s="234">
        <f>IF($C$25="Annual",'Segment Analysis'!R146,'Segment Analysis'!R146)</f>
        <v>7.2095671981776688E-2</v>
      </c>
      <c r="S34" s="234">
        <f>IF($C$25="Annual",'Segment Analysis'!S146,'Segment Analysis'!S146)</f>
        <v>7.7040427154843716E-2</v>
      </c>
      <c r="T34" s="235">
        <f>IF($C$25="Annual",'Segment Analysis'!T146,'Segment Analysis'!T146)</f>
        <v>6.2769947715389796E-2</v>
      </c>
      <c r="U34" s="234">
        <f>IF($C$25="Annual",'Segment Analysis'!U146,'Segment Analysis'!U146)</f>
        <v>8.7956079149033473E-2</v>
      </c>
      <c r="V34" s="236">
        <f t="shared" ref="V34" si="6">IFERROR(V33/U33-1,"--")</f>
        <v>6.0000000000000053E-2</v>
      </c>
      <c r="W34" s="236">
        <f t="shared" ref="W34" si="7">IFERROR(W33/V33-1,"--")</f>
        <v>1.4999999999999902E-2</v>
      </c>
      <c r="X34" s="236">
        <f t="shared" ref="X34" si="8">IFERROR(X33/W33-1,"--")</f>
        <v>5.4999999999999938E-2</v>
      </c>
      <c r="Y34" s="237">
        <f>IFERROR(Y33/T33-1,"--")</f>
        <v>8.6214524852276764E-2</v>
      </c>
      <c r="Z34" s="236">
        <f>IFERROR(Z33/X33-1,"--")</f>
        <v>-1.0000000000000009E-2</v>
      </c>
      <c r="AA34" s="236">
        <f t="shared" ref="AA34:AC34" si="9">IFERROR(AA33/Z33-1,"--")</f>
        <v>7.0000000000000062E-2</v>
      </c>
      <c r="AB34" s="236">
        <f t="shared" si="9"/>
        <v>2.0000000000000018E-2</v>
      </c>
      <c r="AC34" s="236">
        <f t="shared" si="9"/>
        <v>5.4999999999999938E-2</v>
      </c>
      <c r="AD34" s="237">
        <f>IFERROR(AD33/Y33-1,"--")</f>
        <v>0.13473544529600567</v>
      </c>
      <c r="AE34" s="237">
        <f t="shared" ref="AE34:AG34" si="10">IFERROR(AE33/AD33-1,"--")</f>
        <v>7.0000000000000062E-2</v>
      </c>
      <c r="AF34" s="237">
        <f t="shared" si="10"/>
        <v>6.0000000000000053E-2</v>
      </c>
      <c r="AG34" s="237">
        <f t="shared" si="10"/>
        <v>6.0000000000000053E-2</v>
      </c>
      <c r="AH34" s="231"/>
      <c r="AI34" s="238"/>
      <c r="AJ34" s="239"/>
    </row>
    <row r="35" spans="1:36" ht="12.75" customHeight="1" x14ac:dyDescent="0.25">
      <c r="A35" s="230"/>
      <c r="B35" s="231"/>
      <c r="C35" s="84" t="s">
        <v>243</v>
      </c>
      <c r="D35" s="231"/>
      <c r="E35" s="231"/>
      <c r="F35" s="234">
        <f>'Segment Analysis'!F14</f>
        <v>0.50572737686139746</v>
      </c>
      <c r="G35" s="234">
        <f>'Segment Analysis'!G14</f>
        <v>0.50711552260224824</v>
      </c>
      <c r="H35" s="234">
        <f>'Segment Analysis'!H14</f>
        <v>0.48943477501600791</v>
      </c>
      <c r="I35" s="234">
        <f>'Segment Analysis'!I14</f>
        <v>0.48346199357637909</v>
      </c>
      <c r="J35" s="235">
        <f>'Segment Analysis'!J14</f>
        <v>0.49605130336678344</v>
      </c>
      <c r="K35" s="234">
        <f>'Segment Analysis'!K14</f>
        <v>0.47060144886842253</v>
      </c>
      <c r="L35" s="234">
        <f>'Segment Analysis'!L14</f>
        <v>0.48132847746915258</v>
      </c>
      <c r="M35" s="234">
        <f>'Segment Analysis'!M14</f>
        <v>0.46754353266947124</v>
      </c>
      <c r="N35" s="234">
        <f>'Segment Analysis'!N14</f>
        <v>0.47752107399313143</v>
      </c>
      <c r="O35" s="235">
        <f>'Segment Analysis'!O14</f>
        <v>0.47427932238109999</v>
      </c>
      <c r="P35" s="234">
        <f>'Segment Analysis'!P14</f>
        <v>0.46178629905456081</v>
      </c>
      <c r="Q35" s="234">
        <f>'Segment Analysis'!Q14</f>
        <v>0.46962323784678672</v>
      </c>
      <c r="R35" s="234">
        <f>'Segment Analysis'!R14</f>
        <v>0.45789755314491415</v>
      </c>
      <c r="S35" s="234">
        <f>'Segment Analysis'!S14</f>
        <v>0.46977186311787072</v>
      </c>
      <c r="T35" s="235">
        <f>'Segment Analysis'!T14</f>
        <v>0.46482234070318035</v>
      </c>
      <c r="U35" s="234">
        <f>'Segment Analysis'!U14</f>
        <v>0.45555555555555555</v>
      </c>
      <c r="V35" s="236">
        <f t="shared" ref="V35:X35" si="11">V33/V$30</f>
        <v>0.46401701893990321</v>
      </c>
      <c r="W35" s="236">
        <f t="shared" si="11"/>
        <v>0.45844015444582742</v>
      </c>
      <c r="X35" s="236">
        <f t="shared" si="11"/>
        <v>0.46690199386581976</v>
      </c>
      <c r="Y35" s="237">
        <f t="shared" ref="Y35:AG35" si="12">Y33/Y$30</f>
        <v>0.46135446262346763</v>
      </c>
      <c r="Z35" s="236">
        <f t="shared" si="12"/>
        <v>0.46347379734657573</v>
      </c>
      <c r="AA35" s="236">
        <f t="shared" si="12"/>
        <v>0.47409626352374862</v>
      </c>
      <c r="AB35" s="236">
        <f t="shared" si="12"/>
        <v>0.47221972710293436</v>
      </c>
      <c r="AC35" s="236">
        <f t="shared" si="12"/>
        <v>0.47965728190342938</v>
      </c>
      <c r="AD35" s="237">
        <f t="shared" si="12"/>
        <v>0.4725724248108551</v>
      </c>
      <c r="AE35" s="237">
        <f t="shared" si="12"/>
        <v>0.4713939703270893</v>
      </c>
      <c r="AF35" s="237">
        <f t="shared" si="12"/>
        <v>0.46698361531340177</v>
      </c>
      <c r="AG35" s="237">
        <f t="shared" si="12"/>
        <v>0.46636427298902244</v>
      </c>
      <c r="AH35" s="231"/>
      <c r="AI35" s="240"/>
      <c r="AJ35" s="241"/>
    </row>
    <row r="36" spans="1:36" ht="12.75" customHeight="1" x14ac:dyDescent="0.25">
      <c r="A36" s="230"/>
      <c r="B36" s="231"/>
      <c r="C36" s="84"/>
      <c r="D36" s="231"/>
      <c r="E36" s="231"/>
      <c r="F36" s="847"/>
      <c r="G36" s="847"/>
      <c r="H36" s="847"/>
      <c r="I36" s="847"/>
      <c r="J36" s="235"/>
      <c r="K36" s="847"/>
      <c r="L36" s="847"/>
      <c r="M36" s="847"/>
      <c r="N36" s="847"/>
      <c r="O36" s="235"/>
      <c r="P36" s="847"/>
      <c r="Q36" s="847"/>
      <c r="R36" s="847"/>
      <c r="S36" s="847"/>
      <c r="T36" s="235"/>
      <c r="U36" s="847"/>
      <c r="V36" s="857"/>
      <c r="W36" s="857"/>
      <c r="X36" s="857"/>
      <c r="Y36" s="237"/>
      <c r="Z36" s="857"/>
      <c r="AA36" s="857"/>
      <c r="AB36" s="857"/>
      <c r="AC36" s="857"/>
      <c r="AD36" s="237"/>
      <c r="AE36" s="237"/>
      <c r="AF36" s="237"/>
      <c r="AG36" s="237"/>
      <c r="AH36" s="231"/>
      <c r="AI36" s="848"/>
      <c r="AJ36" s="849"/>
    </row>
    <row r="37" spans="1:36" ht="12.75" customHeight="1" x14ac:dyDescent="0.25">
      <c r="A37" s="230"/>
      <c r="B37" s="231"/>
      <c r="C37" s="9" t="str">
        <f>'Segment Analysis'!C11</f>
        <v>Interest Income</v>
      </c>
      <c r="D37" s="231"/>
      <c r="E37" s="231"/>
      <c r="F37" s="224">
        <f>'Segment Analysis'!F11</f>
        <v>4416</v>
      </c>
      <c r="G37" s="224">
        <f>'Segment Analysis'!G11</f>
        <v>4775</v>
      </c>
      <c r="H37" s="224">
        <f>'Segment Analysis'!H11</f>
        <v>5240</v>
      </c>
      <c r="I37" s="224">
        <f>'Segment Analysis'!I11</f>
        <v>5552</v>
      </c>
      <c r="J37" s="225">
        <f>'Segment Analysis'!J11</f>
        <v>19983</v>
      </c>
      <c r="K37" s="224">
        <f>'Segment Analysis'!K11</f>
        <v>5775</v>
      </c>
      <c r="L37" s="224">
        <f>'Segment Analysis'!L11</f>
        <v>5794</v>
      </c>
      <c r="M37" s="224">
        <f>'Segment Analysis'!M11</f>
        <v>6149</v>
      </c>
      <c r="N37" s="224">
        <f>'Segment Analysis'!N11</f>
        <v>6077</v>
      </c>
      <c r="O37" s="225">
        <f>'Segment Analysis'!O11</f>
        <v>23795</v>
      </c>
      <c r="P37" s="224">
        <f>'Segment Analysis'!P11</f>
        <v>6135</v>
      </c>
      <c r="Q37" s="224">
        <f>'Segment Analysis'!Q11</f>
        <v>6264</v>
      </c>
      <c r="R37" s="224">
        <f>'Segment Analysis'!R11</f>
        <v>6617</v>
      </c>
      <c r="S37" s="224">
        <f>'Segment Analysis'!S11</f>
        <v>6582</v>
      </c>
      <c r="T37" s="225">
        <f>'Segment Analysis'!T11</f>
        <v>25598</v>
      </c>
      <c r="U37" s="224">
        <f>'Segment Analysis'!U11</f>
        <v>6665</v>
      </c>
      <c r="V37" s="226">
        <f t="shared" ref="V37:X37" si="13">V57</f>
        <v>6702.4800000000005</v>
      </c>
      <c r="W37" s="226">
        <f t="shared" si="13"/>
        <v>6898.2749999999996</v>
      </c>
      <c r="X37" s="226">
        <f t="shared" si="13"/>
        <v>6937.0667999999996</v>
      </c>
      <c r="Y37" s="227">
        <f>SUM(U37:X37)</f>
        <v>27202.821799999998</v>
      </c>
      <c r="Z37" s="226">
        <f>Z57</f>
        <v>6930.1297331999995</v>
      </c>
      <c r="AA37" s="226">
        <f t="shared" ref="AA37:AC37" si="14">AA57</f>
        <v>6999.4310305319996</v>
      </c>
      <c r="AB37" s="226">
        <f t="shared" si="14"/>
        <v>7174.4168062952986</v>
      </c>
      <c r="AC37" s="226">
        <f t="shared" si="14"/>
        <v>7353.7772264526802</v>
      </c>
      <c r="AD37" s="227">
        <f>SUM(Z37:AC37)</f>
        <v>28457.754796479978</v>
      </c>
      <c r="AE37" s="227">
        <f>IF(Segment1_Rev_Methodology="Segment",AE57,IF(Segment1_Rev_Methodology="Activity-Based",#REF!,IF(Segment1_Rev_Methodology="Backlog",AE150,"--")))</f>
        <v>29738.353762321574</v>
      </c>
      <c r="AF37" s="227">
        <f>IF(Segment1_Rev_Methodology="Segment",AF57,IF(Segment1_Rev_Methodology="Activity-Based",#REF!,IF(Segment1_Rev_Methodology="Backlog",AF150,"--")))</f>
        <v>31522.654988060869</v>
      </c>
      <c r="AG37" s="227">
        <f>IF(Segment1_Rev_Methodology="Segment",AG57,IF(Segment1_Rev_Methodology="Activity-Based",#REF!,IF(Segment1_Rev_Methodology="Backlog",AG150,"--")))</f>
        <v>33571.627562284826</v>
      </c>
      <c r="AH37" s="231"/>
      <c r="AI37" s="228">
        <f>IFERROR((T37/J37)^(1/3)-1,"--")</f>
        <v>8.6046571139847261E-2</v>
      </c>
      <c r="AJ37" s="229">
        <f>IFERROR((AG37/T37)^(1/5)-1,"--")</f>
        <v>5.5730995586859455E-2</v>
      </c>
    </row>
    <row r="38" spans="1:36" ht="12.75" customHeight="1" x14ac:dyDescent="0.25">
      <c r="A38" s="230"/>
      <c r="B38" s="231"/>
      <c r="C38" s="232" t="str">
        <f>IF($C$25="Quarterly","% Growth QoQ","% Growth YoY")</f>
        <v>% Growth QoQ</v>
      </c>
      <c r="D38" s="231"/>
      <c r="E38" s="231"/>
      <c r="F38" s="847"/>
      <c r="G38" s="234">
        <f>IF($C$25="Annual",'Segment Analysis'!G150,'Segment Analysis'!G167)</f>
        <v>0</v>
      </c>
      <c r="H38" s="234">
        <f>IF($C$25="Annual",'Segment Analysis'!H150,'Segment Analysis'!H167)</f>
        <v>0</v>
      </c>
      <c r="I38" s="234">
        <f>IF($C$25="Annual",'Segment Analysis'!I150,'Segment Analysis'!I167)</f>
        <v>0</v>
      </c>
      <c r="J38" s="235">
        <f>IF($C$25="Annual",'Segment Analysis'!J152,'Segment Analysis'!J152)</f>
        <v>0</v>
      </c>
      <c r="K38" s="847"/>
      <c r="L38" s="234">
        <f>IF($C$25="Annual",'Segment Analysis'!L149,'Segment Analysis'!Q149)</f>
        <v>8.1118398343113629E-2</v>
      </c>
      <c r="M38" s="234">
        <f>IF($C$25="Annual",'Segment Analysis'!M149,'Segment Analysis'!R149)</f>
        <v>7.6109936575052828E-2</v>
      </c>
      <c r="N38" s="234">
        <f>IF($C$25="Annual",'Segment Analysis'!N149,'Segment Analysis'!S149)</f>
        <v>8.3100213921342814E-2</v>
      </c>
      <c r="O38" s="235">
        <f>IF($C$25="Annual",'Segment Analysis'!O149,'Segment Analysis'!T149)</f>
        <v>7.5772221054843492E-2</v>
      </c>
      <c r="P38" s="234">
        <f>IF($C$25="Annual",'Segment Analysis'!P149,'Segment Analysis'!U149)</f>
        <v>8.6389568052159804E-2</v>
      </c>
      <c r="Q38" s="234">
        <f>IF($C$25="Annual",'Segment Analysis'!Q149,'Segment Analysis'!V149)</f>
        <v>7.0000000000000062E-2</v>
      </c>
      <c r="R38" s="234">
        <f>IF($C$25="Annual",'Segment Analysis'!R149,'Segment Analysis'!W149)</f>
        <v>4.2507934109112799E-2</v>
      </c>
      <c r="S38" s="234">
        <f>IF($C$25="Annual",'Segment Analysis'!S149,'Segment Analysis'!X149)</f>
        <v>5.394512306289867E-2</v>
      </c>
      <c r="T38" s="235">
        <f>IF($C$25="Annual",'Segment Analysis'!T149,'Segment Analysis'!Y149)</f>
        <v>6.2693249472614898E-2</v>
      </c>
      <c r="U38" s="234">
        <f>IF($C$25="Annual",'Segment Analysis'!U149,'Segment Analysis'!Z149)</f>
        <v>3.9779404831207676E-2</v>
      </c>
      <c r="V38" s="236">
        <f t="shared" ref="V38" si="15">IFERROR(V37/U37-1,"--")</f>
        <v>5.623405851463037E-3</v>
      </c>
      <c r="W38" s="236">
        <f t="shared" ref="W38" si="16">IFERROR(W37/V37-1,"--")</f>
        <v>2.9212321409388675E-2</v>
      </c>
      <c r="X38" s="236">
        <f t="shared" ref="X38" si="17">IFERROR(X37/W37-1,"--")</f>
        <v>5.6234058514628149E-3</v>
      </c>
      <c r="Y38" s="237">
        <f>IFERROR(Y37/T37-1,"--")</f>
        <v>6.2693249472614898E-2</v>
      </c>
      <c r="Z38" s="236">
        <f>IFERROR(Z37/X37-1,"--")</f>
        <v>-1.0000000000000009E-3</v>
      </c>
      <c r="AA38" s="236">
        <f t="shared" ref="AA38" si="18">IFERROR(AA37/Z37-1,"--")</f>
        <v>1.0000000000000009E-2</v>
      </c>
      <c r="AB38" s="236">
        <f t="shared" ref="AB38" si="19">IFERROR(AB37/AA37-1,"--")</f>
        <v>2.4999999999999911E-2</v>
      </c>
      <c r="AC38" s="236">
        <f t="shared" ref="AC38" si="20">IFERROR(AC37/AB37-1,"--")</f>
        <v>2.4999999999999911E-2</v>
      </c>
      <c r="AD38" s="237">
        <f>IFERROR(AD37/Y37-1,"--")</f>
        <v>4.6132456614481843E-2</v>
      </c>
      <c r="AE38" s="237">
        <f t="shared" ref="AE38" si="21">IFERROR(AE37/AD37-1,"--")</f>
        <v>4.4999999999999929E-2</v>
      </c>
      <c r="AF38" s="237">
        <f t="shared" ref="AF38" si="22">IFERROR(AF37/AE37-1,"--")</f>
        <v>6.0000000000000053E-2</v>
      </c>
      <c r="AG38" s="237">
        <f t="shared" ref="AG38" si="23">IFERROR(AG37/AF37-1,"--")</f>
        <v>6.4999999999999947E-2</v>
      </c>
      <c r="AH38" s="231"/>
      <c r="AI38" s="848"/>
      <c r="AJ38" s="849"/>
    </row>
    <row r="39" spans="1:36" ht="12.75" customHeight="1" x14ac:dyDescent="0.25">
      <c r="A39" s="230"/>
      <c r="B39" s="231"/>
      <c r="C39" s="84" t="s">
        <v>243</v>
      </c>
      <c r="D39" s="231"/>
      <c r="E39" s="231"/>
      <c r="F39" s="847">
        <f>'Segment Analysis'!F17</f>
        <v>0.2810232913325697</v>
      </c>
      <c r="G39" s="234">
        <f>'Segment Analysis'!G17</f>
        <v>0.28551781870365939</v>
      </c>
      <c r="H39" s="234">
        <f>'Segment Analysis'!H17</f>
        <v>0.30502357529541885</v>
      </c>
      <c r="I39" s="234">
        <f>'Segment Analysis'!I17</f>
        <v>0.31284160703217445</v>
      </c>
      <c r="J39" s="235">
        <f>'Segment Analysis'!J17</f>
        <v>0.29664212338934742</v>
      </c>
      <c r="K39" s="847">
        <f>'Segment Analysis'!K17</f>
        <v>0.32431066434548211</v>
      </c>
      <c r="L39" s="234">
        <f>'Segment Analysis'!L17</f>
        <v>0.31494265369353697</v>
      </c>
      <c r="M39" s="234">
        <f>'Segment Analysis'!M17</f>
        <v>0.32744022578412058</v>
      </c>
      <c r="N39" s="234">
        <f>'Segment Analysis'!N17</f>
        <v>0.3162139660734728</v>
      </c>
      <c r="O39" s="235">
        <f>'Segment Analysis'!O17</f>
        <v>0.32068300966294255</v>
      </c>
      <c r="P39" s="847">
        <f>'Segment Analysis'!P17</f>
        <v>0.3240373950245603</v>
      </c>
      <c r="Q39" s="234">
        <f>'Segment Analysis'!Q17</f>
        <v>0.31425274670144987</v>
      </c>
      <c r="R39" s="234">
        <f>'Segment Analysis'!R17</f>
        <v>0.32188548912779102</v>
      </c>
      <c r="S39" s="234">
        <f>'Segment Analysis'!S17</f>
        <v>0.31283269961977184</v>
      </c>
      <c r="T39" s="235">
        <f>'Segment Analysis'!T17</f>
        <v>0.31813380062886049</v>
      </c>
      <c r="U39" s="847">
        <f>'Segment Analysis'!U17</f>
        <v>0.31920498084291188</v>
      </c>
      <c r="V39" s="236">
        <f t="shared" ref="V39:Y39" si="24">V37/V$30</f>
        <v>0.30845493964965032</v>
      </c>
      <c r="W39" s="236">
        <f t="shared" si="24"/>
        <v>0.30901488858642001</v>
      </c>
      <c r="X39" s="236">
        <f t="shared" si="24"/>
        <v>0.29998904560741702</v>
      </c>
      <c r="Y39" s="237">
        <f t="shared" si="24"/>
        <v>0.30892272872739285</v>
      </c>
      <c r="Z39" s="236">
        <f t="shared" ref="Z39:AC39" si="25">Z37/Z$30</f>
        <v>0.30049354525236027</v>
      </c>
      <c r="AA39" s="236">
        <f t="shared" si="25"/>
        <v>0.29014433136189033</v>
      </c>
      <c r="AB39" s="236">
        <f t="shared" si="25"/>
        <v>0.29041254786687581</v>
      </c>
      <c r="AC39" s="236">
        <f t="shared" si="25"/>
        <v>0.28659835872044143</v>
      </c>
      <c r="AD39" s="237">
        <f t="shared" ref="AD39:AG39" si="26">AD37/AD$30</f>
        <v>0.29172628960945912</v>
      </c>
      <c r="AE39" s="237">
        <f t="shared" si="26"/>
        <v>0.28419977372446592</v>
      </c>
      <c r="AF39" s="237">
        <f t="shared" si="26"/>
        <v>0.28154080484528221</v>
      </c>
      <c r="AG39" s="237">
        <f t="shared" si="26"/>
        <v>0.28249366951399263</v>
      </c>
      <c r="AH39" s="231"/>
      <c r="AI39" s="848"/>
      <c r="AJ39" s="849"/>
    </row>
    <row r="40" spans="1:36" ht="12.75" customHeight="1" x14ac:dyDescent="0.25">
      <c r="A40" s="230"/>
      <c r="B40" s="231"/>
      <c r="C40" s="84"/>
      <c r="D40" s="231"/>
      <c r="E40" s="231"/>
      <c r="F40" s="847"/>
      <c r="G40" s="847"/>
      <c r="H40" s="847"/>
      <c r="I40" s="847"/>
      <c r="J40" s="235"/>
      <c r="K40" s="847"/>
      <c r="L40" s="847"/>
      <c r="M40" s="847"/>
      <c r="N40" s="847"/>
      <c r="O40" s="235"/>
      <c r="P40" s="847"/>
      <c r="Q40" s="847"/>
      <c r="R40" s="847"/>
      <c r="S40" s="847"/>
      <c r="T40" s="235"/>
      <c r="U40" s="847"/>
      <c r="V40" s="857"/>
      <c r="W40" s="857"/>
      <c r="X40" s="857"/>
      <c r="Y40" s="237"/>
      <c r="Z40" s="857"/>
      <c r="AA40" s="857"/>
      <c r="AB40" s="857"/>
      <c r="AC40" s="857"/>
      <c r="AD40" s="237"/>
      <c r="AE40" s="237"/>
      <c r="AF40" s="237"/>
      <c r="AG40" s="237"/>
      <c r="AH40" s="231"/>
      <c r="AI40" s="848"/>
      <c r="AJ40" s="849"/>
    </row>
    <row r="41" spans="1:36" ht="12.75" customHeight="1" x14ac:dyDescent="0.25">
      <c r="A41" s="9"/>
      <c r="B41" s="9"/>
      <c r="C41" s="9" t="str">
        <f>'Segment Analysis'!C9</f>
        <v>Net Card Fees Revenue</v>
      </c>
      <c r="D41" s="9"/>
      <c r="E41" s="9"/>
      <c r="F41" s="224">
        <f>'Segment Analysis'!F9</f>
        <v>1713</v>
      </c>
      <c r="G41" s="224">
        <f>'Segment Analysis'!G9</f>
        <v>1789</v>
      </c>
      <c r="H41" s="224">
        <f>'Segment Analysis'!H9</f>
        <v>1846</v>
      </c>
      <c r="I41" s="224">
        <f>'Segment Analysis'!I9</f>
        <v>1907</v>
      </c>
      <c r="J41" s="225">
        <f>'Segment Analysis'!J9</f>
        <v>7255</v>
      </c>
      <c r="K41" s="224">
        <f>'Segment Analysis'!K9</f>
        <v>1974</v>
      </c>
      <c r="L41" s="224">
        <f>'Segment Analysis'!L9</f>
        <v>2060</v>
      </c>
      <c r="M41" s="224">
        <f>'Segment Analysis'!M9</f>
        <v>2170</v>
      </c>
      <c r="N41" s="224">
        <f>'Segment Analysis'!N9</f>
        <v>2245</v>
      </c>
      <c r="O41" s="225">
        <f>'Segment Analysis'!O9</f>
        <v>8449</v>
      </c>
      <c r="P41" s="224">
        <f>'Segment Analysis'!P9</f>
        <v>2333</v>
      </c>
      <c r="Q41" s="224">
        <f>'Segment Analysis'!Q9</f>
        <v>2480</v>
      </c>
      <c r="R41" s="224">
        <f>'Segment Analysis'!R9</f>
        <v>2551</v>
      </c>
      <c r="S41" s="224">
        <f>'Segment Analysis'!S9</f>
        <v>2629</v>
      </c>
      <c r="T41" s="225">
        <f>'Segment Analysis'!T9</f>
        <v>9993</v>
      </c>
      <c r="U41" s="224">
        <f>'Segment Analysis'!U9</f>
        <v>2752</v>
      </c>
      <c r="V41" s="226">
        <f>IF(Segment2_Rev_Methodology="Segment",V63,IF(Segment2_Rev_Methodology="Activity-Based",V85,IF(Segment2_Rev_Methodology="Backlog",V159,"--")))</f>
        <v>2889.6</v>
      </c>
      <c r="W41" s="226">
        <f>IF(Segment2_Rev_Methodology="Segment",W63,IF(Segment2_Rev_Methodology="Activity-Based",W85,IF(Segment2_Rev_Methodology="Backlog",W159,"--")))</f>
        <v>3034.08</v>
      </c>
      <c r="X41" s="226">
        <f>IF(Segment2_Rev_Methodology="Segment",X63,IF(Segment2_Rev_Methodology="Activity-Based",X85,IF(Segment2_Rev_Methodology="Backlog",X159,"--")))</f>
        <v>3216.1248000000001</v>
      </c>
      <c r="Y41" s="227">
        <f>SUM(U41:X41)</f>
        <v>11891.8048</v>
      </c>
      <c r="Z41" s="226">
        <f>IF(Segment2_Rev_Methodology="Segment",Z63,IF(Segment2_Rev_Methodology="Activity-Based",Z85,IF(Segment2_Rev_Methodology="Backlog",Z159,"--")))</f>
        <v>3312.6085440000002</v>
      </c>
      <c r="AA41" s="226">
        <f>IF(Segment2_Rev_Methodology="Segment",AA63,IF(Segment2_Rev_Methodology="Activity-Based",AA85,IF(Segment2_Rev_Methodology="Backlog",AA159,"--")))</f>
        <v>3445.1128857600002</v>
      </c>
      <c r="AB41" s="226">
        <f>IF(Segment2_Rev_Methodology="Segment",AB63,IF(Segment2_Rev_Methodology="Activity-Based",AB85,IF(Segment2_Rev_Methodology="Backlog",AB159,"--")))</f>
        <v>3514.0151434752001</v>
      </c>
      <c r="AC41" s="226">
        <f>IF(Segment2_Rev_Methodology="Segment",AC63,IF(Segment2_Rev_Methodology="Activity-Based",AC85,IF(Segment2_Rev_Methodology="Backlog",AC159,"--")))</f>
        <v>3619.4355977794562</v>
      </c>
      <c r="AD41" s="227">
        <f>SUM(Z41:AC41)</f>
        <v>13891.172171014658</v>
      </c>
      <c r="AE41" s="227">
        <f>IF(Segment2_Rev_Methodology="Segment",AE63,IF(Segment2_Rev_Methodology="Activity-Based",AE85,IF(Segment2_Rev_Methodology="Backlog",AE159,"--")))</f>
        <v>15835.936274956712</v>
      </c>
      <c r="AF41" s="227">
        <f>IF(Segment2_Rev_Methodology="Segment",AF63,IF(Segment2_Rev_Methodology="Activity-Based",AF85,IF(Segment2_Rev_Methodology="Backlog",AF159,"--")))</f>
        <v>17736.248627951518</v>
      </c>
      <c r="AG41" s="227">
        <f>IF(Segment2_Rev_Methodology="Segment",AG63,IF(Segment2_Rev_Methodology="Activity-Based",AG85,IF(Segment2_Rev_Methodology="Backlog",AG159,"--")))</f>
        <v>18800.423545628611</v>
      </c>
      <c r="AH41" s="9"/>
      <c r="AI41" s="228">
        <f>IFERROR((T41/J41)^(1/3)-1,"--")</f>
        <v>0.11263527204345936</v>
      </c>
      <c r="AJ41" s="229">
        <f>IFERROR((AG41/T41)^(1/5)-1,"--")</f>
        <v>0.13473473520807566</v>
      </c>
    </row>
    <row r="42" spans="1:36" ht="12.75" customHeight="1" x14ac:dyDescent="0.25">
      <c r="A42" s="230"/>
      <c r="B42" s="231"/>
      <c r="C42" s="84" t="s">
        <v>244</v>
      </c>
      <c r="D42" s="231"/>
      <c r="E42" s="231"/>
      <c r="F42" s="233"/>
      <c r="G42" s="234">
        <f>IF($C$25="Annual",'Segment Analysis'!G147,'Segment Analysis'!G165)</f>
        <v>4.4366608289550413E-2</v>
      </c>
      <c r="H42" s="234">
        <f>IF($C$25="Annual",'Segment Analysis'!H147,'Segment Analysis'!H165)</f>
        <v>3.1861375069871523E-2</v>
      </c>
      <c r="I42" s="234">
        <f>IF($C$25="Annual",'Segment Analysis'!I147,'Segment Analysis'!I165)</f>
        <v>3.3044420368363969E-2</v>
      </c>
      <c r="J42" s="235">
        <f>IF($C$25="Annual",'Segment Analysis'!J156,'Segment Analysis'!J156)</f>
        <v>0</v>
      </c>
      <c r="K42" s="234">
        <f>IF($C$25="Annual",'Segment Analysis'!K147,'Segment Analysis'!K165)</f>
        <v>3.5133717881489224E-2</v>
      </c>
      <c r="L42" s="234">
        <f>IF($C$25="Annual",'Segment Analysis'!L147,'Segment Analysis'!L165)</f>
        <v>4.3566362715298901E-2</v>
      </c>
      <c r="M42" s="234">
        <f>IF($C$25="Annual",'Segment Analysis'!M147,'Segment Analysis'!M165)</f>
        <v>5.3398058252427161E-2</v>
      </c>
      <c r="N42" s="234">
        <f>IF($C$25="Annual",'Segment Analysis'!N147,'Segment Analysis'!N165)</f>
        <v>3.4562211981566726E-2</v>
      </c>
      <c r="O42" s="235">
        <f>'Segment Analysis'!O147</f>
        <v>0.16457615437629225</v>
      </c>
      <c r="P42" s="234">
        <f>IF($C$25="Annual",'Segment Analysis'!P147,'Segment Analysis'!P165)</f>
        <v>3.9198218262806339E-2</v>
      </c>
      <c r="Q42" s="234">
        <f>IF($C$25="Annual",'Segment Analysis'!Q147,'Segment Analysis'!Q165)</f>
        <v>6.3009001285897925E-2</v>
      </c>
      <c r="R42" s="234">
        <f>IF($C$25="Annual",'Segment Analysis'!R147,'Segment Analysis'!R165)</f>
        <v>2.8629032258064457E-2</v>
      </c>
      <c r="S42" s="234">
        <f>IF($C$25="Annual",'Segment Analysis'!S147,'Segment Analysis'!S165)</f>
        <v>3.0576244609956893E-2</v>
      </c>
      <c r="T42" s="235">
        <f>'Segment Analysis'!T147</f>
        <v>0.1827435199431886</v>
      </c>
      <c r="U42" s="234">
        <f>IF($C$25="Annual",'Segment Analysis'!U147,'Segment Analysis'!U165)</f>
        <v>4.6785850133130413E-2</v>
      </c>
      <c r="V42" s="236">
        <f t="shared" ref="V42" si="27">IFERROR(V41/U41-1,"--")</f>
        <v>5.0000000000000044E-2</v>
      </c>
      <c r="W42" s="236">
        <f t="shared" ref="W42" si="28">IFERROR(W41/V41-1,"--")</f>
        <v>5.0000000000000044E-2</v>
      </c>
      <c r="X42" s="236">
        <f t="shared" ref="X42" si="29">IFERROR(X41/W41-1,"--")</f>
        <v>6.0000000000000053E-2</v>
      </c>
      <c r="Y42" s="237">
        <f>IFERROR(Y41/T41-1,"--")</f>
        <v>0.19001348944260976</v>
      </c>
      <c r="Z42" s="236">
        <f>IFERROR(Z41/X41-1,"--")</f>
        <v>3.0000000000000027E-2</v>
      </c>
      <c r="AA42" s="236">
        <f t="shared" ref="AA42:AC42" si="30">IFERROR(AA41/Z41-1,"--")</f>
        <v>4.0000000000000036E-2</v>
      </c>
      <c r="AB42" s="236">
        <f t="shared" si="30"/>
        <v>2.0000000000000018E-2</v>
      </c>
      <c r="AC42" s="236">
        <f t="shared" si="30"/>
        <v>3.0000000000000027E-2</v>
      </c>
      <c r="AD42" s="237">
        <f>IFERROR(AD41/Y41-1,"--")</f>
        <v>0.16812985115721513</v>
      </c>
      <c r="AE42" s="237">
        <f t="shared" ref="AE42:AG42" si="31">IFERROR(AE41/AD41-1,"--")</f>
        <v>0.14000000000000012</v>
      </c>
      <c r="AF42" s="237">
        <f t="shared" si="31"/>
        <v>0.12000000000000011</v>
      </c>
      <c r="AG42" s="237">
        <f t="shared" si="31"/>
        <v>6.0000000000000053E-2</v>
      </c>
      <c r="AH42" s="231"/>
      <c r="AI42" s="238"/>
      <c r="AJ42" s="239"/>
    </row>
    <row r="43" spans="1:36" ht="12.75" customHeight="1" x14ac:dyDescent="0.25">
      <c r="A43" s="230"/>
      <c r="B43" s="231"/>
      <c r="C43" s="84" t="s">
        <v>243</v>
      </c>
      <c r="D43" s="231"/>
      <c r="E43" s="231"/>
      <c r="F43" s="234">
        <f>'Segment Analysis'!F15</f>
        <v>0.1090110729285987</v>
      </c>
      <c r="G43" s="234">
        <f>'Segment Analysis'!G15</f>
        <v>0.10697201626405166</v>
      </c>
      <c r="H43" s="234">
        <f>'Segment Analysis'!H15</f>
        <v>0.10745677862506549</v>
      </c>
      <c r="I43" s="234">
        <f>'Segment Analysis'!I15</f>
        <v>0.10745478108976166</v>
      </c>
      <c r="J43" s="235">
        <f>'Segment Analysis'!J15</f>
        <v>0.10769847396235378</v>
      </c>
      <c r="K43" s="234">
        <f>'Segment Analysis'!K15</f>
        <v>0.11085528163081934</v>
      </c>
      <c r="L43" s="234">
        <f>'Segment Analysis'!L15</f>
        <v>0.111974778496494</v>
      </c>
      <c r="M43" s="234">
        <f>'Segment Analysis'!M15</f>
        <v>0.11555460887161191</v>
      </c>
      <c r="N43" s="234">
        <f>'Segment Analysis'!N15</f>
        <v>0.11681756686439795</v>
      </c>
      <c r="O43" s="235">
        <f>'Segment Analysis'!O15</f>
        <v>0.11386638994083638</v>
      </c>
      <c r="P43" s="234">
        <f>'Segment Analysis'!P15</f>
        <v>0.12322400042254265</v>
      </c>
      <c r="Q43" s="234">
        <f>'Segment Analysis'!Q15</f>
        <v>0.12441679626749612</v>
      </c>
      <c r="R43" s="234">
        <f>'Segment Analysis'!R15</f>
        <v>0.12409398258500753</v>
      </c>
      <c r="S43" s="234">
        <f>'Segment Analysis'!S15</f>
        <v>0.12495247148288974</v>
      </c>
      <c r="T43" s="235">
        <f>'Segment Analysis'!T15</f>
        <v>0.12419372879460125</v>
      </c>
      <c r="U43" s="234">
        <f>'Segment Analysis'!U15</f>
        <v>0.13180076628352491</v>
      </c>
      <c r="V43" s="236">
        <f t="shared" ref="V43:X43" si="32">V41/V$30</f>
        <v>0.13298232797585813</v>
      </c>
      <c r="W43" s="236">
        <f t="shared" si="32"/>
        <v>0.13591454286213367</v>
      </c>
      <c r="X43" s="236">
        <f t="shared" si="32"/>
        <v>0.13907927328973463</v>
      </c>
      <c r="Y43" s="237">
        <f t="shared" ref="Y43:AG43" si="33">Y41/Y$30</f>
        <v>0.13504660712476191</v>
      </c>
      <c r="Z43" s="236">
        <f t="shared" si="33"/>
        <v>0.14363619784072695</v>
      </c>
      <c r="AA43" s="236">
        <f t="shared" si="33"/>
        <v>0.14280874693169074</v>
      </c>
      <c r="AB43" s="236">
        <f t="shared" si="33"/>
        <v>0.14224349081084231</v>
      </c>
      <c r="AC43" s="236">
        <f t="shared" si="33"/>
        <v>0.14106006612309591</v>
      </c>
      <c r="AD43" s="237">
        <f t="shared" si="33"/>
        <v>0.14240125915616986</v>
      </c>
      <c r="AE43" s="237">
        <f t="shared" si="33"/>
        <v>0.15133889192481023</v>
      </c>
      <c r="AF43" s="237">
        <f t="shared" si="33"/>
        <v>0.15840917319752321</v>
      </c>
      <c r="AG43" s="237">
        <f t="shared" si="33"/>
        <v>0.15819908123216522</v>
      </c>
      <c r="AH43" s="231"/>
      <c r="AI43" s="238"/>
      <c r="AJ43" s="239"/>
    </row>
    <row r="44" spans="1:36" ht="12.75" customHeight="1" x14ac:dyDescent="0.25">
      <c r="A44" s="230"/>
      <c r="B44" s="231"/>
      <c r="C44" s="84"/>
      <c r="D44" s="231"/>
      <c r="E44" s="231"/>
      <c r="F44" s="847"/>
      <c r="G44" s="847"/>
      <c r="H44" s="847"/>
      <c r="I44" s="847"/>
      <c r="J44" s="235"/>
      <c r="K44" s="847"/>
      <c r="L44" s="847"/>
      <c r="M44" s="847"/>
      <c r="N44" s="847"/>
      <c r="O44" s="235"/>
      <c r="P44" s="847"/>
      <c r="Q44" s="847"/>
      <c r="R44" s="847"/>
      <c r="S44" s="847"/>
      <c r="T44" s="235"/>
      <c r="U44" s="847"/>
      <c r="V44" s="857"/>
      <c r="W44" s="857"/>
      <c r="X44" s="857"/>
      <c r="Y44" s="237"/>
      <c r="Z44" s="857"/>
      <c r="AA44" s="857"/>
      <c r="AB44" s="857"/>
      <c r="AC44" s="857"/>
      <c r="AD44" s="237"/>
      <c r="AE44" s="237"/>
      <c r="AF44" s="237"/>
      <c r="AG44" s="237"/>
      <c r="AH44" s="231"/>
      <c r="AI44" s="848"/>
      <c r="AJ44" s="849"/>
    </row>
    <row r="45" spans="1:36" ht="12.75" customHeight="1" x14ac:dyDescent="0.25">
      <c r="A45" s="9"/>
      <c r="B45" s="9"/>
      <c r="C45" s="9" t="str">
        <f>'Segment Analysis'!C10</f>
        <v>Service Fees and Other Revenue</v>
      </c>
      <c r="D45" s="9"/>
      <c r="E45" s="9"/>
      <c r="F45" s="224">
        <f>'Segment Analysis'!F10</f>
        <v>1638</v>
      </c>
      <c r="G45" s="224">
        <f>'Segment Analysis'!G10</f>
        <v>1679</v>
      </c>
      <c r="H45" s="224">
        <f>'Segment Analysis'!H10</f>
        <v>1685</v>
      </c>
      <c r="I45" s="224">
        <f>'Segment Analysis'!I10</f>
        <v>1708</v>
      </c>
      <c r="J45" s="225">
        <f>'Segment Analysis'!J10</f>
        <v>6710</v>
      </c>
      <c r="K45" s="224">
        <f>'Segment Analysis'!K10</f>
        <v>1678</v>
      </c>
      <c r="L45" s="224">
        <f>'Segment Analysis'!L10</f>
        <v>1688</v>
      </c>
      <c r="M45" s="224">
        <f>'Segment Analysis'!M10</f>
        <v>1680</v>
      </c>
      <c r="N45" s="224">
        <f>'Segment Analysis'!N10</f>
        <v>1719</v>
      </c>
      <c r="O45" s="225">
        <f>'Segment Analysis'!O10</f>
        <v>6765</v>
      </c>
      <c r="P45" s="224">
        <f>'Segment Analysis'!P10</f>
        <v>1722</v>
      </c>
      <c r="Q45" s="224">
        <f>'Segment Analysis'!Q10</f>
        <v>1828</v>
      </c>
      <c r="R45" s="224">
        <f>'Segment Analysis'!R10</f>
        <v>1976</v>
      </c>
      <c r="S45" s="224">
        <f>'Segment Analysis'!S10</f>
        <v>1945</v>
      </c>
      <c r="T45" s="225">
        <f>'Segment Analysis'!T10</f>
        <v>7471</v>
      </c>
      <c r="U45" s="224">
        <f>'Segment Analysis'!U10</f>
        <v>1951</v>
      </c>
      <c r="V45" s="226">
        <f>IF(Segment3_Rev_Methodology="Segment",V69,IF(Segment3_Rev_Methodology="Activity-Based",V97,IF(Segment3_Rev_Methodology="Backlog",V171,"--")))</f>
        <v>2054.4029999999998</v>
      </c>
      <c r="W45" s="226">
        <f>IF(Segment3_Rev_Methodology="Segment",W69,IF(Segment3_Rev_Methodology="Activity-Based",W97,IF(Segment3_Rev_Methodology="Backlog",W171,"--")))</f>
        <v>2157.1231499999999</v>
      </c>
      <c r="X45" s="226">
        <f>IF(Segment3_Rev_Methodology="Segment",X69,IF(Segment3_Rev_Methodology="Activity-Based",X97,IF(Segment3_Rev_Methodology="Backlog",X171,"--")))</f>
        <v>2174.3801352</v>
      </c>
      <c r="Y45" s="227">
        <f>SUM(U45:X45)</f>
        <v>8336.9062851999988</v>
      </c>
      <c r="Z45" s="226">
        <f>IF(Segment3_Rev_Methodology="Segment",Z69,IF(Segment3_Rev_Methodology="Activity-Based",Z97,IF(Segment3_Rev_Methodology="Backlog",Z171,"--")))</f>
        <v>2130.8925324960001</v>
      </c>
      <c r="AA45" s="226">
        <f>IF(Segment3_Rev_Methodology="Segment",AA69,IF(Segment3_Rev_Methodology="Activity-Based",AA97,IF(Segment3_Rev_Methodology="Backlog",AA171,"--")))</f>
        <v>2242.3382119455409</v>
      </c>
      <c r="AB45" s="226">
        <f>IF(Segment3_Rev_Methodology="Segment",AB69,IF(Segment3_Rev_Methodology="Activity-Based",AB97,IF(Segment3_Rev_Methodology="Backlog",AB171,"--")))</f>
        <v>2349.9704461189272</v>
      </c>
      <c r="AC45" s="226">
        <f>IF(Segment3_Rev_Methodology="Segment",AC69,IF(Segment3_Rev_Methodology="Activity-Based",AC97,IF(Segment3_Rev_Methodology="Backlog",AC171,"--")))</f>
        <v>2378.1700914723542</v>
      </c>
      <c r="AD45" s="227">
        <f>SUM(Z45:AC45)</f>
        <v>9101.3712820328219</v>
      </c>
      <c r="AE45" s="227">
        <f>IF(Segment3_Rev_Methodology="Segment",AE69,IF(Segment3_Rev_Methodology="Activity-Based",AE97,IF(Segment3_Rev_Methodology="Backlog",AE171,"--")))</f>
        <v>9738.46727177512</v>
      </c>
      <c r="AF45" s="227">
        <f>IF(Segment3_Rev_Methodology="Segment",AF69,IF(Segment3_Rev_Methodology="Activity-Based",AF97,IF(Segment3_Rev_Methodology="Backlog",AF171,"--")))</f>
        <v>10420.159980799379</v>
      </c>
      <c r="AG45" s="227">
        <f>IF(Segment3_Rev_Methodology="Segment",AG69,IF(Segment3_Rev_Methodology="Activity-Based",AG97,IF(Segment3_Rev_Methodology="Backlog",AG171,"--")))</f>
        <v>11045.369579647342</v>
      </c>
      <c r="AH45" s="9"/>
      <c r="AI45" s="228">
        <f>IFERROR((T45/J45)^(1/3)-1,"--")</f>
        <v>3.6458868809284617E-2</v>
      </c>
      <c r="AJ45" s="229">
        <f>IFERROR((AG45/T45)^(1/5)-1,"--")</f>
        <v>8.1335106863344997E-2</v>
      </c>
    </row>
    <row r="46" spans="1:36" ht="12.75" customHeight="1" x14ac:dyDescent="0.25">
      <c r="A46" s="230"/>
      <c r="B46" s="231"/>
      <c r="C46" s="84" t="s">
        <v>244</v>
      </c>
      <c r="D46" s="231"/>
      <c r="E46" s="231"/>
      <c r="F46" s="233"/>
      <c r="G46" s="234">
        <f>IF($C$25="Annual",'Segment Analysis'!G148,'Segment Analysis'!G166)</f>
        <v>2.5030525030524942E-2</v>
      </c>
      <c r="H46" s="234">
        <f>IF($C$25="Annual",'Segment Analysis'!H148,'Segment Analysis'!H166)</f>
        <v>3.5735556879095132E-3</v>
      </c>
      <c r="I46" s="234">
        <f>IF($C$25="Annual",'Segment Analysis'!I148,'Segment Analysis'!I166)</f>
        <v>1.3649851632047572E-2</v>
      </c>
      <c r="J46" s="235">
        <f>IF($C$25="Annual",'Segment Analysis'!J160,'Segment Analysis'!J160)</f>
        <v>0</v>
      </c>
      <c r="K46" s="234">
        <f>IF($C$25="Annual",'Segment Analysis'!K148,'Segment Analysis'!K166)</f>
        <v>-1.7564402810304469E-2</v>
      </c>
      <c r="L46" s="234">
        <f>IF($C$25="Annual",'Segment Analysis'!L148,'Segment Analysis'!L166)</f>
        <v>5.9594755661502852E-3</v>
      </c>
      <c r="M46" s="234">
        <f>IF($C$25="Annual",'Segment Analysis'!M148,'Segment Analysis'!M166)</f>
        <v>-4.7393364928910442E-3</v>
      </c>
      <c r="N46" s="234">
        <f>IF($C$25="Annual",'Segment Analysis'!N148,'Segment Analysis'!N166)</f>
        <v>2.3214285714285632E-2</v>
      </c>
      <c r="O46" s="235">
        <f>'Segment Analysis'!O148</f>
        <v>8.1967213114753079E-3</v>
      </c>
      <c r="P46" s="234">
        <f>IF($C$25="Annual",'Segment Analysis'!P148,'Segment Analysis'!P166)</f>
        <v>1.7452006980802626E-3</v>
      </c>
      <c r="Q46" s="234">
        <f>IF($C$25="Annual",'Segment Analysis'!Q148,'Segment Analysis'!Q166)</f>
        <v>6.1556329849012714E-2</v>
      </c>
      <c r="R46" s="234">
        <f>IF($C$25="Annual",'Segment Analysis'!R148,'Segment Analysis'!R166)</f>
        <v>8.0962800875273633E-2</v>
      </c>
      <c r="S46" s="234">
        <f>IF($C$25="Annual",'Segment Analysis'!S148,'Segment Analysis'!S166)</f>
        <v>-1.5688259109311709E-2</v>
      </c>
      <c r="T46" s="235">
        <f>'Segment Analysis'!T148</f>
        <v>0.10436067997043597</v>
      </c>
      <c r="U46" s="234">
        <f>IF($C$25="Annual",'Segment Analysis'!U148,'Segment Analysis'!U166)</f>
        <v>3.0848329048842604E-3</v>
      </c>
      <c r="V46" s="236">
        <f t="shared" ref="V46" si="34">IFERROR(V45/U45-1,"--")</f>
        <v>5.2999999999999936E-2</v>
      </c>
      <c r="W46" s="236">
        <f t="shared" ref="W46" si="35">IFERROR(W45/V45-1,"--")</f>
        <v>5.0000000000000044E-2</v>
      </c>
      <c r="X46" s="236">
        <f t="shared" ref="X46" si="36">IFERROR(X45/W45-1,"--")</f>
        <v>8.0000000000000071E-3</v>
      </c>
      <c r="Y46" s="237">
        <f>IFERROR(Y45/T45-1,"--")</f>
        <v>0.11590232702449454</v>
      </c>
      <c r="Z46" s="236">
        <f>IFERROR(Z45/X45-1,"--")</f>
        <v>-2.0000000000000018E-2</v>
      </c>
      <c r="AA46" s="236">
        <f t="shared" ref="AA46:AC46" si="37">IFERROR(AA45/Z45-1,"--")</f>
        <v>5.2300000000000013E-2</v>
      </c>
      <c r="AB46" s="236">
        <f t="shared" si="37"/>
        <v>4.8000000000000043E-2</v>
      </c>
      <c r="AC46" s="236">
        <f t="shared" si="37"/>
        <v>1.2000000000000011E-2</v>
      </c>
      <c r="AD46" s="237">
        <f>IFERROR(AD45/Y45-1,"--")</f>
        <v>9.1696484364941266E-2</v>
      </c>
      <c r="AE46" s="237">
        <f t="shared" ref="AE46:AG46" si="38">IFERROR(AE45/AD45-1,"--")</f>
        <v>7.0000000000000062E-2</v>
      </c>
      <c r="AF46" s="237">
        <f t="shared" si="38"/>
        <v>7.0000000000000062E-2</v>
      </c>
      <c r="AG46" s="237">
        <f t="shared" si="38"/>
        <v>6.0000000000000053E-2</v>
      </c>
      <c r="AH46" s="231"/>
      <c r="AI46" s="238"/>
      <c r="AJ46" s="239"/>
    </row>
    <row r="47" spans="1:36" ht="12.75" customHeight="1" x14ac:dyDescent="0.25">
      <c r="A47" s="230"/>
      <c r="B47" s="231"/>
      <c r="C47" s="84" t="s">
        <v>243</v>
      </c>
      <c r="D47" s="231"/>
      <c r="E47" s="231"/>
      <c r="F47" s="234">
        <f>'Segment Analysis'!F16</f>
        <v>0.10423825887743414</v>
      </c>
      <c r="G47" s="234">
        <f>'Segment Analysis'!G16</f>
        <v>0.10039464243004066</v>
      </c>
      <c r="H47" s="234">
        <f>'Segment Analysis'!H16</f>
        <v>9.8084871063507773E-2</v>
      </c>
      <c r="I47" s="234">
        <f>'Segment Analysis'!I16</f>
        <v>9.6241618301684789E-2</v>
      </c>
      <c r="J47" s="235">
        <f>'Segment Analysis'!J16</f>
        <v>9.9608099281515344E-2</v>
      </c>
      <c r="K47" s="234">
        <f>'Segment Analysis'!K16</f>
        <v>9.4232605155276011E-2</v>
      </c>
      <c r="L47" s="234">
        <f>'Segment Analysis'!L16</f>
        <v>9.1754090340816441E-2</v>
      </c>
      <c r="M47" s="234">
        <f>'Segment Analysis'!M16</f>
        <v>8.9461632674796315E-2</v>
      </c>
      <c r="N47" s="234">
        <f>'Segment Analysis'!N16</f>
        <v>8.9447393068997821E-2</v>
      </c>
      <c r="O47" s="235">
        <f>'Segment Analysis'!O16</f>
        <v>9.1171278015121093E-2</v>
      </c>
      <c r="P47" s="234">
        <f>'Segment Analysis'!P16</f>
        <v>9.0952305498336244E-2</v>
      </c>
      <c r="Q47" s="234">
        <f>'Segment Analysis'!Q16</f>
        <v>9.1707219184267302E-2</v>
      </c>
      <c r="R47" s="234">
        <f>'Segment Analysis'!R16</f>
        <v>9.6122975142287292E-2</v>
      </c>
      <c r="S47" s="234">
        <f>'Segment Analysis'!S16</f>
        <v>9.2442965779467687E-2</v>
      </c>
      <c r="T47" s="235">
        <f>'Segment Analysis'!T16</f>
        <v>9.2850129873357945E-2</v>
      </c>
      <c r="U47" s="234">
        <f>'Segment Analysis'!U16</f>
        <v>9.3438697318007663E-2</v>
      </c>
      <c r="V47" s="236">
        <f t="shared" ref="V47:X47" si="39">V45/V$30</f>
        <v>9.4545713434588466E-2</v>
      </c>
      <c r="W47" s="236">
        <f t="shared" si="39"/>
        <v>9.6630414105618775E-2</v>
      </c>
      <c r="X47" s="236">
        <f t="shared" si="39"/>
        <v>9.4029687237028536E-2</v>
      </c>
      <c r="Y47" s="237">
        <f t="shared" ref="Y47:AG47" si="40">Y45/Y$30</f>
        <v>9.4676201524377737E-2</v>
      </c>
      <c r="Z47" s="236">
        <f t="shared" si="40"/>
        <v>9.2396459560337083E-2</v>
      </c>
      <c r="AA47" s="236">
        <f t="shared" si="40"/>
        <v>9.2950658182670301E-2</v>
      </c>
      <c r="AB47" s="236">
        <f t="shared" si="40"/>
        <v>9.5124234219347417E-2</v>
      </c>
      <c r="AC47" s="236">
        <f t="shared" si="40"/>
        <v>9.2684293253033387E-2</v>
      </c>
      <c r="AD47" s="237">
        <f t="shared" si="40"/>
        <v>9.3300026423516008E-2</v>
      </c>
      <c r="AE47" s="237">
        <f t="shared" si="40"/>
        <v>9.3067364023634608E-2</v>
      </c>
      <c r="AF47" s="237">
        <f t="shared" si="40"/>
        <v>9.3066406643792843E-2</v>
      </c>
      <c r="AG47" s="237">
        <f t="shared" si="40"/>
        <v>9.2942976264819649E-2</v>
      </c>
      <c r="AH47" s="231"/>
      <c r="AI47" s="238"/>
      <c r="AJ47" s="239"/>
    </row>
    <row r="48" spans="1:36" ht="12.75" customHeight="1" x14ac:dyDescent="0.25">
      <c r="A48" s="9"/>
      <c r="B48" s="9"/>
      <c r="C48" s="9"/>
      <c r="D48" s="9"/>
      <c r="E48" s="9"/>
      <c r="F48" s="219"/>
      <c r="G48" s="219"/>
      <c r="H48" s="219"/>
      <c r="I48" s="219"/>
      <c r="J48" s="220"/>
      <c r="K48" s="219"/>
      <c r="L48" s="219"/>
      <c r="M48" s="219"/>
      <c r="N48" s="219"/>
      <c r="O48" s="220"/>
      <c r="P48" s="219"/>
      <c r="Q48" s="219"/>
      <c r="R48" s="219"/>
      <c r="S48" s="219"/>
      <c r="T48" s="220"/>
      <c r="U48" s="219"/>
      <c r="V48" s="221"/>
      <c r="W48" s="221"/>
      <c r="X48" s="221"/>
      <c r="Y48" s="222"/>
      <c r="Z48" s="221"/>
      <c r="AA48" s="221"/>
      <c r="AB48" s="221"/>
      <c r="AC48" s="221"/>
      <c r="AD48" s="222"/>
      <c r="AE48" s="222"/>
      <c r="AF48" s="222"/>
      <c r="AG48" s="222"/>
      <c r="AH48" s="9"/>
      <c r="AI48" s="9"/>
      <c r="AJ48" s="9"/>
    </row>
    <row r="49" spans="1:37" ht="12.75" customHeight="1" x14ac:dyDescent="0.25">
      <c r="A49" s="205" t="s">
        <v>0</v>
      </c>
      <c r="B49" s="9"/>
      <c r="C49" s="50" t="s">
        <v>245</v>
      </c>
      <c r="D49" s="12"/>
      <c r="E49" s="12"/>
      <c r="F49" s="248" t="str">
        <f t="shared" ref="F49:AG49" si="41">F$28</f>
        <v>1Q23</v>
      </c>
      <c r="G49" s="248" t="str">
        <f t="shared" si="41"/>
        <v>2Q23</v>
      </c>
      <c r="H49" s="248" t="str">
        <f t="shared" si="41"/>
        <v>3Q23</v>
      </c>
      <c r="I49" s="248" t="str">
        <f t="shared" si="41"/>
        <v>4Q23</v>
      </c>
      <c r="J49" s="248">
        <f t="shared" si="41"/>
        <v>2023</v>
      </c>
      <c r="K49" s="248" t="str">
        <f t="shared" si="41"/>
        <v>1Q24</v>
      </c>
      <c r="L49" s="248" t="str">
        <f t="shared" si="41"/>
        <v>2Q24</v>
      </c>
      <c r="M49" s="248" t="str">
        <f t="shared" si="41"/>
        <v>3Q24</v>
      </c>
      <c r="N49" s="248" t="str">
        <f t="shared" si="41"/>
        <v>4Q24</v>
      </c>
      <c r="O49" s="248">
        <f t="shared" si="41"/>
        <v>2024</v>
      </c>
      <c r="P49" s="248" t="str">
        <f t="shared" si="41"/>
        <v>1Q25</v>
      </c>
      <c r="Q49" s="248" t="str">
        <f t="shared" si="41"/>
        <v>2Q25</v>
      </c>
      <c r="R49" s="248" t="str">
        <f t="shared" si="41"/>
        <v>3Q25</v>
      </c>
      <c r="S49" s="248" t="str">
        <f t="shared" si="41"/>
        <v>4Q25</v>
      </c>
      <c r="T49" s="248">
        <f t="shared" si="41"/>
        <v>2025</v>
      </c>
      <c r="U49" s="248" t="str">
        <f t="shared" si="41"/>
        <v>1Q26</v>
      </c>
      <c r="V49" s="248" t="str">
        <f t="shared" si="41"/>
        <v>2Q26e</v>
      </c>
      <c r="W49" s="248" t="str">
        <f t="shared" si="41"/>
        <v>3Q26e</v>
      </c>
      <c r="X49" s="248" t="str">
        <f t="shared" si="41"/>
        <v>4Q26e</v>
      </c>
      <c r="Y49" s="248" t="str">
        <f t="shared" si="41"/>
        <v>2026e</v>
      </c>
      <c r="Z49" s="248" t="str">
        <f t="shared" si="41"/>
        <v>1Q27e</v>
      </c>
      <c r="AA49" s="248" t="str">
        <f t="shared" si="41"/>
        <v>2Q27e</v>
      </c>
      <c r="AB49" s="248" t="str">
        <f t="shared" si="41"/>
        <v>3Q27e</v>
      </c>
      <c r="AC49" s="248" t="str">
        <f t="shared" si="41"/>
        <v>4Q27e</v>
      </c>
      <c r="AD49" s="248" t="str">
        <f t="shared" si="41"/>
        <v>2027e</v>
      </c>
      <c r="AE49" s="248" t="str">
        <f t="shared" si="41"/>
        <v>2028e</v>
      </c>
      <c r="AF49" s="248" t="str">
        <f t="shared" si="41"/>
        <v>2029e</v>
      </c>
      <c r="AG49" s="249" t="str">
        <f t="shared" si="41"/>
        <v>2030e</v>
      </c>
      <c r="AH49" s="217" t="s">
        <v>0</v>
      </c>
      <c r="AI49" s="9"/>
      <c r="AJ49" s="9"/>
    </row>
    <row r="50" spans="1:37" ht="12.75" customHeight="1" x14ac:dyDescent="0.25">
      <c r="A50" s="9"/>
      <c r="B50" s="9"/>
      <c r="C50" s="9"/>
      <c r="D50" s="9"/>
      <c r="E50" s="9"/>
      <c r="F50" s="250"/>
      <c r="G50" s="250"/>
      <c r="H50" s="250"/>
      <c r="I50" s="250"/>
      <c r="J50" s="9"/>
      <c r="K50" s="250"/>
      <c r="L50" s="250"/>
      <c r="M50" s="250"/>
      <c r="N50" s="250"/>
      <c r="O50" s="9"/>
      <c r="P50" s="250"/>
      <c r="Q50" s="250"/>
      <c r="R50" s="250"/>
      <c r="S50" s="250"/>
      <c r="T50" s="9"/>
      <c r="U50" s="250"/>
      <c r="V50" s="251"/>
      <c r="W50" s="251"/>
      <c r="X50" s="251"/>
      <c r="Y50" s="9"/>
      <c r="Z50" s="251"/>
      <c r="AA50" s="251"/>
      <c r="AB50" s="251"/>
      <c r="AC50" s="251"/>
      <c r="AD50" s="9"/>
      <c r="AE50" s="9"/>
      <c r="AF50" s="9"/>
      <c r="AG50" s="9"/>
      <c r="AH50" s="9"/>
      <c r="AI50" s="9"/>
      <c r="AJ50" s="9"/>
    </row>
    <row r="51" spans="1:37" ht="12.75" customHeight="1" x14ac:dyDescent="0.25">
      <c r="A51" s="9"/>
      <c r="B51" s="9"/>
      <c r="C51" s="103" t="str">
        <f>C33</f>
        <v>Discount Revenue</v>
      </c>
      <c r="D51" s="9"/>
      <c r="E51" s="9"/>
      <c r="F51" s="252">
        <f t="shared" ref="F51:T51" si="42">F33</f>
        <v>7947</v>
      </c>
      <c r="G51" s="252">
        <f t="shared" si="42"/>
        <v>8481</v>
      </c>
      <c r="H51" s="252">
        <f t="shared" si="42"/>
        <v>8408</v>
      </c>
      <c r="I51" s="252">
        <f t="shared" si="42"/>
        <v>8580</v>
      </c>
      <c r="J51" s="227">
        <f t="shared" si="42"/>
        <v>33416</v>
      </c>
      <c r="K51" s="252">
        <f t="shared" si="42"/>
        <v>8380</v>
      </c>
      <c r="L51" s="252">
        <f t="shared" si="42"/>
        <v>8855</v>
      </c>
      <c r="M51" s="252">
        <f t="shared" si="42"/>
        <v>8780</v>
      </c>
      <c r="N51" s="252">
        <f t="shared" si="42"/>
        <v>9177</v>
      </c>
      <c r="O51" s="227">
        <f t="shared" si="42"/>
        <v>35192</v>
      </c>
      <c r="P51" s="252">
        <f t="shared" si="42"/>
        <v>8743</v>
      </c>
      <c r="Q51" s="252">
        <f t="shared" si="42"/>
        <v>9361</v>
      </c>
      <c r="R51" s="252">
        <f t="shared" si="42"/>
        <v>9413</v>
      </c>
      <c r="S51" s="252">
        <f t="shared" si="42"/>
        <v>9884</v>
      </c>
      <c r="T51" s="227">
        <f t="shared" si="42"/>
        <v>37401</v>
      </c>
      <c r="U51" s="252">
        <f t="shared" ref="U51" si="43">U33</f>
        <v>9512</v>
      </c>
      <c r="V51" s="226">
        <f t="shared" ref="V51" si="44">IF($C$25="Quarterly",U51*(1+V52),Q51*(1+V52))</f>
        <v>10082.720000000001</v>
      </c>
      <c r="W51" s="226">
        <f t="shared" ref="W51" si="45">IF($C$25="Quarterly",V51*(1+W52),R51*(1+W52))</f>
        <v>10233.960800000001</v>
      </c>
      <c r="X51" s="226">
        <f t="shared" ref="X51" si="46">IF($C$25="Quarterly",W51*(1+X52),S51*(1+X52))</f>
        <v>10796.828643999999</v>
      </c>
      <c r="Y51" s="227">
        <f>SUM(U51:X51)</f>
        <v>40625.509444000003</v>
      </c>
      <c r="Z51" s="226">
        <f>IF($C$25="Quarterly",X51*(1+Z52),U51*(1+Z52))</f>
        <v>10688.860357559999</v>
      </c>
      <c r="AA51" s="226">
        <f t="shared" ref="AA51:AC51" si="47">IF($C$25="Quarterly",Z51*(1+AA52),V51*(1+AA52))</f>
        <v>11437.0805825892</v>
      </c>
      <c r="AB51" s="226">
        <f t="shared" si="47"/>
        <v>11665.822194240984</v>
      </c>
      <c r="AC51" s="226">
        <f t="shared" si="47"/>
        <v>12307.442414924237</v>
      </c>
      <c r="AD51" s="227">
        <f>SUM(Z51:AC51)</f>
        <v>46099.205549314429</v>
      </c>
      <c r="AE51" s="227">
        <f t="shared" ref="AE51:AG51" si="48">AD51*(1+AE52)</f>
        <v>49326.149937766444</v>
      </c>
      <c r="AF51" s="227">
        <f t="shared" si="48"/>
        <v>52285.718934032433</v>
      </c>
      <c r="AG51" s="227">
        <f t="shared" si="48"/>
        <v>55422.862070074385</v>
      </c>
      <c r="AH51" s="9"/>
      <c r="AI51" s="9"/>
      <c r="AJ51" s="9"/>
    </row>
    <row r="52" spans="1:37" ht="12.75" customHeight="1" x14ac:dyDescent="0.25">
      <c r="A52" s="243"/>
      <c r="B52" s="243"/>
      <c r="C52" s="84" t="str">
        <f>IF($C$25="Quarterly","% Growth QoQ","% Growth YoY")</f>
        <v>% Growth QoQ</v>
      </c>
      <c r="D52" s="243"/>
      <c r="E52" s="243"/>
      <c r="F52" s="253"/>
      <c r="G52" s="253">
        <f t="shared" ref="G52:T52" si="49">G34</f>
        <v>6.7195167987919913E-2</v>
      </c>
      <c r="H52" s="253">
        <f t="shared" si="49"/>
        <v>-8.6074755335455722E-3</v>
      </c>
      <c r="I52" s="253">
        <f t="shared" si="49"/>
        <v>2.0456707897240634E-2</v>
      </c>
      <c r="J52" s="245">
        <f t="shared" si="49"/>
        <v>0</v>
      </c>
      <c r="K52" s="253">
        <f t="shared" si="49"/>
        <v>5.4485969548257129E-2</v>
      </c>
      <c r="L52" s="253">
        <f t="shared" si="49"/>
        <v>4.4098573281452724E-2</v>
      </c>
      <c r="M52" s="253">
        <f t="shared" si="49"/>
        <v>4.4243577545195034E-2</v>
      </c>
      <c r="N52" s="253">
        <f t="shared" si="49"/>
        <v>6.9580419580419495E-2</v>
      </c>
      <c r="O52" s="245">
        <f t="shared" si="49"/>
        <v>5.3148192482643131E-2</v>
      </c>
      <c r="P52" s="253">
        <f t="shared" si="49"/>
        <v>4.3317422434367536E-2</v>
      </c>
      <c r="Q52" s="253">
        <f t="shared" si="49"/>
        <v>5.7142857142857162E-2</v>
      </c>
      <c r="R52" s="253">
        <f t="shared" si="49"/>
        <v>7.2095671981776688E-2</v>
      </c>
      <c r="S52" s="253">
        <f t="shared" si="49"/>
        <v>7.7040427154843716E-2</v>
      </c>
      <c r="T52" s="245">
        <f t="shared" si="49"/>
        <v>6.2769947715389796E-2</v>
      </c>
      <c r="U52" s="253">
        <f t="shared" ref="U52" si="50">U34</f>
        <v>8.7956079149033473E-2</v>
      </c>
      <c r="V52" s="244">
        <f>IF(Case_Scenario="Bull",V53,IF(Case_Scenario="Base",V54,IF(Case_Scenario="bear",V55,"N/A")))</f>
        <v>0.06</v>
      </c>
      <c r="W52" s="244">
        <f>IF(Case_Scenario="Bull",W53,IF(Case_Scenario="Base",W54,IF(Case_Scenario="bear",W55,"N/A")))</f>
        <v>1.4999999999999999E-2</v>
      </c>
      <c r="X52" s="244">
        <f>IF(Case_Scenario="Bull",X53,IF(Case_Scenario="Base",X54,IF(Case_Scenario="bear",X55,"N/A")))</f>
        <v>5.5E-2</v>
      </c>
      <c r="Y52" s="245"/>
      <c r="Z52" s="244">
        <f>IF(Case_Scenario="Bull",Z53,IF(Case_Scenario="Base",Z54,IF(Case_Scenario="bear",Z55,"N/A")))</f>
        <v>-0.01</v>
      </c>
      <c r="AA52" s="244">
        <f>IF(Case_Scenario="Bull",AA53,IF(Case_Scenario="Base",AA54,IF(Case_Scenario="bear",AA55,"N/A")))</f>
        <v>7.0000000000000007E-2</v>
      </c>
      <c r="AB52" s="244">
        <f>IF(Case_Scenario="Bull",AB53,IF(Case_Scenario="Base",AB54,IF(Case_Scenario="bear",AB55,"N/A")))</f>
        <v>0.02</v>
      </c>
      <c r="AC52" s="244">
        <f>IF(Case_Scenario="Bull",AC53,IF(Case_Scenario="Base",AC54,IF(Case_Scenario="bear",AC55,"N/A")))</f>
        <v>5.5E-2</v>
      </c>
      <c r="AD52" s="245"/>
      <c r="AE52" s="245">
        <f>IF(Case_Scenario="Bull",AE53,IF(Case_Scenario="Base",AE54,IF(Case_Scenario="bear",AE55,"N/A")))</f>
        <v>7.0000000000000007E-2</v>
      </c>
      <c r="AF52" s="245">
        <f>IF(Case_Scenario="Bull",AF53,IF(Case_Scenario="Base",AF54,IF(Case_Scenario="bear",AF55,"N/A")))</f>
        <v>0.06</v>
      </c>
      <c r="AG52" s="245">
        <f>IF(Case_Scenario="Bull",AG53,IF(Case_Scenario="Base",AG54,IF(Case_Scenario="bear",AG55,"N/A")))</f>
        <v>0.06</v>
      </c>
      <c r="AH52" s="243"/>
      <c r="AI52" s="243"/>
      <c r="AJ52" s="243"/>
    </row>
    <row r="53" spans="1:37" ht="12.75" customHeight="1" x14ac:dyDescent="0.25">
      <c r="A53" s="9"/>
      <c r="B53" s="9"/>
      <c r="C53" s="103" t="s">
        <v>246</v>
      </c>
      <c r="D53" s="9"/>
      <c r="E53" s="9"/>
      <c r="F53" s="254"/>
      <c r="G53" s="254"/>
      <c r="H53" s="254"/>
      <c r="I53" s="254"/>
      <c r="J53" s="132"/>
      <c r="K53" s="254"/>
      <c r="L53" s="254"/>
      <c r="M53" s="254"/>
      <c r="N53" s="254"/>
      <c r="O53" s="132"/>
      <c r="P53" s="254"/>
      <c r="Q53" s="254"/>
      <c r="R53" s="254"/>
      <c r="S53" s="254"/>
      <c r="T53" s="132"/>
      <c r="U53" s="254"/>
      <c r="V53" s="255">
        <f>V54+1%</f>
        <v>6.9999999999999993E-2</v>
      </c>
      <c r="W53" s="255">
        <f t="shared" ref="W53:X53" si="51">W54+1.5%</f>
        <v>0.03</v>
      </c>
      <c r="X53" s="255">
        <f t="shared" si="51"/>
        <v>7.0000000000000007E-2</v>
      </c>
      <c r="Y53" s="256"/>
      <c r="Z53" s="255">
        <f t="shared" ref="Z53:AC53" si="52">Z54+1%</f>
        <v>0</v>
      </c>
      <c r="AA53" s="255">
        <f t="shared" si="52"/>
        <v>0.08</v>
      </c>
      <c r="AB53" s="255">
        <f t="shared" si="52"/>
        <v>0.03</v>
      </c>
      <c r="AC53" s="255">
        <f t="shared" si="52"/>
        <v>6.5000000000000002E-2</v>
      </c>
      <c r="AD53" s="256"/>
      <c r="AE53" s="256">
        <f>AE54+1%</f>
        <v>0.08</v>
      </c>
      <c r="AF53" s="256">
        <f t="shared" ref="AF53:AG53" si="53">AF54+1%</f>
        <v>6.9999999999999993E-2</v>
      </c>
      <c r="AG53" s="256">
        <f t="shared" si="53"/>
        <v>6.9999999999999993E-2</v>
      </c>
      <c r="AH53" s="9"/>
      <c r="AI53" s="9"/>
      <c r="AJ53" s="9"/>
    </row>
    <row r="54" spans="1:37" ht="12.75" customHeight="1" x14ac:dyDescent="0.25">
      <c r="A54" s="9"/>
      <c r="B54" s="9"/>
      <c r="C54" s="103" t="s">
        <v>247</v>
      </c>
      <c r="D54" s="9"/>
      <c r="E54" s="9"/>
      <c r="F54" s="254"/>
      <c r="G54" s="254"/>
      <c r="H54" s="254"/>
      <c r="I54" s="254"/>
      <c r="J54" s="132"/>
      <c r="K54" s="254"/>
      <c r="L54" s="254"/>
      <c r="M54" s="254"/>
      <c r="N54" s="254"/>
      <c r="O54" s="132"/>
      <c r="P54" s="254"/>
      <c r="Q54" s="254"/>
      <c r="R54" s="254"/>
      <c r="S54" s="254"/>
      <c r="T54" s="132"/>
      <c r="U54" s="254"/>
      <c r="V54" s="255">
        <v>0.06</v>
      </c>
      <c r="W54" s="255">
        <v>1.4999999999999999E-2</v>
      </c>
      <c r="X54" s="255">
        <v>5.5E-2</v>
      </c>
      <c r="Y54" s="256"/>
      <c r="Z54" s="255">
        <v>-0.01</v>
      </c>
      <c r="AA54" s="255">
        <v>7.0000000000000007E-2</v>
      </c>
      <c r="AB54" s="255">
        <v>0.02</v>
      </c>
      <c r="AC54" s="255">
        <v>5.5E-2</v>
      </c>
      <c r="AD54" s="256"/>
      <c r="AE54" s="256">
        <v>7.0000000000000007E-2</v>
      </c>
      <c r="AF54" s="256">
        <v>0.06</v>
      </c>
      <c r="AG54" s="256">
        <v>0.06</v>
      </c>
      <c r="AH54" s="9"/>
      <c r="AI54" s="9"/>
      <c r="AJ54" s="9"/>
    </row>
    <row r="55" spans="1:37" ht="12.75" customHeight="1" x14ac:dyDescent="0.25">
      <c r="A55" s="9"/>
      <c r="B55" s="9"/>
      <c r="C55" s="103" t="s">
        <v>248</v>
      </c>
      <c r="D55" s="9"/>
      <c r="E55" s="9"/>
      <c r="F55" s="254"/>
      <c r="G55" s="254"/>
      <c r="H55" s="254"/>
      <c r="I55" s="254"/>
      <c r="J55" s="132"/>
      <c r="K55" s="254"/>
      <c r="L55" s="254"/>
      <c r="M55" s="254"/>
      <c r="N55" s="254"/>
      <c r="O55" s="132"/>
      <c r="P55" s="254"/>
      <c r="Q55" s="254"/>
      <c r="R55" s="254"/>
      <c r="S55" s="254"/>
      <c r="T55" s="132"/>
      <c r="U55" s="254"/>
      <c r="V55" s="255">
        <f t="shared" ref="V55:X55" si="54">+V54-1%</f>
        <v>4.9999999999999996E-2</v>
      </c>
      <c r="W55" s="255">
        <f t="shared" si="54"/>
        <v>4.9999999999999992E-3</v>
      </c>
      <c r="X55" s="255">
        <f t="shared" si="54"/>
        <v>4.4999999999999998E-2</v>
      </c>
      <c r="Y55" s="256"/>
      <c r="Z55" s="255">
        <v>-5.0999999999999997E-2</v>
      </c>
      <c r="AA55" s="255">
        <f t="shared" ref="AA55" si="55">+AA54-1%</f>
        <v>6.0000000000000005E-2</v>
      </c>
      <c r="AB55" s="255">
        <f t="shared" ref="AB55" si="56">+AB54-1%</f>
        <v>0.01</v>
      </c>
      <c r="AC55" s="255">
        <f t="shared" ref="AC55:AG55" si="57">+AC54-1%</f>
        <v>4.4999999999999998E-2</v>
      </c>
      <c r="AD55" s="256"/>
      <c r="AE55" s="256">
        <f t="shared" si="57"/>
        <v>6.0000000000000005E-2</v>
      </c>
      <c r="AF55" s="256">
        <f t="shared" si="57"/>
        <v>4.9999999999999996E-2</v>
      </c>
      <c r="AG55" s="256">
        <f t="shared" si="57"/>
        <v>4.9999999999999996E-2</v>
      </c>
      <c r="AH55" s="9"/>
      <c r="AI55" s="9"/>
      <c r="AJ55" s="9"/>
    </row>
    <row r="56" spans="1:37" ht="12.75" customHeight="1" x14ac:dyDescent="0.25">
      <c r="A56" s="9"/>
      <c r="B56" s="9"/>
      <c r="C56" s="103"/>
      <c r="D56" s="9"/>
      <c r="E56" s="9"/>
      <c r="F56" s="844"/>
      <c r="G56" s="844"/>
      <c r="H56" s="844"/>
      <c r="I56" s="844"/>
      <c r="J56" s="132"/>
      <c r="K56" s="844"/>
      <c r="L56" s="844"/>
      <c r="M56" s="844"/>
      <c r="N56" s="844"/>
      <c r="O56" s="132"/>
      <c r="P56" s="844"/>
      <c r="Q56" s="844"/>
      <c r="R56" s="844"/>
      <c r="S56" s="844"/>
      <c r="T56" s="132"/>
      <c r="U56" s="844"/>
      <c r="V56" s="839"/>
      <c r="W56" s="839"/>
      <c r="X56" s="839"/>
      <c r="Y56" s="256"/>
      <c r="Z56" s="839"/>
      <c r="AA56" s="839"/>
      <c r="AB56" s="839"/>
      <c r="AC56" s="839"/>
      <c r="AD56" s="256"/>
      <c r="AE56" s="256"/>
      <c r="AF56" s="256"/>
      <c r="AG56" s="256"/>
      <c r="AH56" s="9"/>
      <c r="AI56" s="9"/>
      <c r="AJ56" s="9"/>
    </row>
    <row r="57" spans="1:37" ht="12.75" customHeight="1" x14ac:dyDescent="0.25">
      <c r="A57" s="9"/>
      <c r="B57" s="9"/>
      <c r="C57" s="103" t="s">
        <v>267</v>
      </c>
      <c r="D57" s="9"/>
      <c r="E57" s="9"/>
      <c r="F57" s="252">
        <f>'Segment Analysis'!F11</f>
        <v>4416</v>
      </c>
      <c r="G57" s="252">
        <f>'Segment Analysis'!G11</f>
        <v>4775</v>
      </c>
      <c r="H57" s="252">
        <f>'Segment Analysis'!H11</f>
        <v>5240</v>
      </c>
      <c r="I57" s="252">
        <f>'Segment Analysis'!I11</f>
        <v>5552</v>
      </c>
      <c r="J57" s="227">
        <f>SUM(F57:I57)</f>
        <v>19983</v>
      </c>
      <c r="K57" s="252">
        <f>'Segment Analysis'!K11</f>
        <v>5775</v>
      </c>
      <c r="L57" s="252">
        <f>'Segment Analysis'!L11</f>
        <v>5794</v>
      </c>
      <c r="M57" s="252">
        <f>'Segment Analysis'!M11</f>
        <v>6149</v>
      </c>
      <c r="N57" s="252">
        <f>'Segment Analysis'!N11</f>
        <v>6077</v>
      </c>
      <c r="O57" s="227">
        <f>SUM(K57:N57)</f>
        <v>23795</v>
      </c>
      <c r="P57" s="252">
        <f>'Segment Analysis'!P11</f>
        <v>6135</v>
      </c>
      <c r="Q57" s="252">
        <f>'Segment Analysis'!Q11</f>
        <v>6264</v>
      </c>
      <c r="R57" s="252">
        <f>'Segment Analysis'!R11</f>
        <v>6617</v>
      </c>
      <c r="S57" s="252">
        <f>'Segment Analysis'!S11</f>
        <v>6582</v>
      </c>
      <c r="T57" s="227">
        <f>SUM(P57:S57)</f>
        <v>25598</v>
      </c>
      <c r="U57" s="252">
        <f>'Segment Analysis'!U11</f>
        <v>6665</v>
      </c>
      <c r="V57" s="226">
        <f>Q57*(1+V58)</f>
        <v>6702.4800000000005</v>
      </c>
      <c r="W57" s="226">
        <f t="shared" ref="W57:X57" si="58">IF($C$25="Quarterly",U57*(1+W58),R57*(1+W58))</f>
        <v>6898.2749999999996</v>
      </c>
      <c r="X57" s="226">
        <f t="shared" si="58"/>
        <v>6937.0667999999996</v>
      </c>
      <c r="Y57" s="227">
        <f>SUM(U57:X57)</f>
        <v>27202.821799999998</v>
      </c>
      <c r="Z57" s="226">
        <f>IF($C$25="Quarterly",X57*(1+Z58),U57*(1+Z58))</f>
        <v>6930.1297331999995</v>
      </c>
      <c r="AA57" s="226">
        <f t="shared" ref="AA57" si="59">IF($C$25="Quarterly",Z57*(1+AA58),V57*(1+AA58))</f>
        <v>6999.4310305319996</v>
      </c>
      <c r="AB57" s="226">
        <f t="shared" ref="AB57" si="60">IF($C$25="Quarterly",AA57*(1+AB58),W57*(1+AB58))</f>
        <v>7174.4168062952986</v>
      </c>
      <c r="AC57" s="226">
        <f t="shared" ref="AC57" si="61">IF($C$25="Quarterly",AB57*(1+AC58),X57*(1+AC58))</f>
        <v>7353.7772264526802</v>
      </c>
      <c r="AD57" s="227">
        <f>SUM(Z57:AC57)</f>
        <v>28457.754796479978</v>
      </c>
      <c r="AE57" s="227">
        <f t="shared" ref="AE57" si="62">AD57*(1+AE58)</f>
        <v>29738.353762321574</v>
      </c>
      <c r="AF57" s="227">
        <f t="shared" ref="AF57" si="63">AE57*(1+AF58)</f>
        <v>31522.654988060869</v>
      </c>
      <c r="AG57" s="227">
        <f t="shared" ref="AG57" si="64">AF57*(1+AG58)</f>
        <v>33571.627562284826</v>
      </c>
      <c r="AH57" s="9"/>
      <c r="AI57" s="9"/>
      <c r="AK57" s="924"/>
    </row>
    <row r="58" spans="1:37" ht="12.75" customHeight="1" x14ac:dyDescent="0.25">
      <c r="A58" s="9"/>
      <c r="B58" s="9"/>
      <c r="C58" s="84" t="str">
        <f>IF($C$25="Quarterly","% Growth QoQ","% Growth YoY")</f>
        <v>% Growth QoQ</v>
      </c>
      <c r="D58" s="9"/>
      <c r="E58" s="9"/>
      <c r="F58" s="844"/>
      <c r="G58" s="838"/>
      <c r="H58" s="838"/>
      <c r="I58" s="838"/>
      <c r="J58" s="245">
        <f t="shared" ref="J58" si="65">J40</f>
        <v>0</v>
      </c>
      <c r="K58" s="838">
        <f>K57/F57-1</f>
        <v>0.30774456521739135</v>
      </c>
      <c r="L58" s="838">
        <f t="shared" ref="L58:N58" si="66">L57/G57-1</f>
        <v>0.21340314136125649</v>
      </c>
      <c r="M58" s="838">
        <f t="shared" si="66"/>
        <v>0.17347328244274807</v>
      </c>
      <c r="N58" s="838">
        <f t="shared" si="66"/>
        <v>9.4560518731988452E-2</v>
      </c>
      <c r="O58" s="245">
        <f>O57/J57-1</f>
        <v>0.19076214782565182</v>
      </c>
      <c r="P58" s="838">
        <f>P57/K57-1</f>
        <v>6.2337662337662358E-2</v>
      </c>
      <c r="Q58" s="838">
        <f t="shared" ref="Q58:S58" si="67">Q57/L57-1</f>
        <v>8.1118398343113629E-2</v>
      </c>
      <c r="R58" s="838">
        <f t="shared" si="67"/>
        <v>7.6109936575052828E-2</v>
      </c>
      <c r="S58" s="838">
        <f t="shared" si="67"/>
        <v>8.3100213921342814E-2</v>
      </c>
      <c r="T58" s="245">
        <f>T57/O57-1</f>
        <v>7.5772221054843492E-2</v>
      </c>
      <c r="U58" s="838">
        <f>U57/P57-1</f>
        <v>8.6389568052159804E-2</v>
      </c>
      <c r="V58" s="244">
        <f>IF(Case_Scenario="Bull",V59,IF(Case_Scenario="Base",V60,IF(Case_Scenario="bear",V61,"N/A")))</f>
        <v>7.0000000000000007E-2</v>
      </c>
      <c r="W58" s="244">
        <f>IF(Case_Scenario="Bull",W59,IF(Case_Scenario="Base",W60,IF(Case_Scenario="bear",W61,"N/A")))</f>
        <v>3.5000000000000003E-2</v>
      </c>
      <c r="X58" s="244">
        <f>IF(Case_Scenario="Bull",X59,IF(Case_Scenario="Base",X60,IF(Case_Scenario="bear",X61,"N/A")))</f>
        <v>3.5000000000000003E-2</v>
      </c>
      <c r="Y58" s="256"/>
      <c r="Z58" s="244">
        <f>IF(Case_Scenario="Bull",Z59,IF(Case_Scenario="Base",Z60,IF(Case_Scenario="bear",Z61,"N/A")))</f>
        <v>-1E-3</v>
      </c>
      <c r="AA58" s="244">
        <f>IF(Case_Scenario="Bull",AA59,IF(Case_Scenario="Base",AA60,IF(Case_Scenario="bear",AA61,"N/A")))</f>
        <v>0.01</v>
      </c>
      <c r="AB58" s="244">
        <f>IF(Case_Scenario="Bull",AB59,IF(Case_Scenario="Base",AB60,IF(Case_Scenario="bear",AB61,"N/A")))</f>
        <v>2.5000000000000001E-2</v>
      </c>
      <c r="AC58" s="244">
        <f>IF(Case_Scenario="Bull",AC59,IF(Case_Scenario="Base",AC60,IF(Case_Scenario="bear",AC61,"N/A")))</f>
        <v>2.5000000000000001E-2</v>
      </c>
      <c r="AD58" s="256"/>
      <c r="AE58" s="245">
        <f>IF(Case_Scenario="Bull",AE59,IF(Case_Scenario="Base",AE60,IF(Case_Scenario="bear",AE61,"N/A")))</f>
        <v>4.4999999999999998E-2</v>
      </c>
      <c r="AF58" s="245">
        <f>IF(Case_Scenario="Bull",AF59,IF(Case_Scenario="Base",AF60,IF(Case_Scenario="bear",AF61,"N/A")))</f>
        <v>0.06</v>
      </c>
      <c r="AG58" s="245">
        <f>IF(Case_Scenario="Bull",AG59,IF(Case_Scenario="Base",AG60,IF(Case_Scenario="bear",AG61,"N/A")))</f>
        <v>6.5000000000000002E-2</v>
      </c>
      <c r="AH58" s="9"/>
      <c r="AI58" s="9"/>
      <c r="AK58" s="924"/>
    </row>
    <row r="59" spans="1:37" ht="12.75" customHeight="1" x14ac:dyDescent="0.25">
      <c r="A59" s="9"/>
      <c r="B59" s="9"/>
      <c r="C59" s="103" t="s">
        <v>246</v>
      </c>
      <c r="D59" s="9"/>
      <c r="E59" s="9"/>
      <c r="F59" s="844"/>
      <c r="G59" s="844"/>
      <c r="H59" s="844"/>
      <c r="I59" s="844"/>
      <c r="J59" s="132"/>
      <c r="K59" s="844"/>
      <c r="L59" s="844"/>
      <c r="M59" s="844"/>
      <c r="N59" s="844"/>
      <c r="O59" s="132"/>
      <c r="P59" s="844"/>
      <c r="Q59" s="844"/>
      <c r="R59" s="844"/>
      <c r="S59" s="844"/>
      <c r="T59" s="132"/>
      <c r="U59" s="844"/>
      <c r="V59" s="255">
        <f t="shared" ref="V59:X59" si="68">V60+1.5%</f>
        <v>8.5000000000000006E-2</v>
      </c>
      <c r="W59" s="255">
        <f t="shared" si="68"/>
        <v>0.05</v>
      </c>
      <c r="X59" s="255">
        <f t="shared" si="68"/>
        <v>0.05</v>
      </c>
      <c r="Y59" s="256"/>
      <c r="Z59" s="255">
        <f t="shared" ref="Z59:AC59" si="69">Z60+1.5%</f>
        <v>1.3999999999999999E-2</v>
      </c>
      <c r="AA59" s="255">
        <f t="shared" si="69"/>
        <v>2.5000000000000001E-2</v>
      </c>
      <c r="AB59" s="255">
        <f t="shared" si="69"/>
        <v>0.04</v>
      </c>
      <c r="AC59" s="255">
        <f t="shared" si="69"/>
        <v>0.04</v>
      </c>
      <c r="AD59" s="256"/>
      <c r="AE59" s="256">
        <f>AE60+1.1%</f>
        <v>5.6000000000000001E-2</v>
      </c>
      <c r="AF59" s="256">
        <f t="shared" ref="AF59:AG59" si="70">AF60+1.1%</f>
        <v>7.0999999999999994E-2</v>
      </c>
      <c r="AG59" s="256">
        <f t="shared" si="70"/>
        <v>7.5999999999999998E-2</v>
      </c>
      <c r="AH59" s="9"/>
      <c r="AI59" s="9"/>
      <c r="AK59" s="924"/>
    </row>
    <row r="60" spans="1:37" ht="12.75" customHeight="1" x14ac:dyDescent="0.25">
      <c r="A60" s="9"/>
      <c r="B60" s="9"/>
      <c r="C60" s="103" t="s">
        <v>247</v>
      </c>
      <c r="D60" s="9"/>
      <c r="E60" s="9"/>
      <c r="F60" s="844"/>
      <c r="G60" s="844"/>
      <c r="H60" s="844"/>
      <c r="I60" s="844"/>
      <c r="J60" s="132"/>
      <c r="K60" s="844"/>
      <c r="L60" s="844"/>
      <c r="M60" s="844"/>
      <c r="N60" s="844"/>
      <c r="O60" s="132"/>
      <c r="P60" s="844"/>
      <c r="Q60" s="844"/>
      <c r="R60" s="844"/>
      <c r="S60" s="844"/>
      <c r="T60" s="852"/>
      <c r="U60" s="844"/>
      <c r="V60" s="255">
        <v>7.0000000000000007E-2</v>
      </c>
      <c r="W60" s="255">
        <v>3.5000000000000003E-2</v>
      </c>
      <c r="X60" s="255">
        <v>3.5000000000000003E-2</v>
      </c>
      <c r="Y60" s="256"/>
      <c r="Z60" s="255">
        <v>-1E-3</v>
      </c>
      <c r="AA60" s="255">
        <v>0.01</v>
      </c>
      <c r="AB60" s="255">
        <v>2.5000000000000001E-2</v>
      </c>
      <c r="AC60" s="255">
        <v>2.5000000000000001E-2</v>
      </c>
      <c r="AD60" s="256"/>
      <c r="AE60" s="256">
        <v>4.4999999999999998E-2</v>
      </c>
      <c r="AF60" s="256">
        <v>0.06</v>
      </c>
      <c r="AG60" s="256">
        <v>6.5000000000000002E-2</v>
      </c>
      <c r="AH60" s="9"/>
      <c r="AI60" s="9"/>
      <c r="AK60" s="924"/>
    </row>
    <row r="61" spans="1:37" ht="12.75" customHeight="1" x14ac:dyDescent="0.25">
      <c r="A61" s="9"/>
      <c r="B61" s="9"/>
      <c r="C61" s="103" t="s">
        <v>248</v>
      </c>
      <c r="D61" s="9"/>
      <c r="E61" s="9"/>
      <c r="F61" s="254"/>
      <c r="G61" s="254"/>
      <c r="H61" s="254"/>
      <c r="I61" s="254"/>
      <c r="J61" s="132"/>
      <c r="K61" s="254"/>
      <c r="L61" s="254"/>
      <c r="M61" s="254"/>
      <c r="N61" s="254"/>
      <c r="O61" s="132"/>
      <c r="P61" s="254"/>
      <c r="Q61" s="254"/>
      <c r="R61" s="254"/>
      <c r="S61" s="254"/>
      <c r="T61" s="132"/>
      <c r="U61" s="254"/>
      <c r="V61" s="255">
        <f t="shared" ref="V61:X61" si="71">+V60-2%</f>
        <v>0.05</v>
      </c>
      <c r="W61" s="255">
        <f t="shared" si="71"/>
        <v>1.5000000000000003E-2</v>
      </c>
      <c r="X61" s="255">
        <f t="shared" si="71"/>
        <v>1.5000000000000003E-2</v>
      </c>
      <c r="Y61" s="132"/>
      <c r="Z61" s="255">
        <f t="shared" ref="Z61:AC61" si="72">+Z60-2%</f>
        <v>-2.1000000000000001E-2</v>
      </c>
      <c r="AA61" s="255">
        <f t="shared" si="72"/>
        <v>-0.01</v>
      </c>
      <c r="AB61" s="255">
        <f t="shared" si="72"/>
        <v>5.000000000000001E-3</v>
      </c>
      <c r="AC61" s="255">
        <f t="shared" si="72"/>
        <v>5.000000000000001E-3</v>
      </c>
      <c r="AD61" s="132"/>
      <c r="AE61" s="256">
        <f>+AE60-1.5%</f>
        <v>0.03</v>
      </c>
      <c r="AF61" s="256">
        <f t="shared" ref="AF61:AG61" si="73">+AF60-1.5%</f>
        <v>4.4999999999999998E-2</v>
      </c>
      <c r="AG61" s="256">
        <f t="shared" si="73"/>
        <v>0.05</v>
      </c>
      <c r="AH61" s="9"/>
      <c r="AI61" s="9"/>
      <c r="AK61" s="924"/>
    </row>
    <row r="62" spans="1:37" ht="12.75" customHeight="1" x14ac:dyDescent="0.25">
      <c r="A62" s="9"/>
      <c r="B62" s="9"/>
      <c r="C62" s="103"/>
      <c r="D62" s="9"/>
      <c r="E62" s="9"/>
      <c r="F62" s="844"/>
      <c r="G62" s="844"/>
      <c r="H62" s="844"/>
      <c r="I62" s="844"/>
      <c r="J62" s="132"/>
      <c r="K62" s="844"/>
      <c r="L62" s="844"/>
      <c r="M62" s="844"/>
      <c r="N62" s="844"/>
      <c r="O62" s="132"/>
      <c r="P62" s="844"/>
      <c r="Q62" s="844"/>
      <c r="R62" s="844"/>
      <c r="S62" s="844"/>
      <c r="T62" s="132"/>
      <c r="U62" s="844"/>
      <c r="V62" s="845"/>
      <c r="W62" s="845"/>
      <c r="X62" s="845"/>
      <c r="Y62" s="132"/>
      <c r="Z62" s="845"/>
      <c r="AA62" s="845"/>
      <c r="AB62" s="845"/>
      <c r="AC62" s="845"/>
      <c r="AD62" s="132"/>
      <c r="AE62" s="132"/>
      <c r="AF62" s="132"/>
      <c r="AG62" s="132"/>
      <c r="AH62" s="9"/>
      <c r="AI62" s="9"/>
      <c r="AK62" s="924"/>
    </row>
    <row r="63" spans="1:37" ht="12.75" customHeight="1" x14ac:dyDescent="0.25">
      <c r="A63" s="205" t="s">
        <v>0</v>
      </c>
      <c r="B63" s="9"/>
      <c r="C63" s="103" t="str">
        <f>C41</f>
        <v>Net Card Fees Revenue</v>
      </c>
      <c r="D63" s="9"/>
      <c r="E63" s="9"/>
      <c r="F63" s="252">
        <f t="shared" ref="F63:T63" si="74">F41</f>
        <v>1713</v>
      </c>
      <c r="G63" s="252">
        <f t="shared" si="74"/>
        <v>1789</v>
      </c>
      <c r="H63" s="252">
        <f t="shared" si="74"/>
        <v>1846</v>
      </c>
      <c r="I63" s="252">
        <f t="shared" si="74"/>
        <v>1907</v>
      </c>
      <c r="J63" s="227">
        <f t="shared" si="74"/>
        <v>7255</v>
      </c>
      <c r="K63" s="252">
        <f t="shared" si="74"/>
        <v>1974</v>
      </c>
      <c r="L63" s="252">
        <f t="shared" si="74"/>
        <v>2060</v>
      </c>
      <c r="M63" s="252">
        <f t="shared" si="74"/>
        <v>2170</v>
      </c>
      <c r="N63" s="252">
        <f t="shared" si="74"/>
        <v>2245</v>
      </c>
      <c r="O63" s="227">
        <f t="shared" si="74"/>
        <v>8449</v>
      </c>
      <c r="P63" s="252">
        <f t="shared" si="74"/>
        <v>2333</v>
      </c>
      <c r="Q63" s="252">
        <f t="shared" si="74"/>
        <v>2480</v>
      </c>
      <c r="R63" s="252">
        <f t="shared" si="74"/>
        <v>2551</v>
      </c>
      <c r="S63" s="252">
        <f t="shared" si="74"/>
        <v>2629</v>
      </c>
      <c r="T63" s="227">
        <f t="shared" si="74"/>
        <v>9993</v>
      </c>
      <c r="U63" s="252">
        <f t="shared" ref="U63" si="75">U41</f>
        <v>2752</v>
      </c>
      <c r="V63" s="226">
        <f t="shared" ref="V63" si="76">IF($C$25="Quarterly",U63*(1+V64),Q63*(1+V64))</f>
        <v>2889.6</v>
      </c>
      <c r="W63" s="226">
        <f t="shared" ref="W63" si="77">IF($C$25="Quarterly",V63*(1+W64),R63*(1+W64))</f>
        <v>3034.08</v>
      </c>
      <c r="X63" s="226">
        <f t="shared" ref="X63" si="78">IF($C$25="Quarterly",W63*(1+X64),S63*(1+X64))</f>
        <v>3216.1248000000001</v>
      </c>
      <c r="Y63" s="227">
        <f>SUM(U63:X63)</f>
        <v>11891.8048</v>
      </c>
      <c r="Z63" s="226">
        <f>IF($C$25="Quarterly",X63*(1+Z64),U63*(1+Z64))</f>
        <v>3312.6085440000002</v>
      </c>
      <c r="AA63" s="226">
        <f t="shared" ref="AA63:AC63" si="79">IF($C$25="Quarterly",Z63*(1+AA64),V63*(1+AA64))</f>
        <v>3445.1128857600002</v>
      </c>
      <c r="AB63" s="226">
        <f t="shared" si="79"/>
        <v>3514.0151434752001</v>
      </c>
      <c r="AC63" s="226">
        <f t="shared" si="79"/>
        <v>3619.4355977794562</v>
      </c>
      <c r="AD63" s="227">
        <f>SUM(Z63:AC63)</f>
        <v>13891.172171014658</v>
      </c>
      <c r="AE63" s="227">
        <f t="shared" ref="AE63:AG63" si="80">AD63*(1+AE64)</f>
        <v>15835.936274956712</v>
      </c>
      <c r="AF63" s="227">
        <f t="shared" si="80"/>
        <v>17736.248627951518</v>
      </c>
      <c r="AG63" s="227">
        <f t="shared" si="80"/>
        <v>18800.423545628611</v>
      </c>
      <c r="AH63" s="9"/>
      <c r="AI63" s="9"/>
      <c r="AK63" s="924"/>
    </row>
    <row r="64" spans="1:37" ht="12.75" customHeight="1" x14ac:dyDescent="0.25">
      <c r="A64" s="9"/>
      <c r="B64" s="9"/>
      <c r="C64" s="84" t="str">
        <f>IF($C$25="Quarterly","% Growth QoQ","% Growth YoY")</f>
        <v>% Growth QoQ</v>
      </c>
      <c r="D64" s="9"/>
      <c r="E64" s="9"/>
      <c r="F64" s="254"/>
      <c r="G64" s="253">
        <f t="shared" ref="G64:T64" si="81">G42</f>
        <v>4.4366608289550413E-2</v>
      </c>
      <c r="H64" s="253">
        <f t="shared" si="81"/>
        <v>3.1861375069871523E-2</v>
      </c>
      <c r="I64" s="253">
        <f t="shared" si="81"/>
        <v>3.3044420368363969E-2</v>
      </c>
      <c r="J64" s="245">
        <f t="shared" si="81"/>
        <v>0</v>
      </c>
      <c r="K64" s="253">
        <f t="shared" si="81"/>
        <v>3.5133717881489224E-2</v>
      </c>
      <c r="L64" s="253">
        <f t="shared" si="81"/>
        <v>4.3566362715298901E-2</v>
      </c>
      <c r="M64" s="253">
        <f t="shared" si="81"/>
        <v>5.3398058252427161E-2</v>
      </c>
      <c r="N64" s="253">
        <f t="shared" si="81"/>
        <v>3.4562211981566726E-2</v>
      </c>
      <c r="O64" s="245">
        <f t="shared" si="81"/>
        <v>0.16457615437629225</v>
      </c>
      <c r="P64" s="253">
        <f t="shared" si="81"/>
        <v>3.9198218262806339E-2</v>
      </c>
      <c r="Q64" s="253">
        <f t="shared" si="81"/>
        <v>6.3009001285897925E-2</v>
      </c>
      <c r="R64" s="253">
        <f t="shared" si="81"/>
        <v>2.8629032258064457E-2</v>
      </c>
      <c r="S64" s="253">
        <f t="shared" si="81"/>
        <v>3.0576244609956893E-2</v>
      </c>
      <c r="T64" s="245">
        <f t="shared" si="81"/>
        <v>0.1827435199431886</v>
      </c>
      <c r="U64" s="253">
        <f t="shared" ref="U64" si="82">U42</f>
        <v>4.6785850133130413E-2</v>
      </c>
      <c r="V64" s="244">
        <f>IF(Case_Scenario="Bull",V65,IF(Case_Scenario="Base",V66,IF(Case_Scenario="bear",V67,"N/A")))</f>
        <v>0.05</v>
      </c>
      <c r="W64" s="244">
        <f>IF(Case_Scenario="Bull",W65,IF(Case_Scenario="Base",W66,IF(Case_Scenario="bear",W67,"N/A")))</f>
        <v>0.05</v>
      </c>
      <c r="X64" s="244">
        <f>IF(Case_Scenario="Bull",X65,IF(Case_Scenario="Base",X66,IF(Case_Scenario="bear",X67,"N/A")))</f>
        <v>0.06</v>
      </c>
      <c r="Y64" s="245"/>
      <c r="Z64" s="244">
        <f>IF(Case_Scenario="Bull",Z65,IF(Case_Scenario="Base",Z66,IF(Case_Scenario="bear",Z67,"N/A")))</f>
        <v>0.03</v>
      </c>
      <c r="AA64" s="244">
        <f>IF(Case_Scenario="Bull",AA65,IF(Case_Scenario="Base",AA66,IF(Case_Scenario="bear",AA67,"N/A")))</f>
        <v>0.04</v>
      </c>
      <c r="AB64" s="244">
        <f>IF(Case_Scenario="Bull",AB65,IF(Case_Scenario="Base",AB66,IF(Case_Scenario="bear",AB67,"N/A")))</f>
        <v>0.02</v>
      </c>
      <c r="AC64" s="244">
        <f>IF(Case_Scenario="Bull",AC65,IF(Case_Scenario="Base",AC66,IF(Case_Scenario="bear",AC67,"N/A")))</f>
        <v>0.03</v>
      </c>
      <c r="AD64" s="245"/>
      <c r="AE64" s="245">
        <f>IF(Case_Scenario="Bull",AE65,IF(Case_Scenario="Base",AE66,IF(Case_Scenario="bear",AE67,"N/A")))</f>
        <v>0.14000000000000001</v>
      </c>
      <c r="AF64" s="245">
        <f>IF(Case_Scenario="Bull",AF65,IF(Case_Scenario="Base",AF66,IF(Case_Scenario="bear",AF67,"N/A")))</f>
        <v>0.12</v>
      </c>
      <c r="AG64" s="245">
        <f>IF(Case_Scenario="Bull",AG65,IF(Case_Scenario="Base",AG66,IF(Case_Scenario="bear",AG67,"N/A")))</f>
        <v>0.06</v>
      </c>
      <c r="AH64" s="9"/>
      <c r="AI64" s="9"/>
      <c r="AJ64" s="9"/>
    </row>
    <row r="65" spans="1:36" ht="12.75" customHeight="1" x14ac:dyDescent="0.25">
      <c r="A65" s="243"/>
      <c r="B65" s="243"/>
      <c r="C65" s="103" t="s">
        <v>246</v>
      </c>
      <c r="D65" s="243"/>
      <c r="E65" s="243"/>
      <c r="F65" s="258"/>
      <c r="G65" s="258"/>
      <c r="H65" s="258"/>
      <c r="I65" s="258"/>
      <c r="J65" s="259"/>
      <c r="K65" s="258"/>
      <c r="L65" s="258"/>
      <c r="M65" s="258"/>
      <c r="N65" s="258"/>
      <c r="O65" s="259"/>
      <c r="P65" s="258"/>
      <c r="Q65" s="258"/>
      <c r="R65" s="258"/>
      <c r="S65" s="258"/>
      <c r="T65" s="259"/>
      <c r="U65" s="258"/>
      <c r="V65" s="255">
        <f t="shared" ref="V65:X65" si="83">V66+2%</f>
        <v>7.0000000000000007E-2</v>
      </c>
      <c r="W65" s="255">
        <f t="shared" si="83"/>
        <v>7.0000000000000007E-2</v>
      </c>
      <c r="X65" s="255">
        <f t="shared" si="83"/>
        <v>0.08</v>
      </c>
      <c r="Y65" s="256"/>
      <c r="Z65" s="255">
        <f t="shared" ref="Z65:AC65" si="84">Z66+2%</f>
        <v>0.05</v>
      </c>
      <c r="AA65" s="255">
        <f t="shared" si="84"/>
        <v>0.06</v>
      </c>
      <c r="AB65" s="255">
        <f t="shared" si="84"/>
        <v>0.04</v>
      </c>
      <c r="AC65" s="255">
        <f t="shared" si="84"/>
        <v>0.05</v>
      </c>
      <c r="AD65" s="256"/>
      <c r="AE65" s="256">
        <f>AE66+1.5%</f>
        <v>0.15500000000000003</v>
      </c>
      <c r="AF65" s="256">
        <f t="shared" ref="AF65:AG65" si="85">AF66+1.5%</f>
        <v>0.13500000000000001</v>
      </c>
      <c r="AG65" s="256">
        <f t="shared" si="85"/>
        <v>7.4999999999999997E-2</v>
      </c>
      <c r="AH65" s="243"/>
      <c r="AI65" s="243"/>
      <c r="AJ65" s="243"/>
    </row>
    <row r="66" spans="1:36" ht="12.75" customHeight="1" x14ac:dyDescent="0.25">
      <c r="A66" s="243"/>
      <c r="B66" s="243"/>
      <c r="C66" s="103" t="s">
        <v>247</v>
      </c>
      <c r="D66" s="243"/>
      <c r="E66" s="243"/>
      <c r="F66" s="258"/>
      <c r="G66" s="258"/>
      <c r="H66" s="258"/>
      <c r="I66" s="258"/>
      <c r="J66" s="259"/>
      <c r="K66" s="258"/>
      <c r="L66" s="258"/>
      <c r="M66" s="258"/>
      <c r="N66" s="258"/>
      <c r="O66" s="259"/>
      <c r="P66" s="258"/>
      <c r="Q66" s="258"/>
      <c r="R66" s="258"/>
      <c r="S66" s="258"/>
      <c r="T66" s="259"/>
      <c r="U66" s="258"/>
      <c r="V66" s="255">
        <v>0.05</v>
      </c>
      <c r="W66" s="255">
        <v>0.05</v>
      </c>
      <c r="X66" s="255">
        <v>0.06</v>
      </c>
      <c r="Y66" s="256"/>
      <c r="Z66" s="255">
        <v>0.03</v>
      </c>
      <c r="AA66" s="255">
        <v>0.04</v>
      </c>
      <c r="AB66" s="255">
        <v>0.02</v>
      </c>
      <c r="AC66" s="255">
        <v>0.03</v>
      </c>
      <c r="AD66" s="256"/>
      <c r="AE66" s="256">
        <v>0.14000000000000001</v>
      </c>
      <c r="AF66" s="256">
        <v>0.12</v>
      </c>
      <c r="AG66" s="256">
        <v>0.06</v>
      </c>
      <c r="AH66" s="243"/>
      <c r="AI66" s="243"/>
      <c r="AJ66" s="243"/>
    </row>
    <row r="67" spans="1:36" ht="12.75" customHeight="1" x14ac:dyDescent="0.25">
      <c r="A67" s="243"/>
      <c r="B67" s="243"/>
      <c r="C67" s="103" t="s">
        <v>248</v>
      </c>
      <c r="D67" s="243"/>
      <c r="E67" s="243"/>
      <c r="F67" s="258"/>
      <c r="G67" s="258"/>
      <c r="H67" s="258"/>
      <c r="I67" s="258"/>
      <c r="J67" s="259"/>
      <c r="K67" s="258"/>
      <c r="L67" s="258"/>
      <c r="M67" s="258"/>
      <c r="N67" s="258"/>
      <c r="O67" s="259"/>
      <c r="P67" s="258"/>
      <c r="Q67" s="258"/>
      <c r="R67" s="258"/>
      <c r="S67" s="258"/>
      <c r="T67" s="259"/>
      <c r="U67" s="258"/>
      <c r="V67" s="255">
        <f t="shared" ref="V67:X67" si="86">+V66-2%</f>
        <v>3.0000000000000002E-2</v>
      </c>
      <c r="W67" s="255">
        <f t="shared" si="86"/>
        <v>3.0000000000000002E-2</v>
      </c>
      <c r="X67" s="255">
        <f t="shared" si="86"/>
        <v>3.9999999999999994E-2</v>
      </c>
      <c r="Y67" s="256"/>
      <c r="Z67" s="255">
        <f t="shared" ref="Z67:AC67" si="87">+Z66-2%</f>
        <v>9.9999999999999985E-3</v>
      </c>
      <c r="AA67" s="255">
        <f t="shared" si="87"/>
        <v>0.02</v>
      </c>
      <c r="AB67" s="255">
        <f t="shared" si="87"/>
        <v>0</v>
      </c>
      <c r="AC67" s="255">
        <f t="shared" si="87"/>
        <v>9.9999999999999985E-3</v>
      </c>
      <c r="AD67" s="256"/>
      <c r="AE67" s="256">
        <f>+AE66-2.5%</f>
        <v>0.11500000000000002</v>
      </c>
      <c r="AF67" s="256">
        <f t="shared" ref="AF67:AG67" si="88">+AF66-2.5%</f>
        <v>9.5000000000000001E-2</v>
      </c>
      <c r="AG67" s="256">
        <f t="shared" si="88"/>
        <v>3.4999999999999996E-2</v>
      </c>
      <c r="AH67" s="243"/>
      <c r="AI67" s="243"/>
      <c r="AJ67" s="243"/>
    </row>
    <row r="68" spans="1:36" ht="12.75" customHeight="1" x14ac:dyDescent="0.25">
      <c r="A68" s="9"/>
      <c r="B68" s="9"/>
      <c r="C68" s="9"/>
      <c r="D68" s="9"/>
      <c r="E68" s="9"/>
      <c r="F68" s="254"/>
      <c r="G68" s="254"/>
      <c r="H68" s="254"/>
      <c r="I68" s="254"/>
      <c r="J68" s="132"/>
      <c r="K68" s="254"/>
      <c r="L68" s="254"/>
      <c r="M68" s="254"/>
      <c r="N68" s="254"/>
      <c r="O68" s="132"/>
      <c r="P68" s="254"/>
      <c r="Q68" s="254"/>
      <c r="R68" s="254"/>
      <c r="S68" s="254"/>
      <c r="T68" s="132"/>
      <c r="U68" s="254"/>
      <c r="V68" s="257"/>
      <c r="W68" s="257"/>
      <c r="X68" s="257"/>
      <c r="Y68" s="132"/>
      <c r="Z68" s="257"/>
      <c r="AA68" s="257"/>
      <c r="AB68" s="257"/>
      <c r="AC68" s="257"/>
      <c r="AD68" s="132"/>
      <c r="AE68" s="132"/>
      <c r="AF68" s="132"/>
      <c r="AG68" s="132"/>
      <c r="AH68" s="9"/>
      <c r="AI68" s="9"/>
      <c r="AJ68" s="9"/>
    </row>
    <row r="69" spans="1:36" ht="12.75" customHeight="1" x14ac:dyDescent="0.25">
      <c r="A69" s="205" t="s">
        <v>0</v>
      </c>
      <c r="B69" s="9"/>
      <c r="C69" s="103" t="str">
        <f>C45</f>
        <v>Service Fees and Other Revenue</v>
      </c>
      <c r="D69" s="9"/>
      <c r="E69" s="9"/>
      <c r="F69" s="252">
        <f t="shared" ref="F69:T69" si="89">F45</f>
        <v>1638</v>
      </c>
      <c r="G69" s="252">
        <f t="shared" si="89"/>
        <v>1679</v>
      </c>
      <c r="H69" s="252">
        <f t="shared" si="89"/>
        <v>1685</v>
      </c>
      <c r="I69" s="252">
        <f t="shared" si="89"/>
        <v>1708</v>
      </c>
      <c r="J69" s="227">
        <f t="shared" si="89"/>
        <v>6710</v>
      </c>
      <c r="K69" s="252">
        <f t="shared" si="89"/>
        <v>1678</v>
      </c>
      <c r="L69" s="252">
        <f t="shared" si="89"/>
        <v>1688</v>
      </c>
      <c r="M69" s="252">
        <f t="shared" si="89"/>
        <v>1680</v>
      </c>
      <c r="N69" s="252">
        <f t="shared" si="89"/>
        <v>1719</v>
      </c>
      <c r="O69" s="227">
        <f t="shared" si="89"/>
        <v>6765</v>
      </c>
      <c r="P69" s="252">
        <f t="shared" si="89"/>
        <v>1722</v>
      </c>
      <c r="Q69" s="252">
        <f t="shared" si="89"/>
        <v>1828</v>
      </c>
      <c r="R69" s="252">
        <f t="shared" si="89"/>
        <v>1976</v>
      </c>
      <c r="S69" s="252">
        <f t="shared" si="89"/>
        <v>1945</v>
      </c>
      <c r="T69" s="227">
        <f t="shared" si="89"/>
        <v>7471</v>
      </c>
      <c r="U69" s="252">
        <f t="shared" ref="U69" si="90">U45</f>
        <v>1951</v>
      </c>
      <c r="V69" s="226">
        <f t="shared" ref="V69" si="91">IF($C$25="Quarterly",U69*(1+V70),Q69*(1+V70))</f>
        <v>2054.4029999999998</v>
      </c>
      <c r="W69" s="226">
        <f t="shared" ref="W69" si="92">IF($C$25="Quarterly",V69*(1+W70),R69*(1+W70))</f>
        <v>2157.1231499999999</v>
      </c>
      <c r="X69" s="226">
        <f t="shared" ref="X69" si="93">IF($C$25="Quarterly",W69*(1+X70),S69*(1+X70))</f>
        <v>2174.3801352</v>
      </c>
      <c r="Y69" s="227">
        <f>SUM(U69:X69)</f>
        <v>8336.9062851999988</v>
      </c>
      <c r="Z69" s="226">
        <f>IF($C$25="Quarterly",X69*(1+Z70),U69*(1+Z70))</f>
        <v>2130.8925324960001</v>
      </c>
      <c r="AA69" s="226">
        <f t="shared" ref="AA69:AC69" si="94">IF($C$25="Quarterly",Z69*(1+AA70),V69*(1+AA70))</f>
        <v>2242.3382119455409</v>
      </c>
      <c r="AB69" s="226">
        <f t="shared" si="94"/>
        <v>2349.9704461189272</v>
      </c>
      <c r="AC69" s="226">
        <f t="shared" si="94"/>
        <v>2378.1700914723542</v>
      </c>
      <c r="AD69" s="227">
        <f>SUM(Z69:AC69)</f>
        <v>9101.3712820328219</v>
      </c>
      <c r="AE69" s="227">
        <f t="shared" ref="AE69:AG69" si="95">AD69*(1+AE70)</f>
        <v>9738.46727177512</v>
      </c>
      <c r="AF69" s="227">
        <f t="shared" si="95"/>
        <v>10420.159980799379</v>
      </c>
      <c r="AG69" s="227">
        <f t="shared" si="95"/>
        <v>11045.369579647342</v>
      </c>
      <c r="AH69" s="9"/>
      <c r="AI69" s="9"/>
      <c r="AJ69" s="9"/>
    </row>
    <row r="70" spans="1:36" ht="12.75" customHeight="1" x14ac:dyDescent="0.25">
      <c r="A70" s="9"/>
      <c r="B70" s="9"/>
      <c r="C70" s="84" t="str">
        <f>IF($C$25="Quarterly","% Growth QoQ","% Growth YoY")</f>
        <v>% Growth QoQ</v>
      </c>
      <c r="D70" s="9"/>
      <c r="E70" s="9"/>
      <c r="F70" s="254"/>
      <c r="G70" s="253">
        <f t="shared" ref="G70:T70" si="96">G46</f>
        <v>2.5030525030524942E-2</v>
      </c>
      <c r="H70" s="253">
        <f t="shared" si="96"/>
        <v>3.5735556879095132E-3</v>
      </c>
      <c r="I70" s="253">
        <f t="shared" si="96"/>
        <v>1.3649851632047572E-2</v>
      </c>
      <c r="J70" s="245">
        <f t="shared" si="96"/>
        <v>0</v>
      </c>
      <c r="K70" s="253">
        <f t="shared" si="96"/>
        <v>-1.7564402810304469E-2</v>
      </c>
      <c r="L70" s="253">
        <f t="shared" si="96"/>
        <v>5.9594755661502852E-3</v>
      </c>
      <c r="M70" s="253">
        <f t="shared" si="96"/>
        <v>-4.7393364928910442E-3</v>
      </c>
      <c r="N70" s="253">
        <f t="shared" si="96"/>
        <v>2.3214285714285632E-2</v>
      </c>
      <c r="O70" s="245">
        <f t="shared" si="96"/>
        <v>8.1967213114753079E-3</v>
      </c>
      <c r="P70" s="253">
        <f t="shared" si="96"/>
        <v>1.7452006980802626E-3</v>
      </c>
      <c r="Q70" s="253">
        <f t="shared" si="96"/>
        <v>6.1556329849012714E-2</v>
      </c>
      <c r="R70" s="253">
        <f t="shared" si="96"/>
        <v>8.0962800875273633E-2</v>
      </c>
      <c r="S70" s="253">
        <f t="shared" si="96"/>
        <v>-1.5688259109311709E-2</v>
      </c>
      <c r="T70" s="245">
        <f t="shared" si="96"/>
        <v>0.10436067997043597</v>
      </c>
      <c r="U70" s="253">
        <f t="shared" ref="U70" si="97">U46</f>
        <v>3.0848329048842604E-3</v>
      </c>
      <c r="V70" s="244">
        <f>IF(Case_Scenario="Bull",V71,IF(Case_Scenario="Base",V72,IF(Case_Scenario="bear",V73,"N/A")))</f>
        <v>5.2999999999999999E-2</v>
      </c>
      <c r="W70" s="244">
        <f>IF(Case_Scenario="Bull",W71,IF(Case_Scenario="Base",W72,IF(Case_Scenario="bear",W73,"N/A")))</f>
        <v>0.05</v>
      </c>
      <c r="X70" s="244">
        <f>IF(Case_Scenario="Bull",X71,IF(Case_Scenario="Base",X72,IF(Case_Scenario="bear",X73,"N/A")))</f>
        <v>8.0000000000000002E-3</v>
      </c>
      <c r="Y70" s="245"/>
      <c r="Z70" s="244">
        <f>IF(Case_Scenario="Bull",Z71,IF(Case_Scenario="Base",Z72,IF(Case_Scenario="bear",Z73,"N/A")))</f>
        <v>-0.02</v>
      </c>
      <c r="AA70" s="244">
        <f>IF(Case_Scenario="Bull",AA71,IF(Case_Scenario="Base",AA72,IF(Case_Scenario="bear",AA73,"N/A")))</f>
        <v>5.2299999999999999E-2</v>
      </c>
      <c r="AB70" s="244">
        <f>IF(Case_Scenario="Bull",AB71,IF(Case_Scenario="Base",AB72,IF(Case_Scenario="bear",AB73,"N/A")))</f>
        <v>4.8000000000000001E-2</v>
      </c>
      <c r="AC70" s="244">
        <f>IF(Case_Scenario="Bull",AC71,IF(Case_Scenario="Base",AC72,IF(Case_Scenario="bear",AC73,"N/A")))</f>
        <v>1.2E-2</v>
      </c>
      <c r="AD70" s="245"/>
      <c r="AE70" s="245">
        <f>IF(Case_Scenario="Bull",AE71,IF(Case_Scenario="Base",AE72,IF(Case_Scenario="bear",AE73,"N/A")))</f>
        <v>7.0000000000000007E-2</v>
      </c>
      <c r="AF70" s="245">
        <f>IF(Case_Scenario="Bull",AF71,IF(Case_Scenario="Base",AF72,IF(Case_Scenario="bear",AF73,"N/A")))</f>
        <v>7.0000000000000007E-2</v>
      </c>
      <c r="AG70" s="245">
        <f>IF(Case_Scenario="Bull",AG71,IF(Case_Scenario="Base",AG72,IF(Case_Scenario="bear",AG73,"N/A")))</f>
        <v>0.06</v>
      </c>
      <c r="AH70" s="9"/>
      <c r="AI70" s="9"/>
      <c r="AJ70" s="9"/>
    </row>
    <row r="71" spans="1:36" ht="12.75" customHeight="1" x14ac:dyDescent="0.25">
      <c r="A71" s="9"/>
      <c r="B71" s="9"/>
      <c r="C71" s="103" t="s">
        <v>246</v>
      </c>
      <c r="D71" s="9"/>
      <c r="E71" s="9"/>
      <c r="F71" s="254"/>
      <c r="G71" s="254"/>
      <c r="H71" s="254"/>
      <c r="I71" s="254"/>
      <c r="J71" s="132"/>
      <c r="K71" s="254"/>
      <c r="L71" s="254"/>
      <c r="M71" s="254"/>
      <c r="N71" s="254"/>
      <c r="O71" s="132"/>
      <c r="P71" s="254"/>
      <c r="Q71" s="254"/>
      <c r="R71" s="254"/>
      <c r="S71" s="254"/>
      <c r="T71" s="132"/>
      <c r="U71" s="254"/>
      <c r="V71" s="255">
        <f t="shared" ref="V71:X71" si="98">V72+2%</f>
        <v>7.2999999999999995E-2</v>
      </c>
      <c r="W71" s="255">
        <f t="shared" si="98"/>
        <v>7.0000000000000007E-2</v>
      </c>
      <c r="X71" s="255">
        <f t="shared" si="98"/>
        <v>2.8000000000000001E-2</v>
      </c>
      <c r="Y71" s="256"/>
      <c r="Z71" s="255">
        <f t="shared" ref="Z71:AC71" si="99">Z72+2%</f>
        <v>0</v>
      </c>
      <c r="AA71" s="255">
        <f t="shared" si="99"/>
        <v>7.2300000000000003E-2</v>
      </c>
      <c r="AB71" s="255">
        <f t="shared" si="99"/>
        <v>6.8000000000000005E-2</v>
      </c>
      <c r="AC71" s="255">
        <f t="shared" si="99"/>
        <v>3.2000000000000001E-2</v>
      </c>
      <c r="AD71" s="256"/>
      <c r="AE71" s="256">
        <f>AE72+1.5%</f>
        <v>8.5000000000000006E-2</v>
      </c>
      <c r="AF71" s="256">
        <f t="shared" ref="AF71:AG71" si="100">AF72+1.5%</f>
        <v>8.5000000000000006E-2</v>
      </c>
      <c r="AG71" s="256">
        <f t="shared" si="100"/>
        <v>7.4999999999999997E-2</v>
      </c>
      <c r="AH71" s="9"/>
      <c r="AI71" s="9"/>
      <c r="AJ71" s="9"/>
    </row>
    <row r="72" spans="1:36" ht="12.75" customHeight="1" x14ac:dyDescent="0.25">
      <c r="A72" s="9"/>
      <c r="B72" s="9"/>
      <c r="C72" s="103" t="s">
        <v>247</v>
      </c>
      <c r="D72" s="9"/>
      <c r="E72" s="9"/>
      <c r="F72" s="254"/>
      <c r="G72" s="254"/>
      <c r="H72" s="254"/>
      <c r="I72" s="254"/>
      <c r="J72" s="132"/>
      <c r="K72" s="254"/>
      <c r="L72" s="254"/>
      <c r="M72" s="254"/>
      <c r="N72" s="254"/>
      <c r="O72" s="132"/>
      <c r="P72" s="254"/>
      <c r="Q72" s="254"/>
      <c r="R72" s="254"/>
      <c r="S72" s="254"/>
      <c r="T72" s="132"/>
      <c r="U72" s="254"/>
      <c r="V72" s="255">
        <v>5.2999999999999999E-2</v>
      </c>
      <c r="W72" s="255">
        <v>0.05</v>
      </c>
      <c r="X72" s="255">
        <v>8.0000000000000002E-3</v>
      </c>
      <c r="Y72" s="256"/>
      <c r="Z72" s="255">
        <v>-0.02</v>
      </c>
      <c r="AA72" s="255">
        <v>5.2299999999999999E-2</v>
      </c>
      <c r="AB72" s="255">
        <v>4.8000000000000001E-2</v>
      </c>
      <c r="AC72" s="255">
        <v>1.2E-2</v>
      </c>
      <c r="AD72" s="256"/>
      <c r="AE72" s="256">
        <v>7.0000000000000007E-2</v>
      </c>
      <c r="AF72" s="256">
        <v>7.0000000000000007E-2</v>
      </c>
      <c r="AG72" s="256">
        <v>0.06</v>
      </c>
      <c r="AH72" s="9"/>
      <c r="AI72" s="9"/>
      <c r="AJ72" s="9"/>
    </row>
    <row r="73" spans="1:36" ht="12.75" customHeight="1" x14ac:dyDescent="0.25">
      <c r="A73" s="9"/>
      <c r="B73" s="9"/>
      <c r="C73" s="103" t="s">
        <v>248</v>
      </c>
      <c r="D73" s="9"/>
      <c r="E73" s="9"/>
      <c r="F73" s="254"/>
      <c r="G73" s="254"/>
      <c r="H73" s="254"/>
      <c r="I73" s="254"/>
      <c r="J73" s="132"/>
      <c r="K73" s="254"/>
      <c r="L73" s="254"/>
      <c r="M73" s="254"/>
      <c r="N73" s="254"/>
      <c r="O73" s="132"/>
      <c r="P73" s="254"/>
      <c r="Q73" s="254"/>
      <c r="R73" s="254"/>
      <c r="S73" s="254"/>
      <c r="T73" s="132"/>
      <c r="U73" s="254"/>
      <c r="V73" s="255">
        <f t="shared" ref="V73:X73" si="101">+V72-2%</f>
        <v>3.3000000000000002E-2</v>
      </c>
      <c r="W73" s="255">
        <f t="shared" si="101"/>
        <v>3.0000000000000002E-2</v>
      </c>
      <c r="X73" s="255">
        <f t="shared" si="101"/>
        <v>-1.2E-2</v>
      </c>
      <c r="Y73" s="256"/>
      <c r="Z73" s="255">
        <f t="shared" ref="Z73:AC73" si="102">+Z72-2%</f>
        <v>-0.04</v>
      </c>
      <c r="AA73" s="255">
        <f t="shared" si="102"/>
        <v>3.2299999999999995E-2</v>
      </c>
      <c r="AB73" s="255">
        <f t="shared" si="102"/>
        <v>2.8000000000000001E-2</v>
      </c>
      <c r="AC73" s="255">
        <f t="shared" si="102"/>
        <v>-8.0000000000000002E-3</v>
      </c>
      <c r="AD73" s="256"/>
      <c r="AE73" s="256">
        <f>+AE72-2%</f>
        <v>0.05</v>
      </c>
      <c r="AF73" s="256">
        <f t="shared" ref="AF73:AG73" si="103">+AF72-2%</f>
        <v>0.05</v>
      </c>
      <c r="AG73" s="256">
        <f t="shared" si="103"/>
        <v>3.9999999999999994E-2</v>
      </c>
      <c r="AH73" s="9"/>
      <c r="AI73" s="9"/>
      <c r="AJ73" s="9"/>
    </row>
    <row r="74" spans="1:36" ht="12.75" customHeight="1" x14ac:dyDescent="0.25">
      <c r="A74" s="9"/>
      <c r="B74" s="9"/>
      <c r="C74" s="9"/>
      <c r="D74" s="9"/>
      <c r="E74" s="9"/>
      <c r="F74" s="254"/>
      <c r="G74" s="254"/>
      <c r="H74" s="254"/>
      <c r="I74" s="254"/>
      <c r="J74" s="132"/>
      <c r="K74" s="254"/>
      <c r="L74" s="254"/>
      <c r="M74" s="254"/>
      <c r="N74" s="254"/>
      <c r="O74" s="132"/>
      <c r="P74" s="254"/>
      <c r="Q74" s="254"/>
      <c r="R74" s="254"/>
      <c r="S74" s="254"/>
      <c r="T74" s="132"/>
      <c r="U74" s="254"/>
      <c r="V74" s="257"/>
      <c r="W74" s="257"/>
      <c r="X74" s="257"/>
      <c r="Y74" s="132"/>
      <c r="Z74" s="257"/>
      <c r="AA74" s="257"/>
      <c r="AB74" s="257"/>
      <c r="AC74" s="257"/>
      <c r="AD74" s="132"/>
      <c r="AE74" s="132"/>
      <c r="AF74" s="132"/>
      <c r="AG74" s="132"/>
      <c r="AH74" s="9"/>
      <c r="AI74" s="9"/>
      <c r="AJ74" s="9"/>
    </row>
    <row r="75" spans="1:36" ht="12.75" hidden="1" customHeight="1" outlineLevel="2" x14ac:dyDescent="0.25">
      <c r="A75" s="9"/>
      <c r="B75" s="9"/>
      <c r="C75" s="84" t="s">
        <v>250</v>
      </c>
      <c r="D75" s="9"/>
      <c r="E75" s="132"/>
      <c r="F75" s="254"/>
      <c r="G75" s="253" t="str">
        <f>IFERROR(#REF!/#REF!-1,"--")</f>
        <v>--</v>
      </c>
      <c r="H75" s="253" t="str">
        <f>IFERROR(#REF!/#REF!-1,"--")</f>
        <v>--</v>
      </c>
      <c r="I75" s="253" t="str">
        <f>IFERROR(#REF!/#REF!-1,"--")</f>
        <v>--</v>
      </c>
      <c r="J75" s="132"/>
      <c r="K75" s="253" t="str">
        <f>IFERROR(#REF!/#REF!-1,"--")</f>
        <v>--</v>
      </c>
      <c r="L75" s="253" t="str">
        <f>IFERROR(#REF!/#REF!-1,"--")</f>
        <v>--</v>
      </c>
      <c r="M75" s="253" t="str">
        <f>IFERROR(#REF!/#REF!-1,"--")</f>
        <v>--</v>
      </c>
      <c r="N75" s="253" t="str">
        <f>IFERROR(#REF!/#REF!-1,"--")</f>
        <v>--</v>
      </c>
      <c r="O75" s="245" t="str">
        <f>IFERROR(#REF!/#REF!-1,"--")</f>
        <v>--</v>
      </c>
      <c r="P75" s="253" t="str">
        <f>IFERROR(#REF!/#REF!-1,"--")</f>
        <v>--</v>
      </c>
      <c r="Q75" s="253" t="str">
        <f>IFERROR(#REF!/#REF!-1,"--")</f>
        <v>--</v>
      </c>
      <c r="R75" s="253" t="str">
        <f>IFERROR(#REF!/#REF!-1,"--")</f>
        <v>--</v>
      </c>
      <c r="S75" s="253" t="str">
        <f>IFERROR(#REF!/#REF!-1,"--")</f>
        <v>--</v>
      </c>
      <c r="T75" s="245" t="str">
        <f>IFERROR(#REF!/#REF!-1,"--")</f>
        <v>--</v>
      </c>
      <c r="U75" s="253" t="str">
        <f>IFERROR(#REF!/#REF!-1,"--")</f>
        <v>--</v>
      </c>
      <c r="V75" s="244">
        <f>IF(Case_Scenario="Bull",V76,IF(Case_Scenario="Base",V77,IF(Case_Scenario="bear",V78,"N/A")))</f>
        <v>0.05</v>
      </c>
      <c r="W75" s="244">
        <f>IF(Case_Scenario="Bull",W76,IF(Case_Scenario="Base",W77,IF(Case_Scenario="bear",W78,"N/A")))</f>
        <v>0.05</v>
      </c>
      <c r="X75" s="244">
        <f>IF(Case_Scenario="Bull",X76,IF(Case_Scenario="Base",X77,IF(Case_Scenario="bear",X78,"N/A")))</f>
        <v>0.05</v>
      </c>
      <c r="Y75" s="245"/>
      <c r="Z75" s="244">
        <f>IF(Case_Scenario="Bull",Z76,IF(Case_Scenario="Base",Z77,IF(Case_Scenario="bear",Z78,"N/A")))</f>
        <v>0.05</v>
      </c>
      <c r="AA75" s="244">
        <f>IF(Case_Scenario="Bull",AA76,IF(Case_Scenario="Base",AA77,IF(Case_Scenario="bear",AA78,"N/A")))</f>
        <v>0.05</v>
      </c>
      <c r="AB75" s="244">
        <f>IF(Case_Scenario="Bull",AB76,IF(Case_Scenario="Base",AB77,IF(Case_Scenario="bear",AB78,"N/A")))</f>
        <v>0.05</v>
      </c>
      <c r="AC75" s="244">
        <f>IF(Case_Scenario="Bull",AC76,IF(Case_Scenario="Base",AC77,IF(Case_Scenario="bear",AC78,"N/A")))</f>
        <v>0.05</v>
      </c>
      <c r="AD75" s="245"/>
      <c r="AE75" s="245">
        <f>IF(Case_Scenario="Bull",AE76,IF(Case_Scenario="Base",AE77,IF(Case_Scenario="bear",AE78,"N/A")))</f>
        <v>0.05</v>
      </c>
      <c r="AF75" s="245">
        <f>IF(Case_Scenario="Bull",AF76,IF(Case_Scenario="Base",AF77,IF(Case_Scenario="bear",AF78,"N/A")))</f>
        <v>0.05</v>
      </c>
      <c r="AG75" s="245">
        <f>IF(Case_Scenario="Bull",AG76,IF(Case_Scenario="Base",AG77,IF(Case_Scenario="bear",AG78,"N/A")))</f>
        <v>0.05</v>
      </c>
      <c r="AH75" s="9"/>
      <c r="AI75" s="9"/>
      <c r="AJ75" s="9"/>
    </row>
    <row r="76" spans="1:36" ht="12.75" hidden="1" customHeight="1" outlineLevel="2" x14ac:dyDescent="0.25">
      <c r="A76" s="9"/>
      <c r="B76" s="9"/>
      <c r="C76" s="103" t="s">
        <v>246</v>
      </c>
      <c r="D76" s="9"/>
      <c r="E76" s="132"/>
      <c r="F76" s="254"/>
      <c r="G76" s="254"/>
      <c r="H76" s="254"/>
      <c r="I76" s="254"/>
      <c r="J76" s="132"/>
      <c r="K76" s="254"/>
      <c r="L76" s="254"/>
      <c r="M76" s="254"/>
      <c r="N76" s="254"/>
      <c r="O76" s="132"/>
      <c r="P76" s="254"/>
      <c r="Q76" s="254"/>
      <c r="R76" s="254"/>
      <c r="S76" s="254"/>
      <c r="T76" s="132"/>
      <c r="U76" s="254"/>
      <c r="V76" s="255">
        <v>0.1</v>
      </c>
      <c r="W76" s="255">
        <v>0.1</v>
      </c>
      <c r="X76" s="255">
        <v>0.1</v>
      </c>
      <c r="Y76" s="256"/>
      <c r="Z76" s="255">
        <v>0.1</v>
      </c>
      <c r="AA76" s="255">
        <v>0.1</v>
      </c>
      <c r="AB76" s="255">
        <v>0.1</v>
      </c>
      <c r="AC76" s="255">
        <v>0.1</v>
      </c>
      <c r="AD76" s="256"/>
      <c r="AE76" s="256">
        <v>0.1</v>
      </c>
      <c r="AF76" s="256">
        <v>0.1</v>
      </c>
      <c r="AG76" s="256">
        <v>0.1</v>
      </c>
      <c r="AH76" s="9"/>
      <c r="AI76" s="9"/>
      <c r="AJ76" s="9"/>
    </row>
    <row r="77" spans="1:36" ht="12.75" hidden="1" customHeight="1" outlineLevel="2" x14ac:dyDescent="0.25">
      <c r="A77" s="9"/>
      <c r="B77" s="9"/>
      <c r="C77" s="103" t="s">
        <v>247</v>
      </c>
      <c r="D77" s="9"/>
      <c r="E77" s="132"/>
      <c r="F77" s="254"/>
      <c r="G77" s="254"/>
      <c r="H77" s="254"/>
      <c r="I77" s="254"/>
      <c r="J77" s="132"/>
      <c r="K77" s="254"/>
      <c r="L77" s="254"/>
      <c r="M77" s="254"/>
      <c r="N77" s="254"/>
      <c r="O77" s="132"/>
      <c r="P77" s="254"/>
      <c r="Q77" s="254"/>
      <c r="R77" s="254"/>
      <c r="S77" s="254"/>
      <c r="T77" s="132"/>
      <c r="U77" s="254"/>
      <c r="V77" s="255">
        <v>0.05</v>
      </c>
      <c r="W77" s="255">
        <v>0.05</v>
      </c>
      <c r="X77" s="255">
        <v>0.05</v>
      </c>
      <c r="Y77" s="256"/>
      <c r="Z77" s="255">
        <v>0.05</v>
      </c>
      <c r="AA77" s="255">
        <v>0.05</v>
      </c>
      <c r="AB77" s="255">
        <v>0.05</v>
      </c>
      <c r="AC77" s="255">
        <v>0.05</v>
      </c>
      <c r="AD77" s="256"/>
      <c r="AE77" s="256">
        <v>0.05</v>
      </c>
      <c r="AF77" s="256">
        <v>0.05</v>
      </c>
      <c r="AG77" s="256">
        <v>0.05</v>
      </c>
      <c r="AH77" s="9"/>
      <c r="AI77" s="9"/>
      <c r="AJ77" s="9"/>
    </row>
    <row r="78" spans="1:36" ht="12.75" hidden="1" customHeight="1" outlineLevel="2" x14ac:dyDescent="0.25">
      <c r="A78" s="9"/>
      <c r="B78" s="9"/>
      <c r="C78" s="103" t="s">
        <v>248</v>
      </c>
      <c r="D78" s="9"/>
      <c r="E78" s="132"/>
      <c r="F78" s="254"/>
      <c r="G78" s="254"/>
      <c r="H78" s="254"/>
      <c r="I78" s="254"/>
      <c r="J78" s="132"/>
      <c r="K78" s="254"/>
      <c r="L78" s="254"/>
      <c r="M78" s="254"/>
      <c r="N78" s="254"/>
      <c r="O78" s="132"/>
      <c r="P78" s="254"/>
      <c r="Q78" s="254"/>
      <c r="R78" s="254"/>
      <c r="S78" s="254"/>
      <c r="T78" s="132"/>
      <c r="U78" s="254"/>
      <c r="V78" s="255">
        <v>0</v>
      </c>
      <c r="W78" s="255">
        <v>0</v>
      </c>
      <c r="X78" s="255">
        <v>0</v>
      </c>
      <c r="Y78" s="256"/>
      <c r="Z78" s="255">
        <v>0</v>
      </c>
      <c r="AA78" s="255">
        <v>0</v>
      </c>
      <c r="AB78" s="255">
        <v>0</v>
      </c>
      <c r="AC78" s="255">
        <v>0</v>
      </c>
      <c r="AD78" s="256"/>
      <c r="AE78" s="256">
        <v>0</v>
      </c>
      <c r="AF78" s="256">
        <v>0</v>
      </c>
      <c r="AG78" s="256">
        <v>0</v>
      </c>
      <c r="AH78" s="9"/>
      <c r="AI78" s="9"/>
      <c r="AJ78" s="9"/>
    </row>
    <row r="79" spans="1:36" ht="12.75" hidden="1" customHeight="1" outlineLevel="2" x14ac:dyDescent="0.25">
      <c r="A79" s="9"/>
      <c r="B79" s="9"/>
      <c r="C79" s="103" t="s">
        <v>161</v>
      </c>
      <c r="D79" s="9"/>
      <c r="E79" s="132"/>
      <c r="F79" s="252" t="str">
        <f>IFERROR(#REF!/#REF!,"--")</f>
        <v>--</v>
      </c>
      <c r="G79" s="252" t="str">
        <f>IFERROR(#REF!/#REF!,"--")</f>
        <v>--</v>
      </c>
      <c r="H79" s="252" t="str">
        <f>IFERROR(#REF!/#REF!,"--")</f>
        <v>--</v>
      </c>
      <c r="I79" s="252" t="str">
        <f>IFERROR(#REF!/#REF!,"--")</f>
        <v>--</v>
      </c>
      <c r="J79" s="227" t="str">
        <f>IFERROR(#REF!/#REF!,"--")</f>
        <v>--</v>
      </c>
      <c r="K79" s="252" t="str">
        <f>IFERROR(#REF!/#REF!,"--")</f>
        <v>--</v>
      </c>
      <c r="L79" s="252" t="str">
        <f>IFERROR(#REF!/#REF!,"--")</f>
        <v>--</v>
      </c>
      <c r="M79" s="252" t="str">
        <f>IFERROR(#REF!/#REF!,"--")</f>
        <v>--</v>
      </c>
      <c r="N79" s="252" t="str">
        <f>IFERROR(#REF!/#REF!,"--")</f>
        <v>--</v>
      </c>
      <c r="O79" s="227" t="str">
        <f>IFERROR(#REF!/#REF!,"--")</f>
        <v>--</v>
      </c>
      <c r="P79" s="252" t="str">
        <f>IFERROR(#REF!/#REF!,"--")</f>
        <v>--</v>
      </c>
      <c r="Q79" s="252" t="str">
        <f>IFERROR(#REF!/#REF!,"--")</f>
        <v>--</v>
      </c>
      <c r="R79" s="252" t="str">
        <f>IFERROR(#REF!/#REF!,"--")</f>
        <v>--</v>
      </c>
      <c r="S79" s="252" t="str">
        <f>IFERROR(#REF!/#REF!,"--")</f>
        <v>--</v>
      </c>
      <c r="T79" s="227" t="str">
        <f>IFERROR(#REF!/#REF!,"--")</f>
        <v>--</v>
      </c>
      <c r="U79" s="252" t="str">
        <f>IFERROR(#REF!/#REF!,"--")</f>
        <v>--</v>
      </c>
      <c r="V79" s="226" t="e">
        <f t="shared" ref="V79" si="104">U79*(1+V80)</f>
        <v>#VALUE!</v>
      </c>
      <c r="W79" s="226" t="e">
        <f t="shared" ref="W79" si="105">V79*(1+W80)</f>
        <v>#VALUE!</v>
      </c>
      <c r="X79" s="226" t="e">
        <f t="shared" ref="X79" si="106">W79*(1+X80)</f>
        <v>#VALUE!</v>
      </c>
      <c r="Y79" s="227" t="e">
        <f>#REF!/#REF!</f>
        <v>#REF!</v>
      </c>
      <c r="Z79" s="226" t="e">
        <f>X79*(1+Z80)</f>
        <v>#VALUE!</v>
      </c>
      <c r="AA79" s="226" t="e">
        <f t="shared" ref="AA79:AC79" si="107">Z79*(1+AA80)</f>
        <v>#VALUE!</v>
      </c>
      <c r="AB79" s="226" t="e">
        <f t="shared" si="107"/>
        <v>#VALUE!</v>
      </c>
      <c r="AC79" s="226" t="e">
        <f t="shared" si="107"/>
        <v>#VALUE!</v>
      </c>
      <c r="AD79" s="227" t="e">
        <f>#REF!/#REF!</f>
        <v>#REF!</v>
      </c>
      <c r="AE79" s="227" t="e">
        <f t="shared" ref="AE79:AG79" si="108">AD79*(1+AE80)</f>
        <v>#REF!</v>
      </c>
      <c r="AF79" s="227" t="e">
        <f t="shared" si="108"/>
        <v>#REF!</v>
      </c>
      <c r="AG79" s="227" t="e">
        <f t="shared" si="108"/>
        <v>#REF!</v>
      </c>
      <c r="AH79" s="9"/>
      <c r="AI79" s="9"/>
      <c r="AJ79" s="9"/>
    </row>
    <row r="80" spans="1:36" ht="12.75" hidden="1" customHeight="1" outlineLevel="2" x14ac:dyDescent="0.25">
      <c r="A80" s="9"/>
      <c r="B80" s="9"/>
      <c r="C80" s="84" t="s">
        <v>251</v>
      </c>
      <c r="D80" s="9"/>
      <c r="E80" s="132"/>
      <c r="F80" s="254"/>
      <c r="G80" s="253" t="str">
        <f t="shared" ref="G80:I80" si="109">IFERROR(G79/F79-1,"--")</f>
        <v>--</v>
      </c>
      <c r="H80" s="253" t="str">
        <f t="shared" si="109"/>
        <v>--</v>
      </c>
      <c r="I80" s="253" t="str">
        <f t="shared" si="109"/>
        <v>--</v>
      </c>
      <c r="J80" s="132"/>
      <c r="K80" s="253" t="str">
        <f>IFERROR(K79/I79-1,"--")</f>
        <v>--</v>
      </c>
      <c r="L80" s="253" t="str">
        <f t="shared" ref="L80:N80" si="110">IFERROR(L79/K79-1,"--")</f>
        <v>--</v>
      </c>
      <c r="M80" s="253" t="str">
        <f t="shared" si="110"/>
        <v>--</v>
      </c>
      <c r="N80" s="253" t="str">
        <f t="shared" si="110"/>
        <v>--</v>
      </c>
      <c r="O80" s="245" t="str">
        <f>IFERROR(O79/J79-1,"--")</f>
        <v>--</v>
      </c>
      <c r="P80" s="253" t="str">
        <f>IFERROR(P79/N79-1,"--")</f>
        <v>--</v>
      </c>
      <c r="Q80" s="253" t="str">
        <f t="shared" ref="Q80:S80" si="111">IFERROR(Q79/P79-1,"--")</f>
        <v>--</v>
      </c>
      <c r="R80" s="253" t="str">
        <f t="shared" si="111"/>
        <v>--</v>
      </c>
      <c r="S80" s="253" t="str">
        <f t="shared" si="111"/>
        <v>--</v>
      </c>
      <c r="T80" s="245" t="str">
        <f>IFERROR(T79/O79-1,"--")</f>
        <v>--</v>
      </c>
      <c r="U80" s="253" t="str">
        <f>IFERROR(U79/S79-1,"--")</f>
        <v>--</v>
      </c>
      <c r="V80" s="244">
        <f>IF(Case_Scenario="Bull",V81,IF(Case_Scenario="Base",V82,IF(Case_Scenario="bear",V83,"N/A")))</f>
        <v>0.05</v>
      </c>
      <c r="W80" s="244">
        <f>IF(Case_Scenario="Bull",W81,IF(Case_Scenario="Base",W82,IF(Case_Scenario="bear",W83,"N/A")))</f>
        <v>0.05</v>
      </c>
      <c r="X80" s="244">
        <f>IF(Case_Scenario="Bull",X81,IF(Case_Scenario="Base",X82,IF(Case_Scenario="bear",X83,"N/A")))</f>
        <v>0.05</v>
      </c>
      <c r="Y80" s="245"/>
      <c r="Z80" s="244">
        <f>IF(Case_Scenario="Bull",Z81,IF(Case_Scenario="Base",Z82,IF(Case_Scenario="bear",Z83,"N/A")))</f>
        <v>0.05</v>
      </c>
      <c r="AA80" s="244">
        <f>IF(Case_Scenario="Bull",AA81,IF(Case_Scenario="Base",AA82,IF(Case_Scenario="bear",AA83,"N/A")))</f>
        <v>0.05</v>
      </c>
      <c r="AB80" s="244">
        <f>IF(Case_Scenario="Bull",AB81,IF(Case_Scenario="Base",AB82,IF(Case_Scenario="bear",AB83,"N/A")))</f>
        <v>0.05</v>
      </c>
      <c r="AC80" s="244">
        <f>IF(Case_Scenario="Bull",AC81,IF(Case_Scenario="Base",AC82,IF(Case_Scenario="bear",AC83,"N/A")))</f>
        <v>0.05</v>
      </c>
      <c r="AD80" s="245"/>
      <c r="AE80" s="245">
        <f>IF(Case_Scenario="Bull",AE81,IF(Case_Scenario="Base",AE82,IF(Case_Scenario="bear",AE83,"N/A")))</f>
        <v>0.05</v>
      </c>
      <c r="AF80" s="245">
        <f>IF(Case_Scenario="Bull",AF81,IF(Case_Scenario="Base",AF82,IF(Case_Scenario="bear",AF83,"N/A")))</f>
        <v>0.05</v>
      </c>
      <c r="AG80" s="245">
        <f>IF(Case_Scenario="Bull",AG81,IF(Case_Scenario="Base",AG82,IF(Case_Scenario="bear",AG83,"N/A")))</f>
        <v>0.05</v>
      </c>
      <c r="AH80" s="9"/>
      <c r="AI80" s="9"/>
      <c r="AJ80" s="9"/>
    </row>
    <row r="81" spans="1:36" ht="12.75" hidden="1" customHeight="1" outlineLevel="2" x14ac:dyDescent="0.25">
      <c r="A81" s="9"/>
      <c r="B81" s="9"/>
      <c r="C81" s="103" t="s">
        <v>246</v>
      </c>
      <c r="D81" s="9"/>
      <c r="E81" s="132"/>
      <c r="F81" s="254"/>
      <c r="G81" s="254"/>
      <c r="H81" s="254"/>
      <c r="I81" s="254"/>
      <c r="J81" s="132"/>
      <c r="K81" s="254"/>
      <c r="L81" s="254"/>
      <c r="M81" s="254"/>
      <c r="N81" s="254"/>
      <c r="O81" s="132"/>
      <c r="P81" s="254"/>
      <c r="Q81" s="254"/>
      <c r="R81" s="254"/>
      <c r="S81" s="254"/>
      <c r="T81" s="132"/>
      <c r="U81" s="254"/>
      <c r="V81" s="255">
        <v>0.1</v>
      </c>
      <c r="W81" s="255">
        <v>0.1</v>
      </c>
      <c r="X81" s="255">
        <v>0.1</v>
      </c>
      <c r="Y81" s="256"/>
      <c r="Z81" s="255">
        <v>0.1</v>
      </c>
      <c r="AA81" s="255">
        <v>0.1</v>
      </c>
      <c r="AB81" s="255">
        <v>0.1</v>
      </c>
      <c r="AC81" s="255">
        <v>0.1</v>
      </c>
      <c r="AD81" s="256"/>
      <c r="AE81" s="256">
        <v>0.1</v>
      </c>
      <c r="AF81" s="256">
        <v>0.1</v>
      </c>
      <c r="AG81" s="256">
        <v>0.1</v>
      </c>
      <c r="AH81" s="9"/>
      <c r="AI81" s="9"/>
      <c r="AJ81" s="9"/>
    </row>
    <row r="82" spans="1:36" ht="12.75" hidden="1" customHeight="1" outlineLevel="2" x14ac:dyDescent="0.25">
      <c r="A82" s="9"/>
      <c r="B82" s="9"/>
      <c r="C82" s="103" t="s">
        <v>247</v>
      </c>
      <c r="D82" s="9"/>
      <c r="E82" s="132"/>
      <c r="F82" s="254"/>
      <c r="G82" s="254"/>
      <c r="H82" s="254"/>
      <c r="I82" s="254"/>
      <c r="J82" s="132"/>
      <c r="K82" s="254"/>
      <c r="L82" s="254"/>
      <c r="M82" s="254"/>
      <c r="N82" s="254"/>
      <c r="O82" s="132"/>
      <c r="P82" s="254"/>
      <c r="Q82" s="254"/>
      <c r="R82" s="254"/>
      <c r="S82" s="254"/>
      <c r="T82" s="132"/>
      <c r="U82" s="254"/>
      <c r="V82" s="255">
        <v>0.05</v>
      </c>
      <c r="W82" s="255">
        <v>0.05</v>
      </c>
      <c r="X82" s="255">
        <v>0.05</v>
      </c>
      <c r="Y82" s="256"/>
      <c r="Z82" s="255">
        <v>0.05</v>
      </c>
      <c r="AA82" s="255">
        <v>0.05</v>
      </c>
      <c r="AB82" s="255">
        <v>0.05</v>
      </c>
      <c r="AC82" s="255">
        <v>0.05</v>
      </c>
      <c r="AD82" s="256"/>
      <c r="AE82" s="256">
        <v>0.05</v>
      </c>
      <c r="AF82" s="256">
        <v>0.05</v>
      </c>
      <c r="AG82" s="256">
        <v>0.05</v>
      </c>
      <c r="AH82" s="9"/>
      <c r="AI82" s="9"/>
      <c r="AJ82" s="9"/>
    </row>
    <row r="83" spans="1:36" ht="12.75" hidden="1" customHeight="1" outlineLevel="2" x14ac:dyDescent="0.25">
      <c r="A83" s="9"/>
      <c r="B83" s="9"/>
      <c r="C83" s="103" t="s">
        <v>248</v>
      </c>
      <c r="D83" s="9"/>
      <c r="E83" s="132"/>
      <c r="F83" s="254"/>
      <c r="G83" s="254"/>
      <c r="H83" s="254"/>
      <c r="I83" s="254"/>
      <c r="J83" s="132"/>
      <c r="K83" s="254"/>
      <c r="L83" s="254"/>
      <c r="M83" s="254"/>
      <c r="N83" s="254"/>
      <c r="O83" s="132"/>
      <c r="P83" s="254"/>
      <c r="Q83" s="254"/>
      <c r="R83" s="254"/>
      <c r="S83" s="254"/>
      <c r="T83" s="132"/>
      <c r="U83" s="254"/>
      <c r="V83" s="255">
        <v>0</v>
      </c>
      <c r="W83" s="255">
        <v>0</v>
      </c>
      <c r="X83" s="255">
        <v>0</v>
      </c>
      <c r="Y83" s="256"/>
      <c r="Z83" s="255">
        <v>0</v>
      </c>
      <c r="AA83" s="255">
        <v>0</v>
      </c>
      <c r="AB83" s="255">
        <v>0</v>
      </c>
      <c r="AC83" s="255">
        <v>0</v>
      </c>
      <c r="AD83" s="256"/>
      <c r="AE83" s="256">
        <v>0</v>
      </c>
      <c r="AF83" s="256">
        <v>0</v>
      </c>
      <c r="AG83" s="256">
        <v>0</v>
      </c>
      <c r="AH83" s="9"/>
      <c r="AI83" s="9"/>
      <c r="AJ83" s="9"/>
    </row>
    <row r="84" spans="1:36" ht="12.75" hidden="1" customHeight="1" outlineLevel="2" x14ac:dyDescent="0.25">
      <c r="A84" s="9"/>
      <c r="B84" s="9"/>
      <c r="C84" s="9"/>
      <c r="D84" s="9"/>
      <c r="E84" s="132"/>
      <c r="F84" s="254"/>
      <c r="G84" s="254"/>
      <c r="H84" s="254"/>
      <c r="I84" s="254"/>
      <c r="J84" s="132"/>
      <c r="K84" s="254"/>
      <c r="L84" s="254"/>
      <c r="M84" s="254"/>
      <c r="N84" s="254"/>
      <c r="O84" s="132"/>
      <c r="P84" s="254"/>
      <c r="Q84" s="254"/>
      <c r="R84" s="254"/>
      <c r="S84" s="254"/>
      <c r="T84" s="132"/>
      <c r="U84" s="254"/>
      <c r="V84" s="257"/>
      <c r="W84" s="257"/>
      <c r="X84" s="257"/>
      <c r="Y84" s="132"/>
      <c r="Z84" s="257"/>
      <c r="AA84" s="257"/>
      <c r="AB84" s="257"/>
      <c r="AC84" s="257"/>
      <c r="AD84" s="132"/>
      <c r="AE84" s="132"/>
      <c r="AF84" s="132"/>
      <c r="AG84" s="132"/>
      <c r="AH84" s="9"/>
      <c r="AI84" s="9"/>
      <c r="AJ84" s="9"/>
    </row>
    <row r="85" spans="1:36" ht="12.75" hidden="1" customHeight="1" outlineLevel="2" x14ac:dyDescent="0.25">
      <c r="A85" s="205" t="s">
        <v>0</v>
      </c>
      <c r="B85" s="9"/>
      <c r="C85" s="103" t="str">
        <f>C41</f>
        <v>Net Card Fees Revenue</v>
      </c>
      <c r="D85" s="9"/>
      <c r="E85" s="132"/>
      <c r="F85" s="252">
        <f t="shared" ref="F85:T85" si="112">F41</f>
        <v>1713</v>
      </c>
      <c r="G85" s="252">
        <f t="shared" si="112"/>
        <v>1789</v>
      </c>
      <c r="H85" s="252">
        <f t="shared" si="112"/>
        <v>1846</v>
      </c>
      <c r="I85" s="252">
        <f t="shared" si="112"/>
        <v>1907</v>
      </c>
      <c r="J85" s="227">
        <f t="shared" si="112"/>
        <v>7255</v>
      </c>
      <c r="K85" s="252">
        <f t="shared" si="112"/>
        <v>1974</v>
      </c>
      <c r="L85" s="252">
        <f t="shared" si="112"/>
        <v>2060</v>
      </c>
      <c r="M85" s="252">
        <f t="shared" si="112"/>
        <v>2170</v>
      </c>
      <c r="N85" s="252">
        <f t="shared" si="112"/>
        <v>2245</v>
      </c>
      <c r="O85" s="227">
        <f t="shared" si="112"/>
        <v>8449</v>
      </c>
      <c r="P85" s="252">
        <f t="shared" si="112"/>
        <v>2333</v>
      </c>
      <c r="Q85" s="252">
        <f t="shared" si="112"/>
        <v>2480</v>
      </c>
      <c r="R85" s="252">
        <f t="shared" si="112"/>
        <v>2551</v>
      </c>
      <c r="S85" s="252">
        <f t="shared" si="112"/>
        <v>2629</v>
      </c>
      <c r="T85" s="227">
        <f t="shared" si="112"/>
        <v>9993</v>
      </c>
      <c r="U85" s="252">
        <f t="shared" ref="U85" si="113">U41</f>
        <v>2752</v>
      </c>
      <c r="V85" s="226">
        <f t="shared" ref="V85:X85" si="114">V86*V91</f>
        <v>3034.0800000000004</v>
      </c>
      <c r="W85" s="226">
        <f t="shared" si="114"/>
        <v>3345.0732000000007</v>
      </c>
      <c r="X85" s="226">
        <f t="shared" si="114"/>
        <v>3687.9432030000012</v>
      </c>
      <c r="Y85" s="227">
        <f t="shared" ref="Y85:Y86" si="115">SUM(U85:X85)</f>
        <v>12819.096403000001</v>
      </c>
      <c r="Z85" s="226">
        <f t="shared" ref="Z85:AC85" si="116">Z86*Z91</f>
        <v>4065.9573813075017</v>
      </c>
      <c r="AA85" s="226">
        <f t="shared" si="116"/>
        <v>4482.7180128915206</v>
      </c>
      <c r="AB85" s="226">
        <f t="shared" si="116"/>
        <v>4942.1966092129032</v>
      </c>
      <c r="AC85" s="226">
        <f t="shared" si="116"/>
        <v>5448.7717616572263</v>
      </c>
      <c r="AD85" s="227">
        <f t="shared" ref="AD85:AD86" si="117">SUM(Z85:AC85)</f>
        <v>18939.643765069151</v>
      </c>
      <c r="AE85" s="227">
        <f t="shared" ref="AE85:AG85" si="118">AE86*AE91</f>
        <v>20880.957250988748</v>
      </c>
      <c r="AF85" s="227">
        <f t="shared" si="118"/>
        <v>23021.255369215094</v>
      </c>
      <c r="AG85" s="227">
        <f t="shared" si="118"/>
        <v>25380.934044559639</v>
      </c>
      <c r="AH85" s="9"/>
      <c r="AI85" s="9"/>
      <c r="AJ85" s="9"/>
    </row>
    <row r="86" spans="1:36" ht="12.75" hidden="1" customHeight="1" outlineLevel="2" x14ac:dyDescent="0.25">
      <c r="A86" s="9"/>
      <c r="B86" s="9"/>
      <c r="C86" s="103" t="s">
        <v>249</v>
      </c>
      <c r="D86" s="9"/>
      <c r="E86" s="132"/>
      <c r="F86" s="260">
        <v>220</v>
      </c>
      <c r="G86" s="260">
        <v>220</v>
      </c>
      <c r="H86" s="260">
        <v>220</v>
      </c>
      <c r="I86" s="260">
        <v>220</v>
      </c>
      <c r="J86" s="261">
        <f>SUM(F86:I86)</f>
        <v>880</v>
      </c>
      <c r="K86" s="260">
        <v>220</v>
      </c>
      <c r="L86" s="260">
        <v>220</v>
      </c>
      <c r="M86" s="260">
        <v>220</v>
      </c>
      <c r="N86" s="260">
        <v>220</v>
      </c>
      <c r="O86" s="261">
        <f>SUM(K86:N86)</f>
        <v>880</v>
      </c>
      <c r="P86" s="260">
        <v>220</v>
      </c>
      <c r="Q86" s="260">
        <v>220</v>
      </c>
      <c r="R86" s="260">
        <v>220</v>
      </c>
      <c r="S86" s="260">
        <v>220</v>
      </c>
      <c r="T86" s="261">
        <f>SUM(P86:S86)</f>
        <v>880</v>
      </c>
      <c r="U86" s="260">
        <v>220</v>
      </c>
      <c r="V86" s="262">
        <f t="shared" ref="V86" si="119">U86*(1+V87)</f>
        <v>231</v>
      </c>
      <c r="W86" s="262">
        <f t="shared" ref="W86" si="120">V86*(1+W87)</f>
        <v>242.55</v>
      </c>
      <c r="X86" s="262">
        <f t="shared" ref="X86" si="121">W86*(1+X87)</f>
        <v>254.67750000000001</v>
      </c>
      <c r="Y86" s="261">
        <f t="shared" si="115"/>
        <v>948.22749999999996</v>
      </c>
      <c r="Z86" s="262">
        <f>X86*(1+Z87)</f>
        <v>267.41137500000002</v>
      </c>
      <c r="AA86" s="262">
        <f t="shared" ref="AA86:AC86" si="122">Z86*(1+AA87)</f>
        <v>280.78194375000004</v>
      </c>
      <c r="AB86" s="262">
        <f t="shared" si="122"/>
        <v>294.82104093750007</v>
      </c>
      <c r="AC86" s="262">
        <f t="shared" si="122"/>
        <v>309.56209298437511</v>
      </c>
      <c r="AD86" s="261">
        <f t="shared" si="117"/>
        <v>1152.5764526718754</v>
      </c>
      <c r="AE86" s="261">
        <f t="shared" ref="AE86:AG86" si="123">AD86*(1+AE87)</f>
        <v>1210.2052753054693</v>
      </c>
      <c r="AF86" s="261">
        <f t="shared" si="123"/>
        <v>1270.7155390707428</v>
      </c>
      <c r="AG86" s="261">
        <f t="shared" si="123"/>
        <v>1334.25131602428</v>
      </c>
      <c r="AH86" s="9"/>
      <c r="AI86" s="9"/>
      <c r="AJ86" s="9"/>
    </row>
    <row r="87" spans="1:36" ht="12.75" hidden="1" customHeight="1" outlineLevel="2" x14ac:dyDescent="0.25">
      <c r="A87" s="9"/>
      <c r="B87" s="9"/>
      <c r="C87" s="84" t="s">
        <v>250</v>
      </c>
      <c r="D87" s="9"/>
      <c r="E87" s="132"/>
      <c r="F87" s="254"/>
      <c r="G87" s="253">
        <f t="shared" ref="G87:I87" si="124">IFERROR(G86/F86-1,"--")</f>
        <v>0</v>
      </c>
      <c r="H87" s="253">
        <f t="shared" si="124"/>
        <v>0</v>
      </c>
      <c r="I87" s="253">
        <f t="shared" si="124"/>
        <v>0</v>
      </c>
      <c r="J87" s="132"/>
      <c r="K87" s="253">
        <f>IFERROR(K86/I86-1,"--")</f>
        <v>0</v>
      </c>
      <c r="L87" s="253">
        <f t="shared" ref="L87:N87" si="125">IFERROR(L86/K86-1,"--")</f>
        <v>0</v>
      </c>
      <c r="M87" s="253">
        <f t="shared" si="125"/>
        <v>0</v>
      </c>
      <c r="N87" s="253">
        <f t="shared" si="125"/>
        <v>0</v>
      </c>
      <c r="O87" s="245">
        <f>IFERROR(O86/J86-1,"--")</f>
        <v>0</v>
      </c>
      <c r="P87" s="253">
        <f>IFERROR(P86/N86-1,"--")</f>
        <v>0</v>
      </c>
      <c r="Q87" s="253">
        <f t="shared" ref="Q87:S87" si="126">IFERROR(Q86/P86-1,"--")</f>
        <v>0</v>
      </c>
      <c r="R87" s="253">
        <f t="shared" si="126"/>
        <v>0</v>
      </c>
      <c r="S87" s="253">
        <f t="shared" si="126"/>
        <v>0</v>
      </c>
      <c r="T87" s="245">
        <f>IFERROR(T86/O86-1,"--")</f>
        <v>0</v>
      </c>
      <c r="U87" s="253">
        <f>IFERROR(U86/S86-1,"--")</f>
        <v>0</v>
      </c>
      <c r="V87" s="244">
        <f>IF(Case_Scenario="Bull",V88,IF(Case_Scenario="Base",V89,IF(Case_Scenario="bear",V90,"N/A")))</f>
        <v>0.05</v>
      </c>
      <c r="W87" s="244">
        <f>IF(Case_Scenario="Bull",W88,IF(Case_Scenario="Base",W89,IF(Case_Scenario="bear",W90,"N/A")))</f>
        <v>0.05</v>
      </c>
      <c r="X87" s="244">
        <f>IF(Case_Scenario="Bull",X88,IF(Case_Scenario="Base",X89,IF(Case_Scenario="bear",X90,"N/A")))</f>
        <v>0.05</v>
      </c>
      <c r="Y87" s="245"/>
      <c r="Z87" s="244">
        <f>IF(Case_Scenario="Bull",Z88,IF(Case_Scenario="Base",Z89,IF(Case_Scenario="bear",Z90,"N/A")))</f>
        <v>0.05</v>
      </c>
      <c r="AA87" s="244">
        <f>IF(Case_Scenario="Bull",AA88,IF(Case_Scenario="Base",AA89,IF(Case_Scenario="bear",AA90,"N/A")))</f>
        <v>0.05</v>
      </c>
      <c r="AB87" s="244">
        <f>IF(Case_Scenario="Bull",AB88,IF(Case_Scenario="Base",AB89,IF(Case_Scenario="bear",AB90,"N/A")))</f>
        <v>0.05</v>
      </c>
      <c r="AC87" s="244">
        <f>IF(Case_Scenario="Bull",AC88,IF(Case_Scenario="Base",AC89,IF(Case_Scenario="bear",AC90,"N/A")))</f>
        <v>0.05</v>
      </c>
      <c r="AD87" s="245"/>
      <c r="AE87" s="245">
        <f>IF(Case_Scenario="Bull",AE88,IF(Case_Scenario="Base",AE89,IF(Case_Scenario="bear",AE90,"N/A")))</f>
        <v>0.05</v>
      </c>
      <c r="AF87" s="245">
        <f>IF(Case_Scenario="Bull",AF88,IF(Case_Scenario="Base",AF89,IF(Case_Scenario="bear",AF90,"N/A")))</f>
        <v>0.05</v>
      </c>
      <c r="AG87" s="245">
        <f>IF(Case_Scenario="Bull",AG88,IF(Case_Scenario="Base",AG89,IF(Case_Scenario="bear",AG90,"N/A")))</f>
        <v>0.05</v>
      </c>
      <c r="AH87" s="9"/>
      <c r="AI87" s="9"/>
      <c r="AJ87" s="9"/>
    </row>
    <row r="88" spans="1:36" ht="12.75" hidden="1" customHeight="1" outlineLevel="2" x14ac:dyDescent="0.25">
      <c r="A88" s="9"/>
      <c r="B88" s="9"/>
      <c r="C88" s="103" t="s">
        <v>246</v>
      </c>
      <c r="D88" s="9"/>
      <c r="E88" s="132"/>
      <c r="F88" s="254"/>
      <c r="G88" s="254"/>
      <c r="H88" s="254"/>
      <c r="I88" s="254"/>
      <c r="J88" s="132"/>
      <c r="K88" s="254"/>
      <c r="L88" s="254"/>
      <c r="M88" s="254"/>
      <c r="N88" s="254"/>
      <c r="O88" s="132"/>
      <c r="P88" s="254"/>
      <c r="Q88" s="254"/>
      <c r="R88" s="254"/>
      <c r="S88" s="254"/>
      <c r="T88" s="132"/>
      <c r="U88" s="254"/>
      <c r="V88" s="255">
        <v>0.1</v>
      </c>
      <c r="W88" s="255">
        <v>0.1</v>
      </c>
      <c r="X88" s="255">
        <v>0.1</v>
      </c>
      <c r="Y88" s="256"/>
      <c r="Z88" s="255">
        <v>0.1</v>
      </c>
      <c r="AA88" s="255">
        <v>0.1</v>
      </c>
      <c r="AB88" s="255">
        <v>0.1</v>
      </c>
      <c r="AC88" s="255">
        <v>0.1</v>
      </c>
      <c r="AD88" s="256"/>
      <c r="AE88" s="256">
        <v>0.1</v>
      </c>
      <c r="AF88" s="256">
        <v>0.1</v>
      </c>
      <c r="AG88" s="256">
        <v>0.1</v>
      </c>
      <c r="AH88" s="9"/>
      <c r="AI88" s="9"/>
      <c r="AJ88" s="9"/>
    </row>
    <row r="89" spans="1:36" ht="12.75" hidden="1" customHeight="1" outlineLevel="2" x14ac:dyDescent="0.25">
      <c r="A89" s="9"/>
      <c r="B89" s="9"/>
      <c r="C89" s="103" t="s">
        <v>247</v>
      </c>
      <c r="D89" s="9"/>
      <c r="E89" s="132"/>
      <c r="F89" s="254"/>
      <c r="G89" s="254"/>
      <c r="H89" s="254"/>
      <c r="I89" s="254"/>
      <c r="J89" s="132"/>
      <c r="K89" s="254"/>
      <c r="L89" s="254"/>
      <c r="M89" s="254"/>
      <c r="N89" s="254"/>
      <c r="O89" s="132"/>
      <c r="P89" s="254"/>
      <c r="Q89" s="254"/>
      <c r="R89" s="254"/>
      <c r="S89" s="254"/>
      <c r="T89" s="132"/>
      <c r="U89" s="254"/>
      <c r="V89" s="255">
        <v>0.05</v>
      </c>
      <c r="W89" s="255">
        <v>0.05</v>
      </c>
      <c r="X89" s="255">
        <v>0.05</v>
      </c>
      <c r="Y89" s="256"/>
      <c r="Z89" s="255">
        <v>0.05</v>
      </c>
      <c r="AA89" s="255">
        <v>0.05</v>
      </c>
      <c r="AB89" s="255">
        <v>0.05</v>
      </c>
      <c r="AC89" s="255">
        <v>0.05</v>
      </c>
      <c r="AD89" s="256"/>
      <c r="AE89" s="256">
        <v>0.05</v>
      </c>
      <c r="AF89" s="256">
        <v>0.05</v>
      </c>
      <c r="AG89" s="256">
        <v>0.05</v>
      </c>
      <c r="AH89" s="9"/>
      <c r="AI89" s="9"/>
      <c r="AJ89" s="9"/>
    </row>
    <row r="90" spans="1:36" ht="12.75" hidden="1" customHeight="1" outlineLevel="2" x14ac:dyDescent="0.25">
      <c r="A90" s="9"/>
      <c r="B90" s="9"/>
      <c r="C90" s="103" t="s">
        <v>248</v>
      </c>
      <c r="D90" s="9"/>
      <c r="E90" s="132"/>
      <c r="F90" s="254"/>
      <c r="G90" s="254"/>
      <c r="H90" s="254"/>
      <c r="I90" s="254"/>
      <c r="J90" s="132"/>
      <c r="K90" s="254"/>
      <c r="L90" s="254"/>
      <c r="M90" s="254"/>
      <c r="N90" s="254"/>
      <c r="O90" s="132"/>
      <c r="P90" s="254"/>
      <c r="Q90" s="254"/>
      <c r="R90" s="254"/>
      <c r="S90" s="254"/>
      <c r="T90" s="132"/>
      <c r="U90" s="254"/>
      <c r="V90" s="255">
        <v>0</v>
      </c>
      <c r="W90" s="255">
        <v>0</v>
      </c>
      <c r="X90" s="255">
        <v>0</v>
      </c>
      <c r="Y90" s="256"/>
      <c r="Z90" s="255">
        <v>0</v>
      </c>
      <c r="AA90" s="255">
        <v>0</v>
      </c>
      <c r="AB90" s="255">
        <v>0</v>
      </c>
      <c r="AC90" s="255">
        <v>0</v>
      </c>
      <c r="AD90" s="256"/>
      <c r="AE90" s="256">
        <v>0</v>
      </c>
      <c r="AF90" s="256">
        <v>0</v>
      </c>
      <c r="AG90" s="256">
        <v>0</v>
      </c>
      <c r="AH90" s="9"/>
      <c r="AI90" s="9"/>
      <c r="AJ90" s="9"/>
    </row>
    <row r="91" spans="1:36" ht="12.75" hidden="1" customHeight="1" outlineLevel="2" x14ac:dyDescent="0.25">
      <c r="A91" s="9"/>
      <c r="B91" s="9"/>
      <c r="C91" s="103" t="s">
        <v>161</v>
      </c>
      <c r="D91" s="9"/>
      <c r="E91" s="132"/>
      <c r="F91" s="252">
        <f t="shared" ref="F91:T91" si="127">IFERROR(F85/F86,"--")</f>
        <v>7.7863636363636362</v>
      </c>
      <c r="G91" s="252">
        <f t="shared" si="127"/>
        <v>8.1318181818181809</v>
      </c>
      <c r="H91" s="252">
        <f t="shared" si="127"/>
        <v>8.3909090909090907</v>
      </c>
      <c r="I91" s="252">
        <f t="shared" si="127"/>
        <v>8.668181818181818</v>
      </c>
      <c r="J91" s="227">
        <f t="shared" si="127"/>
        <v>8.2443181818181817</v>
      </c>
      <c r="K91" s="252">
        <f t="shared" si="127"/>
        <v>8.9727272727272727</v>
      </c>
      <c r="L91" s="252">
        <f t="shared" si="127"/>
        <v>9.3636363636363633</v>
      </c>
      <c r="M91" s="252">
        <f t="shared" si="127"/>
        <v>9.8636363636363633</v>
      </c>
      <c r="N91" s="252">
        <f t="shared" si="127"/>
        <v>10.204545454545455</v>
      </c>
      <c r="O91" s="227">
        <f t="shared" si="127"/>
        <v>9.601136363636364</v>
      </c>
      <c r="P91" s="252">
        <f t="shared" si="127"/>
        <v>10.604545454545455</v>
      </c>
      <c r="Q91" s="252">
        <f t="shared" si="127"/>
        <v>11.272727272727273</v>
      </c>
      <c r="R91" s="252">
        <f t="shared" si="127"/>
        <v>11.595454545454546</v>
      </c>
      <c r="S91" s="252">
        <f t="shared" si="127"/>
        <v>11.95</v>
      </c>
      <c r="T91" s="227">
        <f t="shared" si="127"/>
        <v>11.355681818181818</v>
      </c>
      <c r="U91" s="252">
        <f t="shared" ref="U91" si="128">IFERROR(U85/U86,"--")</f>
        <v>12.50909090909091</v>
      </c>
      <c r="V91" s="226">
        <f t="shared" ref="V91" si="129">U91*(1+V92)</f>
        <v>13.134545454545457</v>
      </c>
      <c r="W91" s="226">
        <f t="shared" ref="W91" si="130">V91*(1+W92)</f>
        <v>13.79127272727273</v>
      </c>
      <c r="X91" s="226">
        <f t="shared" ref="X91" si="131">W91*(1+X92)</f>
        <v>14.480836363636367</v>
      </c>
      <c r="Y91" s="227">
        <f>Y85/Y86</f>
        <v>13.519009312638582</v>
      </c>
      <c r="Z91" s="226">
        <f>X91*(1+Z92)</f>
        <v>15.204878181818186</v>
      </c>
      <c r="AA91" s="226">
        <f t="shared" ref="AA91:AC91" si="132">Z91*(1+AA92)</f>
        <v>15.965122090909096</v>
      </c>
      <c r="AB91" s="226">
        <f t="shared" si="132"/>
        <v>16.763378195454553</v>
      </c>
      <c r="AC91" s="226">
        <f t="shared" si="132"/>
        <v>17.601547105227283</v>
      </c>
      <c r="AD91" s="227">
        <f>AD85/AD86</f>
        <v>16.432440313320406</v>
      </c>
      <c r="AE91" s="227">
        <f t="shared" ref="AE91:AG91" si="133">AD91*(1+AE92)</f>
        <v>17.254062328986429</v>
      </c>
      <c r="AF91" s="227">
        <f t="shared" si="133"/>
        <v>18.11676544543575</v>
      </c>
      <c r="AG91" s="227">
        <f t="shared" si="133"/>
        <v>19.022603717707536</v>
      </c>
      <c r="AH91" s="9"/>
      <c r="AI91" s="9"/>
      <c r="AJ91" s="9"/>
    </row>
    <row r="92" spans="1:36" ht="12.75" hidden="1" customHeight="1" outlineLevel="2" x14ac:dyDescent="0.25">
      <c r="A92" s="9"/>
      <c r="B92" s="9"/>
      <c r="C92" s="84" t="s">
        <v>251</v>
      </c>
      <c r="D92" s="9"/>
      <c r="E92" s="132"/>
      <c r="F92" s="254"/>
      <c r="G92" s="253">
        <f t="shared" ref="G92:I92" si="134">IFERROR(G91/F91-1,"--")</f>
        <v>4.4366608289550413E-2</v>
      </c>
      <c r="H92" s="253">
        <f t="shared" si="134"/>
        <v>3.1861375069871523E-2</v>
      </c>
      <c r="I92" s="253">
        <f t="shared" si="134"/>
        <v>3.3044420368363969E-2</v>
      </c>
      <c r="J92" s="132"/>
      <c r="K92" s="253">
        <f>IFERROR(K91/I91-1,"--")</f>
        <v>3.5133717881489224E-2</v>
      </c>
      <c r="L92" s="253">
        <f t="shared" ref="L92:N92" si="135">IFERROR(L91/K91-1,"--")</f>
        <v>4.3566362715298901E-2</v>
      </c>
      <c r="M92" s="253">
        <f t="shared" si="135"/>
        <v>5.3398058252427161E-2</v>
      </c>
      <c r="N92" s="253">
        <f t="shared" si="135"/>
        <v>3.4562211981566948E-2</v>
      </c>
      <c r="O92" s="245">
        <f>IFERROR(O91/J91-1,"--")</f>
        <v>0.16457615437629225</v>
      </c>
      <c r="P92" s="253">
        <f>IFERROR(P91/N91-1,"--")</f>
        <v>3.9198218262806339E-2</v>
      </c>
      <c r="Q92" s="253">
        <f t="shared" ref="Q92:S92" si="136">IFERROR(Q91/P91-1,"--")</f>
        <v>6.3009001285897925E-2</v>
      </c>
      <c r="R92" s="253">
        <f t="shared" si="136"/>
        <v>2.8629032258064457E-2</v>
      </c>
      <c r="S92" s="253">
        <f t="shared" si="136"/>
        <v>3.0576244609956893E-2</v>
      </c>
      <c r="T92" s="245">
        <f>IFERROR(T91/O91-1,"--")</f>
        <v>0.18274351994318838</v>
      </c>
      <c r="U92" s="253">
        <f>IFERROR(U91/S91-1,"--")</f>
        <v>4.6785850133130635E-2</v>
      </c>
      <c r="V92" s="244">
        <f>IF(Case_Scenario="Bull",V93,IF(Case_Scenario="Base",V94,IF(Case_Scenario="bear",V95,"N/A")))</f>
        <v>0.05</v>
      </c>
      <c r="W92" s="244">
        <f>IF(Case_Scenario="Bull",W93,IF(Case_Scenario="Base",W94,IF(Case_Scenario="bear",W95,"N/A")))</f>
        <v>0.05</v>
      </c>
      <c r="X92" s="244">
        <f>IF(Case_Scenario="Bull",X93,IF(Case_Scenario="Base",X94,IF(Case_Scenario="bear",X95,"N/A")))</f>
        <v>0.05</v>
      </c>
      <c r="Y92" s="245"/>
      <c r="Z92" s="244">
        <f>IF(Case_Scenario="Bull",Z93,IF(Case_Scenario="Base",Z94,IF(Case_Scenario="bear",Z95,"N/A")))</f>
        <v>0.05</v>
      </c>
      <c r="AA92" s="244">
        <f>IF(Case_Scenario="Bull",AA93,IF(Case_Scenario="Base",AA94,IF(Case_Scenario="bear",AA95,"N/A")))</f>
        <v>0.05</v>
      </c>
      <c r="AB92" s="244">
        <f>IF(Case_Scenario="Bull",AB93,IF(Case_Scenario="Base",AB94,IF(Case_Scenario="bear",AB95,"N/A")))</f>
        <v>0.05</v>
      </c>
      <c r="AC92" s="244">
        <f>IF(Case_Scenario="Bull",AC93,IF(Case_Scenario="Base",AC94,IF(Case_Scenario="bear",AC95,"N/A")))</f>
        <v>0.05</v>
      </c>
      <c r="AD92" s="245"/>
      <c r="AE92" s="245">
        <f>IF(Case_Scenario="Bull",AE93,IF(Case_Scenario="Base",AE94,IF(Case_Scenario="bear",AE95,"N/A")))</f>
        <v>0.05</v>
      </c>
      <c r="AF92" s="245">
        <f>IF(Case_Scenario="Bull",AF93,IF(Case_Scenario="Base",AF94,IF(Case_Scenario="bear",AF95,"N/A")))</f>
        <v>0.05</v>
      </c>
      <c r="AG92" s="245">
        <f>IF(Case_Scenario="Bull",AG93,IF(Case_Scenario="Base",AG94,IF(Case_Scenario="bear",AG95,"N/A")))</f>
        <v>0.05</v>
      </c>
      <c r="AH92" s="9"/>
      <c r="AI92" s="9"/>
      <c r="AJ92" s="9"/>
    </row>
    <row r="93" spans="1:36" ht="12.75" hidden="1" customHeight="1" outlineLevel="2" x14ac:dyDescent="0.25">
      <c r="A93" s="9"/>
      <c r="B93" s="9"/>
      <c r="C93" s="103" t="s">
        <v>246</v>
      </c>
      <c r="D93" s="9"/>
      <c r="E93" s="132"/>
      <c r="F93" s="254"/>
      <c r="G93" s="254"/>
      <c r="H93" s="254"/>
      <c r="I93" s="254"/>
      <c r="J93" s="132"/>
      <c r="K93" s="254"/>
      <c r="L93" s="254"/>
      <c r="M93" s="254"/>
      <c r="N93" s="254"/>
      <c r="O93" s="132"/>
      <c r="P93" s="254"/>
      <c r="Q93" s="254"/>
      <c r="R93" s="254"/>
      <c r="S93" s="254"/>
      <c r="T93" s="132"/>
      <c r="U93" s="254"/>
      <c r="V93" s="255">
        <v>0.1</v>
      </c>
      <c r="W93" s="255">
        <v>0.1</v>
      </c>
      <c r="X93" s="255">
        <v>0.1</v>
      </c>
      <c r="Y93" s="256"/>
      <c r="Z93" s="255">
        <v>0.1</v>
      </c>
      <c r="AA93" s="255">
        <v>0.1</v>
      </c>
      <c r="AB93" s="255">
        <v>0.1</v>
      </c>
      <c r="AC93" s="255">
        <v>0.1</v>
      </c>
      <c r="AD93" s="256"/>
      <c r="AE93" s="256">
        <v>0.1</v>
      </c>
      <c r="AF93" s="256">
        <v>0.1</v>
      </c>
      <c r="AG93" s="256">
        <v>0.1</v>
      </c>
      <c r="AH93" s="9"/>
      <c r="AI93" s="9"/>
      <c r="AJ93" s="9"/>
    </row>
    <row r="94" spans="1:36" ht="12.75" hidden="1" customHeight="1" outlineLevel="2" x14ac:dyDescent="0.25">
      <c r="A94" s="9"/>
      <c r="B94" s="9"/>
      <c r="C94" s="103" t="s">
        <v>247</v>
      </c>
      <c r="D94" s="9"/>
      <c r="E94" s="132"/>
      <c r="F94" s="254"/>
      <c r="G94" s="254"/>
      <c r="H94" s="254"/>
      <c r="I94" s="254"/>
      <c r="J94" s="132"/>
      <c r="K94" s="254"/>
      <c r="L94" s="254"/>
      <c r="M94" s="254"/>
      <c r="N94" s="254"/>
      <c r="O94" s="132"/>
      <c r="P94" s="254"/>
      <c r="Q94" s="254"/>
      <c r="R94" s="254"/>
      <c r="S94" s="254"/>
      <c r="T94" s="132"/>
      <c r="U94" s="254"/>
      <c r="V94" s="255">
        <v>0.05</v>
      </c>
      <c r="W94" s="255">
        <v>0.05</v>
      </c>
      <c r="X94" s="255">
        <v>0.05</v>
      </c>
      <c r="Y94" s="256"/>
      <c r="Z94" s="255">
        <v>0.05</v>
      </c>
      <c r="AA94" s="255">
        <v>0.05</v>
      </c>
      <c r="AB94" s="255">
        <v>0.05</v>
      </c>
      <c r="AC94" s="255">
        <v>0.05</v>
      </c>
      <c r="AD94" s="256"/>
      <c r="AE94" s="256">
        <v>0.05</v>
      </c>
      <c r="AF94" s="256">
        <v>0.05</v>
      </c>
      <c r="AG94" s="256">
        <v>0.05</v>
      </c>
      <c r="AH94" s="9"/>
      <c r="AI94" s="9"/>
      <c r="AJ94" s="9"/>
    </row>
    <row r="95" spans="1:36" ht="12.75" hidden="1" customHeight="1" outlineLevel="2" x14ac:dyDescent="0.25">
      <c r="A95" s="9"/>
      <c r="B95" s="9"/>
      <c r="C95" s="103" t="s">
        <v>248</v>
      </c>
      <c r="D95" s="9"/>
      <c r="E95" s="132"/>
      <c r="F95" s="254"/>
      <c r="G95" s="254"/>
      <c r="H95" s="254"/>
      <c r="I95" s="254"/>
      <c r="J95" s="132"/>
      <c r="K95" s="254"/>
      <c r="L95" s="254"/>
      <c r="M95" s="254"/>
      <c r="N95" s="254"/>
      <c r="O95" s="132"/>
      <c r="P95" s="254"/>
      <c r="Q95" s="254"/>
      <c r="R95" s="254"/>
      <c r="S95" s="254"/>
      <c r="T95" s="132"/>
      <c r="U95" s="254"/>
      <c r="V95" s="255">
        <v>0</v>
      </c>
      <c r="W95" s="255">
        <v>0</v>
      </c>
      <c r="X95" s="255">
        <v>0</v>
      </c>
      <c r="Y95" s="256"/>
      <c r="Z95" s="255">
        <v>0</v>
      </c>
      <c r="AA95" s="255">
        <v>0</v>
      </c>
      <c r="AB95" s="255">
        <v>0</v>
      </c>
      <c r="AC95" s="255">
        <v>0</v>
      </c>
      <c r="AD95" s="256"/>
      <c r="AE95" s="256">
        <v>0</v>
      </c>
      <c r="AF95" s="256">
        <v>0</v>
      </c>
      <c r="AG95" s="256">
        <v>0</v>
      </c>
      <c r="AH95" s="9"/>
      <c r="AI95" s="9"/>
      <c r="AJ95" s="9"/>
    </row>
    <row r="96" spans="1:36" ht="12.75" hidden="1" customHeight="1" outlineLevel="2" x14ac:dyDescent="0.25">
      <c r="A96" s="9"/>
      <c r="B96" s="9"/>
      <c r="C96" s="9"/>
      <c r="D96" s="9"/>
      <c r="E96" s="132"/>
      <c r="F96" s="254"/>
      <c r="G96" s="254"/>
      <c r="H96" s="254"/>
      <c r="I96" s="254"/>
      <c r="J96" s="132"/>
      <c r="K96" s="254"/>
      <c r="L96" s="254"/>
      <c r="M96" s="254"/>
      <c r="N96" s="254"/>
      <c r="O96" s="132"/>
      <c r="P96" s="254"/>
      <c r="Q96" s="254"/>
      <c r="R96" s="254"/>
      <c r="S96" s="254"/>
      <c r="T96" s="132"/>
      <c r="U96" s="254"/>
      <c r="V96" s="257"/>
      <c r="W96" s="257"/>
      <c r="X96" s="257"/>
      <c r="Y96" s="132"/>
      <c r="Z96" s="257"/>
      <c r="AA96" s="257"/>
      <c r="AB96" s="257"/>
      <c r="AC96" s="257"/>
      <c r="AD96" s="132"/>
      <c r="AE96" s="132"/>
      <c r="AF96" s="132"/>
      <c r="AG96" s="132"/>
      <c r="AH96" s="9"/>
      <c r="AI96" s="9"/>
      <c r="AJ96" s="9"/>
    </row>
    <row r="97" spans="1:36" ht="12.75" hidden="1" customHeight="1" outlineLevel="2" x14ac:dyDescent="0.25">
      <c r="A97" s="205" t="s">
        <v>0</v>
      </c>
      <c r="B97" s="9"/>
      <c r="C97" s="103" t="str">
        <f>C45</f>
        <v>Service Fees and Other Revenue</v>
      </c>
      <c r="D97" s="9"/>
      <c r="E97" s="132"/>
      <c r="F97" s="252">
        <f t="shared" ref="F97:T97" si="137">F45</f>
        <v>1638</v>
      </c>
      <c r="G97" s="252">
        <f t="shared" si="137"/>
        <v>1679</v>
      </c>
      <c r="H97" s="252">
        <f t="shared" si="137"/>
        <v>1685</v>
      </c>
      <c r="I97" s="252">
        <f t="shared" si="137"/>
        <v>1708</v>
      </c>
      <c r="J97" s="227">
        <f t="shared" si="137"/>
        <v>6710</v>
      </c>
      <c r="K97" s="252">
        <f t="shared" si="137"/>
        <v>1678</v>
      </c>
      <c r="L97" s="252">
        <f t="shared" si="137"/>
        <v>1688</v>
      </c>
      <c r="M97" s="252">
        <f t="shared" si="137"/>
        <v>1680</v>
      </c>
      <c r="N97" s="252">
        <f t="shared" si="137"/>
        <v>1719</v>
      </c>
      <c r="O97" s="227">
        <f t="shared" si="137"/>
        <v>6765</v>
      </c>
      <c r="P97" s="252">
        <f t="shared" si="137"/>
        <v>1722</v>
      </c>
      <c r="Q97" s="252">
        <f t="shared" si="137"/>
        <v>1828</v>
      </c>
      <c r="R97" s="252">
        <f t="shared" si="137"/>
        <v>1976</v>
      </c>
      <c r="S97" s="252">
        <f t="shared" si="137"/>
        <v>1945</v>
      </c>
      <c r="T97" s="227">
        <f t="shared" si="137"/>
        <v>7471</v>
      </c>
      <c r="U97" s="252">
        <f t="shared" ref="U97" si="138">U45</f>
        <v>1951</v>
      </c>
      <c r="V97" s="226">
        <f t="shared" ref="V97:X97" si="139">V98*V103</f>
        <v>2150.9775</v>
      </c>
      <c r="W97" s="226">
        <f t="shared" si="139"/>
        <v>2371.4526937500004</v>
      </c>
      <c r="X97" s="226">
        <f t="shared" si="139"/>
        <v>2614.5265948593756</v>
      </c>
      <c r="Y97" s="227">
        <f t="shared" ref="Y97:Y98" si="140">SUM(U97:X97)</f>
        <v>9087.9567886093755</v>
      </c>
      <c r="Z97" s="226">
        <f t="shared" ref="Z97:AC97" si="141">Z98*Z103</f>
        <v>2882.5155708324614</v>
      </c>
      <c r="AA97" s="226">
        <f t="shared" si="141"/>
        <v>3177.973416842789</v>
      </c>
      <c r="AB97" s="226">
        <f t="shared" si="141"/>
        <v>3503.7156920691755</v>
      </c>
      <c r="AC97" s="226">
        <f t="shared" si="141"/>
        <v>3862.8465505062663</v>
      </c>
      <c r="AD97" s="227">
        <f t="shared" ref="AD97:AD98" si="142">SUM(Z97:AC97)</f>
        <v>13427.051230250692</v>
      </c>
      <c r="AE97" s="227">
        <f t="shared" ref="AE97:AG97" si="143">AE98*AE103</f>
        <v>14803.32398135139</v>
      </c>
      <c r="AF97" s="227">
        <f t="shared" si="143"/>
        <v>16320.664689439907</v>
      </c>
      <c r="AG97" s="227">
        <f t="shared" si="143"/>
        <v>17993.532820107499</v>
      </c>
      <c r="AH97" s="9"/>
      <c r="AI97" s="9"/>
      <c r="AJ97" s="9"/>
    </row>
    <row r="98" spans="1:36" ht="12.75" hidden="1" customHeight="1" outlineLevel="2" x14ac:dyDescent="0.25">
      <c r="A98" s="9"/>
      <c r="B98" s="9"/>
      <c r="C98" s="103" t="s">
        <v>249</v>
      </c>
      <c r="D98" s="9"/>
      <c r="E98" s="132"/>
      <c r="F98" s="260">
        <v>220</v>
      </c>
      <c r="G98" s="260">
        <v>220</v>
      </c>
      <c r="H98" s="260">
        <v>220</v>
      </c>
      <c r="I98" s="260">
        <v>220</v>
      </c>
      <c r="J98" s="261">
        <f>SUM(F98:I98)</f>
        <v>880</v>
      </c>
      <c r="K98" s="260">
        <v>220</v>
      </c>
      <c r="L98" s="260">
        <v>220</v>
      </c>
      <c r="M98" s="260">
        <v>220</v>
      </c>
      <c r="N98" s="260">
        <v>220</v>
      </c>
      <c r="O98" s="261">
        <f>SUM(K98:N98)</f>
        <v>880</v>
      </c>
      <c r="P98" s="260">
        <v>220</v>
      </c>
      <c r="Q98" s="260">
        <v>220</v>
      </c>
      <c r="R98" s="260">
        <v>220</v>
      </c>
      <c r="S98" s="260">
        <v>220</v>
      </c>
      <c r="T98" s="261">
        <f>SUM(P98:S98)</f>
        <v>880</v>
      </c>
      <c r="U98" s="260">
        <v>220</v>
      </c>
      <c r="V98" s="262">
        <f t="shared" ref="V98" si="144">U98*(1+V99)</f>
        <v>231</v>
      </c>
      <c r="W98" s="262">
        <f t="shared" ref="W98" si="145">V98*(1+W99)</f>
        <v>242.55</v>
      </c>
      <c r="X98" s="262">
        <f t="shared" ref="X98" si="146">W98*(1+X99)</f>
        <v>254.67750000000001</v>
      </c>
      <c r="Y98" s="261">
        <f t="shared" si="140"/>
        <v>948.22749999999996</v>
      </c>
      <c r="Z98" s="262">
        <f>X98*(1+Z99)</f>
        <v>267.41137500000002</v>
      </c>
      <c r="AA98" s="262">
        <f t="shared" ref="AA98:AC98" si="147">Z98*(1+AA99)</f>
        <v>280.78194375000004</v>
      </c>
      <c r="AB98" s="262">
        <f t="shared" si="147"/>
        <v>294.82104093750007</v>
      </c>
      <c r="AC98" s="262">
        <f t="shared" si="147"/>
        <v>309.56209298437511</v>
      </c>
      <c r="AD98" s="261">
        <f t="shared" si="142"/>
        <v>1152.5764526718754</v>
      </c>
      <c r="AE98" s="261">
        <f t="shared" ref="AE98:AG98" si="148">AD98*(1+AE99)</f>
        <v>1210.2052753054693</v>
      </c>
      <c r="AF98" s="261">
        <f t="shared" si="148"/>
        <v>1270.7155390707428</v>
      </c>
      <c r="AG98" s="261">
        <f t="shared" si="148"/>
        <v>1334.25131602428</v>
      </c>
      <c r="AH98" s="9"/>
      <c r="AI98" s="9"/>
      <c r="AJ98" s="9"/>
    </row>
    <row r="99" spans="1:36" ht="12.75" hidden="1" customHeight="1" outlineLevel="2" x14ac:dyDescent="0.25">
      <c r="A99" s="9"/>
      <c r="B99" s="9"/>
      <c r="C99" s="84" t="s">
        <v>250</v>
      </c>
      <c r="D99" s="9"/>
      <c r="E99" s="132"/>
      <c r="F99" s="254"/>
      <c r="G99" s="253">
        <f t="shared" ref="G99:I99" si="149">IFERROR(G98/F98-1,"--")</f>
        <v>0</v>
      </c>
      <c r="H99" s="253">
        <f t="shared" si="149"/>
        <v>0</v>
      </c>
      <c r="I99" s="253">
        <f t="shared" si="149"/>
        <v>0</v>
      </c>
      <c r="J99" s="132"/>
      <c r="K99" s="253">
        <f>IFERROR(K98/I98-1,"--")</f>
        <v>0</v>
      </c>
      <c r="L99" s="253">
        <f t="shared" ref="L99:N99" si="150">IFERROR(L98/K98-1,"--")</f>
        <v>0</v>
      </c>
      <c r="M99" s="253">
        <f t="shared" si="150"/>
        <v>0</v>
      </c>
      <c r="N99" s="253">
        <f t="shared" si="150"/>
        <v>0</v>
      </c>
      <c r="O99" s="245">
        <f>IFERROR(O98/J98-1,"--")</f>
        <v>0</v>
      </c>
      <c r="P99" s="253">
        <f>IFERROR(P98/N98-1,"--")</f>
        <v>0</v>
      </c>
      <c r="Q99" s="253">
        <f t="shared" ref="Q99:S99" si="151">IFERROR(Q98/P98-1,"--")</f>
        <v>0</v>
      </c>
      <c r="R99" s="253">
        <f t="shared" si="151"/>
        <v>0</v>
      </c>
      <c r="S99" s="253">
        <f t="shared" si="151"/>
        <v>0</v>
      </c>
      <c r="T99" s="245">
        <f>IFERROR(T98/O98-1,"--")</f>
        <v>0</v>
      </c>
      <c r="U99" s="253">
        <f>IFERROR(U98/S98-1,"--")</f>
        <v>0</v>
      </c>
      <c r="V99" s="244">
        <f>IF(Case_Scenario="Bull",V100,IF(Case_Scenario="Base",V101,IF(Case_Scenario="bear",V102,"N/A")))</f>
        <v>0.05</v>
      </c>
      <c r="W99" s="244">
        <f>IF(Case_Scenario="Bull",W100,IF(Case_Scenario="Base",W101,IF(Case_Scenario="bear",W102,"N/A")))</f>
        <v>0.05</v>
      </c>
      <c r="X99" s="244">
        <f>IF(Case_Scenario="Bull",X100,IF(Case_Scenario="Base",X101,IF(Case_Scenario="bear",X102,"N/A")))</f>
        <v>0.05</v>
      </c>
      <c r="Y99" s="245"/>
      <c r="Z99" s="244">
        <f>IF(Case_Scenario="Bull",Z100,IF(Case_Scenario="Base",Z101,IF(Case_Scenario="bear",Z102,"N/A")))</f>
        <v>0.05</v>
      </c>
      <c r="AA99" s="244">
        <f>IF(Case_Scenario="Bull",AA100,IF(Case_Scenario="Base",AA101,IF(Case_Scenario="bear",AA102,"N/A")))</f>
        <v>0.05</v>
      </c>
      <c r="AB99" s="244">
        <f>IF(Case_Scenario="Bull",AB100,IF(Case_Scenario="Base",AB101,IF(Case_Scenario="bear",AB102,"N/A")))</f>
        <v>0.05</v>
      </c>
      <c r="AC99" s="244">
        <f>IF(Case_Scenario="Bull",AC100,IF(Case_Scenario="Base",AC101,IF(Case_Scenario="bear",AC102,"N/A")))</f>
        <v>0.05</v>
      </c>
      <c r="AD99" s="245"/>
      <c r="AE99" s="245">
        <f>IF(Case_Scenario="Bull",AE100,IF(Case_Scenario="Base",AE101,IF(Case_Scenario="bear",AE102,"N/A")))</f>
        <v>0.05</v>
      </c>
      <c r="AF99" s="245">
        <f>IF(Case_Scenario="Bull",AF100,IF(Case_Scenario="Base",AF101,IF(Case_Scenario="bear",AF102,"N/A")))</f>
        <v>0.05</v>
      </c>
      <c r="AG99" s="245">
        <f>IF(Case_Scenario="Bull",AG100,IF(Case_Scenario="Base",AG101,IF(Case_Scenario="bear",AG102,"N/A")))</f>
        <v>0.05</v>
      </c>
      <c r="AH99" s="9"/>
      <c r="AI99" s="9"/>
      <c r="AJ99" s="9"/>
    </row>
    <row r="100" spans="1:36" ht="12.75" hidden="1" customHeight="1" outlineLevel="2" x14ac:dyDescent="0.25">
      <c r="A100" s="9"/>
      <c r="B100" s="9"/>
      <c r="C100" s="103" t="s">
        <v>246</v>
      </c>
      <c r="D100" s="9"/>
      <c r="E100" s="132"/>
      <c r="F100" s="254"/>
      <c r="G100" s="254"/>
      <c r="H100" s="254"/>
      <c r="I100" s="254"/>
      <c r="J100" s="132"/>
      <c r="K100" s="254"/>
      <c r="L100" s="254"/>
      <c r="M100" s="254"/>
      <c r="N100" s="254"/>
      <c r="O100" s="132"/>
      <c r="P100" s="254"/>
      <c r="Q100" s="254"/>
      <c r="R100" s="254"/>
      <c r="S100" s="254"/>
      <c r="T100" s="132"/>
      <c r="U100" s="254"/>
      <c r="V100" s="255">
        <v>0.1</v>
      </c>
      <c r="W100" s="255">
        <v>0.1</v>
      </c>
      <c r="X100" s="255">
        <v>0.1</v>
      </c>
      <c r="Y100" s="256"/>
      <c r="Z100" s="255">
        <v>0.1</v>
      </c>
      <c r="AA100" s="255">
        <v>0.1</v>
      </c>
      <c r="AB100" s="255">
        <v>0.1</v>
      </c>
      <c r="AC100" s="255">
        <v>0.1</v>
      </c>
      <c r="AD100" s="256"/>
      <c r="AE100" s="256">
        <v>0.1</v>
      </c>
      <c r="AF100" s="256">
        <v>0.1</v>
      </c>
      <c r="AG100" s="256">
        <v>0.1</v>
      </c>
      <c r="AH100" s="9"/>
      <c r="AI100" s="9"/>
      <c r="AJ100" s="9"/>
    </row>
    <row r="101" spans="1:36" ht="12.75" hidden="1" customHeight="1" outlineLevel="2" x14ac:dyDescent="0.25">
      <c r="A101" s="9"/>
      <c r="B101" s="9"/>
      <c r="C101" s="103" t="s">
        <v>247</v>
      </c>
      <c r="D101" s="9"/>
      <c r="E101" s="132"/>
      <c r="F101" s="254"/>
      <c r="G101" s="254"/>
      <c r="H101" s="254"/>
      <c r="I101" s="254"/>
      <c r="J101" s="132"/>
      <c r="K101" s="254"/>
      <c r="L101" s="254"/>
      <c r="M101" s="254"/>
      <c r="N101" s="254"/>
      <c r="O101" s="132"/>
      <c r="P101" s="254"/>
      <c r="Q101" s="254"/>
      <c r="R101" s="254"/>
      <c r="S101" s="254"/>
      <c r="T101" s="132"/>
      <c r="U101" s="254"/>
      <c r="V101" s="255">
        <v>0.05</v>
      </c>
      <c r="W101" s="255">
        <v>0.05</v>
      </c>
      <c r="X101" s="255">
        <v>0.05</v>
      </c>
      <c r="Y101" s="256"/>
      <c r="Z101" s="255">
        <v>0.05</v>
      </c>
      <c r="AA101" s="255">
        <v>0.05</v>
      </c>
      <c r="AB101" s="255">
        <v>0.05</v>
      </c>
      <c r="AC101" s="255">
        <v>0.05</v>
      </c>
      <c r="AD101" s="256"/>
      <c r="AE101" s="256">
        <v>0.05</v>
      </c>
      <c r="AF101" s="256">
        <v>0.05</v>
      </c>
      <c r="AG101" s="256">
        <v>0.05</v>
      </c>
      <c r="AH101" s="9"/>
      <c r="AI101" s="9"/>
      <c r="AJ101" s="9"/>
    </row>
    <row r="102" spans="1:36" ht="12.75" hidden="1" customHeight="1" outlineLevel="2" x14ac:dyDescent="0.25">
      <c r="A102" s="9"/>
      <c r="B102" s="9"/>
      <c r="C102" s="103" t="s">
        <v>248</v>
      </c>
      <c r="D102" s="9"/>
      <c r="E102" s="132"/>
      <c r="F102" s="254"/>
      <c r="G102" s="254"/>
      <c r="H102" s="254"/>
      <c r="I102" s="254"/>
      <c r="J102" s="132"/>
      <c r="K102" s="254"/>
      <c r="L102" s="254"/>
      <c r="M102" s="254"/>
      <c r="N102" s="254"/>
      <c r="O102" s="132"/>
      <c r="P102" s="254"/>
      <c r="Q102" s="254"/>
      <c r="R102" s="254"/>
      <c r="S102" s="254"/>
      <c r="T102" s="132"/>
      <c r="U102" s="254"/>
      <c r="V102" s="255">
        <v>0</v>
      </c>
      <c r="W102" s="255">
        <v>0</v>
      </c>
      <c r="X102" s="255">
        <v>0</v>
      </c>
      <c r="Y102" s="256"/>
      <c r="Z102" s="255">
        <v>0</v>
      </c>
      <c r="AA102" s="255">
        <v>0</v>
      </c>
      <c r="AB102" s="255">
        <v>0</v>
      </c>
      <c r="AC102" s="255">
        <v>0</v>
      </c>
      <c r="AD102" s="256"/>
      <c r="AE102" s="256">
        <v>0</v>
      </c>
      <c r="AF102" s="256">
        <v>0</v>
      </c>
      <c r="AG102" s="256">
        <v>0</v>
      </c>
      <c r="AH102" s="9"/>
      <c r="AI102" s="9"/>
      <c r="AJ102" s="9"/>
    </row>
    <row r="103" spans="1:36" ht="12.75" hidden="1" customHeight="1" outlineLevel="2" x14ac:dyDescent="0.25">
      <c r="A103" s="9"/>
      <c r="B103" s="9"/>
      <c r="C103" s="103" t="s">
        <v>161</v>
      </c>
      <c r="D103" s="9"/>
      <c r="E103" s="132"/>
      <c r="F103" s="252">
        <f t="shared" ref="F103:T103" si="152">IFERROR(F97/F98,"--")</f>
        <v>7.4454545454545453</v>
      </c>
      <c r="G103" s="252">
        <f t="shared" si="152"/>
        <v>7.6318181818181818</v>
      </c>
      <c r="H103" s="252">
        <f t="shared" si="152"/>
        <v>7.6590909090909092</v>
      </c>
      <c r="I103" s="252">
        <f t="shared" si="152"/>
        <v>7.7636363636363637</v>
      </c>
      <c r="J103" s="227">
        <f t="shared" si="152"/>
        <v>7.625</v>
      </c>
      <c r="K103" s="252">
        <f t="shared" si="152"/>
        <v>7.627272727272727</v>
      </c>
      <c r="L103" s="252">
        <f t="shared" si="152"/>
        <v>7.6727272727272728</v>
      </c>
      <c r="M103" s="252">
        <f t="shared" si="152"/>
        <v>7.6363636363636367</v>
      </c>
      <c r="N103" s="252">
        <f t="shared" si="152"/>
        <v>7.8136363636363635</v>
      </c>
      <c r="O103" s="227">
        <f t="shared" si="152"/>
        <v>7.6875</v>
      </c>
      <c r="P103" s="252">
        <f t="shared" si="152"/>
        <v>7.8272727272727272</v>
      </c>
      <c r="Q103" s="252">
        <f t="shared" si="152"/>
        <v>8.3090909090909086</v>
      </c>
      <c r="R103" s="252">
        <f t="shared" si="152"/>
        <v>8.9818181818181824</v>
      </c>
      <c r="S103" s="252">
        <f t="shared" si="152"/>
        <v>8.8409090909090917</v>
      </c>
      <c r="T103" s="227">
        <f t="shared" si="152"/>
        <v>8.4897727272727277</v>
      </c>
      <c r="U103" s="252">
        <f t="shared" ref="U103" si="153">IFERROR(U97/U98,"--")</f>
        <v>8.8681818181818191</v>
      </c>
      <c r="V103" s="226">
        <f t="shared" ref="V103" si="154">U103*(1+V104)</f>
        <v>9.3115909090909099</v>
      </c>
      <c r="W103" s="226">
        <f t="shared" ref="W103" si="155">V103*(1+W104)</f>
        <v>9.7771704545454554</v>
      </c>
      <c r="X103" s="226">
        <f t="shared" ref="X103" si="156">W103*(1+X104)</f>
        <v>10.266028977272729</v>
      </c>
      <c r="Y103" s="227">
        <f>Y97/Y98</f>
        <v>9.5841523143015532</v>
      </c>
      <c r="Z103" s="226">
        <f>X103*(1+Z104)</f>
        <v>10.779330426136365</v>
      </c>
      <c r="AA103" s="226">
        <f t="shared" ref="AA103:AC103" si="157">Z103*(1+AA104)</f>
        <v>11.318296947443184</v>
      </c>
      <c r="AB103" s="226">
        <f t="shared" si="157"/>
        <v>11.884211794815343</v>
      </c>
      <c r="AC103" s="226">
        <f t="shared" si="157"/>
        <v>12.47842238455611</v>
      </c>
      <c r="AD103" s="227">
        <f>AD97/AD98</f>
        <v>11.649597038985501</v>
      </c>
      <c r="AE103" s="227">
        <f t="shared" ref="AE103:AG103" si="158">AD103*(1+AE104)</f>
        <v>12.232076890934776</v>
      </c>
      <c r="AF103" s="227">
        <f t="shared" si="158"/>
        <v>12.843680735481515</v>
      </c>
      <c r="AG103" s="227">
        <f t="shared" si="158"/>
        <v>13.48586477225559</v>
      </c>
      <c r="AH103" s="9"/>
      <c r="AI103" s="9"/>
      <c r="AJ103" s="9"/>
    </row>
    <row r="104" spans="1:36" ht="12.75" hidden="1" customHeight="1" outlineLevel="2" x14ac:dyDescent="0.25">
      <c r="A104" s="9"/>
      <c r="B104" s="9"/>
      <c r="C104" s="84" t="s">
        <v>251</v>
      </c>
      <c r="D104" s="9"/>
      <c r="E104" s="132"/>
      <c r="F104" s="254"/>
      <c r="G104" s="253">
        <f t="shared" ref="G104:I104" si="159">IFERROR(G103/F103-1,"--")</f>
        <v>2.5030525030524942E-2</v>
      </c>
      <c r="H104" s="253">
        <f t="shared" si="159"/>
        <v>3.5735556879095132E-3</v>
      </c>
      <c r="I104" s="253">
        <f t="shared" si="159"/>
        <v>1.3649851632047572E-2</v>
      </c>
      <c r="J104" s="132"/>
      <c r="K104" s="253">
        <f>IFERROR(K103/I103-1,"--")</f>
        <v>-1.7564402810304469E-2</v>
      </c>
      <c r="L104" s="253">
        <f t="shared" ref="L104:N104" si="160">IFERROR(L103/K103-1,"--")</f>
        <v>5.9594755661502852E-3</v>
      </c>
      <c r="M104" s="253">
        <f t="shared" si="160"/>
        <v>-4.7393364928909332E-3</v>
      </c>
      <c r="N104" s="253">
        <f t="shared" si="160"/>
        <v>2.3214285714285632E-2</v>
      </c>
      <c r="O104" s="245">
        <f>IFERROR(O103/J103-1,"--")</f>
        <v>8.1967213114753079E-3</v>
      </c>
      <c r="P104" s="253">
        <f>IFERROR(P103/N103-1,"--")</f>
        <v>1.7452006980802626E-3</v>
      </c>
      <c r="Q104" s="253">
        <f t="shared" ref="Q104:S104" si="161">IFERROR(Q103/P103-1,"--")</f>
        <v>6.1556329849012714E-2</v>
      </c>
      <c r="R104" s="253">
        <f t="shared" si="161"/>
        <v>8.0962800875273633E-2</v>
      </c>
      <c r="S104" s="253">
        <f t="shared" si="161"/>
        <v>-1.5688259109311709E-2</v>
      </c>
      <c r="T104" s="245">
        <f>IFERROR(T103/O103-1,"--")</f>
        <v>0.10436067997043619</v>
      </c>
      <c r="U104" s="253">
        <f>IFERROR(U103/S103-1,"--")</f>
        <v>3.0848329048842604E-3</v>
      </c>
      <c r="V104" s="244">
        <f>IF(Case_Scenario="Bull",V105,IF(Case_Scenario="Base",V106,IF(Case_Scenario="bear",V107,"N/A")))</f>
        <v>0.05</v>
      </c>
      <c r="W104" s="244">
        <f>IF(Case_Scenario="Bull",W105,IF(Case_Scenario="Base",W106,IF(Case_Scenario="bear",W107,"N/A")))</f>
        <v>0.05</v>
      </c>
      <c r="X104" s="244">
        <f>IF(Case_Scenario="Bull",X105,IF(Case_Scenario="Base",X106,IF(Case_Scenario="bear",X107,"N/A")))</f>
        <v>0.05</v>
      </c>
      <c r="Y104" s="245"/>
      <c r="Z104" s="244">
        <f>IF(Case_Scenario="Bull",Z105,IF(Case_Scenario="Base",Z106,IF(Case_Scenario="bear",Z107,"N/A")))</f>
        <v>0.05</v>
      </c>
      <c r="AA104" s="244">
        <f>IF(Case_Scenario="Bull",AA105,IF(Case_Scenario="Base",AA106,IF(Case_Scenario="bear",AA107,"N/A")))</f>
        <v>0.05</v>
      </c>
      <c r="AB104" s="244">
        <f>IF(Case_Scenario="Bull",AB105,IF(Case_Scenario="Base",AB106,IF(Case_Scenario="bear",AB107,"N/A")))</f>
        <v>0.05</v>
      </c>
      <c r="AC104" s="244">
        <f>IF(Case_Scenario="Bull",AC105,IF(Case_Scenario="Base",AC106,IF(Case_Scenario="bear",AC107,"N/A")))</f>
        <v>0.05</v>
      </c>
      <c r="AD104" s="245"/>
      <c r="AE104" s="245">
        <f>IF(Case_Scenario="Bull",AE105,IF(Case_Scenario="Base",AE106,IF(Case_Scenario="bear",AE107,"N/A")))</f>
        <v>0.05</v>
      </c>
      <c r="AF104" s="245">
        <f>IF(Case_Scenario="Bull",AF105,IF(Case_Scenario="Base",AF106,IF(Case_Scenario="bear",AF107,"N/A")))</f>
        <v>0.05</v>
      </c>
      <c r="AG104" s="245">
        <f>IF(Case_Scenario="Bull",AG105,IF(Case_Scenario="Base",AG106,IF(Case_Scenario="bear",AG107,"N/A")))</f>
        <v>0.05</v>
      </c>
      <c r="AH104" s="9"/>
      <c r="AI104" s="9"/>
      <c r="AJ104" s="9"/>
    </row>
    <row r="105" spans="1:36" ht="12.75" hidden="1" customHeight="1" outlineLevel="2" x14ac:dyDescent="0.25">
      <c r="A105" s="9"/>
      <c r="B105" s="9"/>
      <c r="C105" s="103" t="s">
        <v>246</v>
      </c>
      <c r="D105" s="9"/>
      <c r="E105" s="132"/>
      <c r="F105" s="254"/>
      <c r="G105" s="254"/>
      <c r="H105" s="254"/>
      <c r="I105" s="254"/>
      <c r="J105" s="132"/>
      <c r="K105" s="254"/>
      <c r="L105" s="254"/>
      <c r="M105" s="254"/>
      <c r="N105" s="254"/>
      <c r="O105" s="132"/>
      <c r="P105" s="254"/>
      <c r="Q105" s="254"/>
      <c r="R105" s="254"/>
      <c r="S105" s="254"/>
      <c r="T105" s="132"/>
      <c r="U105" s="254"/>
      <c r="V105" s="255">
        <v>0.1</v>
      </c>
      <c r="W105" s="255">
        <v>0.1</v>
      </c>
      <c r="X105" s="255">
        <v>0.1</v>
      </c>
      <c r="Y105" s="256"/>
      <c r="Z105" s="255">
        <v>0.1</v>
      </c>
      <c r="AA105" s="255">
        <v>0.1</v>
      </c>
      <c r="AB105" s="255">
        <v>0.1</v>
      </c>
      <c r="AC105" s="255">
        <v>0.1</v>
      </c>
      <c r="AD105" s="256"/>
      <c r="AE105" s="256">
        <v>0.1</v>
      </c>
      <c r="AF105" s="256">
        <v>0.1</v>
      </c>
      <c r="AG105" s="256">
        <v>0.1</v>
      </c>
      <c r="AH105" s="9"/>
      <c r="AI105" s="9"/>
      <c r="AJ105" s="9"/>
    </row>
    <row r="106" spans="1:36" ht="12.75" hidden="1" customHeight="1" outlineLevel="2" x14ac:dyDescent="0.25">
      <c r="A106" s="9"/>
      <c r="B106" s="9"/>
      <c r="C106" s="103" t="s">
        <v>247</v>
      </c>
      <c r="D106" s="9"/>
      <c r="E106" s="132"/>
      <c r="F106" s="254"/>
      <c r="G106" s="254"/>
      <c r="H106" s="254"/>
      <c r="I106" s="254"/>
      <c r="J106" s="132"/>
      <c r="K106" s="254"/>
      <c r="L106" s="254"/>
      <c r="M106" s="254"/>
      <c r="N106" s="254"/>
      <c r="O106" s="132"/>
      <c r="P106" s="254"/>
      <c r="Q106" s="254"/>
      <c r="R106" s="254"/>
      <c r="S106" s="254"/>
      <c r="T106" s="132"/>
      <c r="U106" s="254"/>
      <c r="V106" s="255">
        <v>0.05</v>
      </c>
      <c r="W106" s="255">
        <v>0.05</v>
      </c>
      <c r="X106" s="255">
        <v>0.05</v>
      </c>
      <c r="Y106" s="256"/>
      <c r="Z106" s="255">
        <v>0.05</v>
      </c>
      <c r="AA106" s="255">
        <v>0.05</v>
      </c>
      <c r="AB106" s="255">
        <v>0.05</v>
      </c>
      <c r="AC106" s="255">
        <v>0.05</v>
      </c>
      <c r="AD106" s="256"/>
      <c r="AE106" s="256">
        <v>0.05</v>
      </c>
      <c r="AF106" s="256">
        <v>0.05</v>
      </c>
      <c r="AG106" s="256">
        <v>0.05</v>
      </c>
      <c r="AH106" s="9"/>
      <c r="AI106" s="9"/>
      <c r="AJ106" s="9"/>
    </row>
    <row r="107" spans="1:36" ht="12.75" hidden="1" customHeight="1" outlineLevel="2" x14ac:dyDescent="0.25">
      <c r="A107" s="9"/>
      <c r="B107" s="9"/>
      <c r="C107" s="103" t="s">
        <v>248</v>
      </c>
      <c r="D107" s="9"/>
      <c r="E107" s="132"/>
      <c r="F107" s="254"/>
      <c r="G107" s="254"/>
      <c r="H107" s="254"/>
      <c r="I107" s="254"/>
      <c r="J107" s="132"/>
      <c r="K107" s="254"/>
      <c r="L107" s="254"/>
      <c r="M107" s="254"/>
      <c r="N107" s="254"/>
      <c r="O107" s="132"/>
      <c r="P107" s="254"/>
      <c r="Q107" s="254"/>
      <c r="R107" s="254"/>
      <c r="S107" s="254"/>
      <c r="T107" s="132"/>
      <c r="U107" s="254"/>
      <c r="V107" s="255">
        <v>0</v>
      </c>
      <c r="W107" s="255">
        <v>0</v>
      </c>
      <c r="X107" s="255">
        <v>0</v>
      </c>
      <c r="Y107" s="256"/>
      <c r="Z107" s="255">
        <v>0</v>
      </c>
      <c r="AA107" s="255">
        <v>0</v>
      </c>
      <c r="AB107" s="255">
        <v>0</v>
      </c>
      <c r="AC107" s="255">
        <v>0</v>
      </c>
      <c r="AD107" s="256"/>
      <c r="AE107" s="256">
        <v>0</v>
      </c>
      <c r="AF107" s="256">
        <v>0</v>
      </c>
      <c r="AG107" s="256">
        <v>0</v>
      </c>
      <c r="AH107" s="9"/>
      <c r="AI107" s="9"/>
      <c r="AJ107" s="9"/>
    </row>
    <row r="108" spans="1:36" ht="12.75" hidden="1" customHeight="1" outlineLevel="2" x14ac:dyDescent="0.25">
      <c r="A108" s="9"/>
      <c r="B108" s="9"/>
      <c r="C108" s="103"/>
      <c r="D108" s="9"/>
      <c r="E108" s="132"/>
      <c r="F108" s="254"/>
      <c r="G108" s="254"/>
      <c r="H108" s="254"/>
      <c r="I108" s="254"/>
      <c r="J108" s="132"/>
      <c r="K108" s="254"/>
      <c r="L108" s="254"/>
      <c r="M108" s="254"/>
      <c r="N108" s="254"/>
      <c r="O108" s="132"/>
      <c r="P108" s="254"/>
      <c r="Q108" s="254"/>
      <c r="R108" s="254"/>
      <c r="S108" s="254"/>
      <c r="T108" s="132"/>
      <c r="U108" s="254"/>
      <c r="V108" s="257"/>
      <c r="W108" s="257"/>
      <c r="X108" s="257"/>
      <c r="Y108" s="132"/>
      <c r="Z108" s="257"/>
      <c r="AA108" s="257"/>
      <c r="AB108" s="257"/>
      <c r="AC108" s="257"/>
      <c r="AD108" s="132"/>
      <c r="AE108" s="132"/>
      <c r="AF108" s="132"/>
      <c r="AG108" s="132"/>
      <c r="AH108" s="9"/>
      <c r="AI108" s="9"/>
      <c r="AJ108" s="9"/>
    </row>
    <row r="109" spans="1:36" ht="12.75" hidden="1" customHeight="1" outlineLevel="2" x14ac:dyDescent="0.25">
      <c r="A109" s="205" t="s">
        <v>0</v>
      </c>
      <c r="B109" s="9"/>
      <c r="C109" s="103" t="e">
        <f>#REF!</f>
        <v>#REF!</v>
      </c>
      <c r="D109" s="9"/>
      <c r="E109" s="132"/>
      <c r="F109" s="252" t="e">
        <f>#REF!</f>
        <v>#REF!</v>
      </c>
      <c r="G109" s="252" t="e">
        <f>#REF!</f>
        <v>#REF!</v>
      </c>
      <c r="H109" s="252" t="e">
        <f>#REF!</f>
        <v>#REF!</v>
      </c>
      <c r="I109" s="252" t="e">
        <f>#REF!</f>
        <v>#REF!</v>
      </c>
      <c r="J109" s="227" t="e">
        <f>#REF!</f>
        <v>#REF!</v>
      </c>
      <c r="K109" s="252" t="e">
        <f>#REF!</f>
        <v>#REF!</v>
      </c>
      <c r="L109" s="252" t="e">
        <f>#REF!</f>
        <v>#REF!</v>
      </c>
      <c r="M109" s="252" t="e">
        <f>#REF!</f>
        <v>#REF!</v>
      </c>
      <c r="N109" s="252" t="e">
        <f>#REF!</f>
        <v>#REF!</v>
      </c>
      <c r="O109" s="227" t="e">
        <f>#REF!</f>
        <v>#REF!</v>
      </c>
      <c r="P109" s="252" t="e">
        <f>#REF!</f>
        <v>#REF!</v>
      </c>
      <c r="Q109" s="252" t="e">
        <f>#REF!</f>
        <v>#REF!</v>
      </c>
      <c r="R109" s="252" t="e">
        <f>#REF!</f>
        <v>#REF!</v>
      </c>
      <c r="S109" s="252" t="e">
        <f>#REF!</f>
        <v>#REF!</v>
      </c>
      <c r="T109" s="227" t="e">
        <f>#REF!</f>
        <v>#REF!</v>
      </c>
      <c r="U109" s="252" t="e">
        <f>#REF!</f>
        <v>#REF!</v>
      </c>
      <c r="V109" s="226" t="e">
        <f t="shared" ref="V109:X109" si="162">V110*V115</f>
        <v>#VALUE!</v>
      </c>
      <c r="W109" s="226" t="e">
        <f t="shared" si="162"/>
        <v>#VALUE!</v>
      </c>
      <c r="X109" s="226" t="e">
        <f t="shared" si="162"/>
        <v>#VALUE!</v>
      </c>
      <c r="Y109" s="227" t="e">
        <f t="shared" ref="Y109:Y110" si="163">SUM(U109:X109)</f>
        <v>#REF!</v>
      </c>
      <c r="Z109" s="226" t="e">
        <f t="shared" ref="Z109:AC109" si="164">Z110*Z115</f>
        <v>#VALUE!</v>
      </c>
      <c r="AA109" s="226" t="e">
        <f t="shared" si="164"/>
        <v>#VALUE!</v>
      </c>
      <c r="AB109" s="226" t="e">
        <f t="shared" si="164"/>
        <v>#VALUE!</v>
      </c>
      <c r="AC109" s="226" t="e">
        <f t="shared" si="164"/>
        <v>#VALUE!</v>
      </c>
      <c r="AD109" s="227" t="e">
        <f t="shared" ref="AD109:AD110" si="165">SUM(Z109:AC109)</f>
        <v>#VALUE!</v>
      </c>
      <c r="AE109" s="227" t="e">
        <f t="shared" ref="AE109:AG109" si="166">AE110*AE115</f>
        <v>#VALUE!</v>
      </c>
      <c r="AF109" s="227" t="e">
        <f t="shared" si="166"/>
        <v>#VALUE!</v>
      </c>
      <c r="AG109" s="227" t="e">
        <f t="shared" si="166"/>
        <v>#VALUE!</v>
      </c>
      <c r="AH109" s="9"/>
      <c r="AI109" s="9"/>
      <c r="AJ109" s="9"/>
    </row>
    <row r="110" spans="1:36" ht="12.75" hidden="1" customHeight="1" outlineLevel="2" x14ac:dyDescent="0.25">
      <c r="A110" s="9"/>
      <c r="B110" s="9"/>
      <c r="C110" s="103" t="s">
        <v>249</v>
      </c>
      <c r="D110" s="9"/>
      <c r="E110" s="132"/>
      <c r="F110" s="260">
        <v>220</v>
      </c>
      <c r="G110" s="260">
        <v>220</v>
      </c>
      <c r="H110" s="260">
        <v>220</v>
      </c>
      <c r="I110" s="260">
        <v>220</v>
      </c>
      <c r="J110" s="261">
        <f>SUM(F110:I110)</f>
        <v>880</v>
      </c>
      <c r="K110" s="260">
        <v>220</v>
      </c>
      <c r="L110" s="260">
        <v>220</v>
      </c>
      <c r="M110" s="260">
        <v>220</v>
      </c>
      <c r="N110" s="260">
        <v>220</v>
      </c>
      <c r="O110" s="261">
        <f>SUM(K110:N110)</f>
        <v>880</v>
      </c>
      <c r="P110" s="260">
        <v>220</v>
      </c>
      <c r="Q110" s="260">
        <v>220</v>
      </c>
      <c r="R110" s="260">
        <v>220</v>
      </c>
      <c r="S110" s="260">
        <v>220</v>
      </c>
      <c r="T110" s="261">
        <f>SUM(P110:S110)</f>
        <v>880</v>
      </c>
      <c r="U110" s="260">
        <v>220</v>
      </c>
      <c r="V110" s="262">
        <f t="shared" ref="V110" si="167">U110*(1+V111)</f>
        <v>231</v>
      </c>
      <c r="W110" s="262">
        <f t="shared" ref="W110" si="168">V110*(1+W111)</f>
        <v>242.55</v>
      </c>
      <c r="X110" s="262">
        <f t="shared" ref="X110" si="169">W110*(1+X111)</f>
        <v>254.67750000000001</v>
      </c>
      <c r="Y110" s="261">
        <f t="shared" si="163"/>
        <v>948.22749999999996</v>
      </c>
      <c r="Z110" s="262">
        <f>X110*(1+Z111)</f>
        <v>267.41137500000002</v>
      </c>
      <c r="AA110" s="262">
        <f t="shared" ref="AA110:AC110" si="170">Z110*(1+AA111)</f>
        <v>280.78194375000004</v>
      </c>
      <c r="AB110" s="262">
        <f t="shared" si="170"/>
        <v>294.82104093750007</v>
      </c>
      <c r="AC110" s="262">
        <f t="shared" si="170"/>
        <v>309.56209298437511</v>
      </c>
      <c r="AD110" s="261">
        <f t="shared" si="165"/>
        <v>1152.5764526718754</v>
      </c>
      <c r="AE110" s="261">
        <f t="shared" ref="AE110:AG110" si="171">AD110*(1+AE111)</f>
        <v>1210.2052753054693</v>
      </c>
      <c r="AF110" s="261">
        <f t="shared" si="171"/>
        <v>1270.7155390707428</v>
      </c>
      <c r="AG110" s="261">
        <f t="shared" si="171"/>
        <v>1334.25131602428</v>
      </c>
      <c r="AH110" s="9"/>
      <c r="AI110" s="9"/>
      <c r="AJ110" s="9"/>
    </row>
    <row r="111" spans="1:36" ht="12.75" hidden="1" customHeight="1" outlineLevel="2" x14ac:dyDescent="0.25">
      <c r="A111" s="9"/>
      <c r="B111" s="9"/>
      <c r="C111" s="84" t="s">
        <v>250</v>
      </c>
      <c r="D111" s="9"/>
      <c r="E111" s="132"/>
      <c r="F111" s="254"/>
      <c r="G111" s="253">
        <f t="shared" ref="G111:I111" si="172">IFERROR(G110/F110-1,"--")</f>
        <v>0</v>
      </c>
      <c r="H111" s="253">
        <f t="shared" si="172"/>
        <v>0</v>
      </c>
      <c r="I111" s="253">
        <f t="shared" si="172"/>
        <v>0</v>
      </c>
      <c r="J111" s="132"/>
      <c r="K111" s="253">
        <f>IFERROR(K110/I110-1,"--")</f>
        <v>0</v>
      </c>
      <c r="L111" s="253">
        <f t="shared" ref="L111:N111" si="173">IFERROR(L110/K110-1,"--")</f>
        <v>0</v>
      </c>
      <c r="M111" s="253">
        <f t="shared" si="173"/>
        <v>0</v>
      </c>
      <c r="N111" s="253">
        <f t="shared" si="173"/>
        <v>0</v>
      </c>
      <c r="O111" s="245">
        <f>IFERROR(O110/J110-1,"--")</f>
        <v>0</v>
      </c>
      <c r="P111" s="253">
        <f>IFERROR(P110/N110-1,"--")</f>
        <v>0</v>
      </c>
      <c r="Q111" s="253">
        <f t="shared" ref="Q111:S111" si="174">IFERROR(Q110/P110-1,"--")</f>
        <v>0</v>
      </c>
      <c r="R111" s="253">
        <f t="shared" si="174"/>
        <v>0</v>
      </c>
      <c r="S111" s="253">
        <f t="shared" si="174"/>
        <v>0</v>
      </c>
      <c r="T111" s="245">
        <f>IFERROR(T110/O110-1,"--")</f>
        <v>0</v>
      </c>
      <c r="U111" s="253">
        <f>IFERROR(U110/S110-1,"--")</f>
        <v>0</v>
      </c>
      <c r="V111" s="244">
        <f>IF(Case_Scenario="Bull",V112,IF(Case_Scenario="Base",V113,IF(Case_Scenario="bear",V114,"N/A")))</f>
        <v>0.05</v>
      </c>
      <c r="W111" s="244">
        <f>IF(Case_Scenario="Bull",W112,IF(Case_Scenario="Base",W113,IF(Case_Scenario="bear",W114,"N/A")))</f>
        <v>0.05</v>
      </c>
      <c r="X111" s="244">
        <f>IF(Case_Scenario="Bull",X112,IF(Case_Scenario="Base",X113,IF(Case_Scenario="bear",X114,"N/A")))</f>
        <v>0.05</v>
      </c>
      <c r="Y111" s="245"/>
      <c r="Z111" s="244">
        <f>IF(Case_Scenario="Bull",Z112,IF(Case_Scenario="Base",Z113,IF(Case_Scenario="bear",Z114,"N/A")))</f>
        <v>0.05</v>
      </c>
      <c r="AA111" s="244">
        <f>IF(Case_Scenario="Bull",AA112,IF(Case_Scenario="Base",AA113,IF(Case_Scenario="bear",AA114,"N/A")))</f>
        <v>0.05</v>
      </c>
      <c r="AB111" s="244">
        <f>IF(Case_Scenario="Bull",AB112,IF(Case_Scenario="Base",AB113,IF(Case_Scenario="bear",AB114,"N/A")))</f>
        <v>0.05</v>
      </c>
      <c r="AC111" s="244">
        <f>IF(Case_Scenario="Bull",AC112,IF(Case_Scenario="Base",AC113,IF(Case_Scenario="bear",AC114,"N/A")))</f>
        <v>0.05</v>
      </c>
      <c r="AD111" s="245"/>
      <c r="AE111" s="245">
        <f>IF(Case_Scenario="Bull",AE112,IF(Case_Scenario="Base",AE113,IF(Case_Scenario="bear",AE114,"N/A")))</f>
        <v>0.05</v>
      </c>
      <c r="AF111" s="245">
        <f>IF(Case_Scenario="Bull",AF112,IF(Case_Scenario="Base",AF113,IF(Case_Scenario="bear",AF114,"N/A")))</f>
        <v>0.05</v>
      </c>
      <c r="AG111" s="245">
        <f>IF(Case_Scenario="Bull",AG112,IF(Case_Scenario="Base",AG113,IF(Case_Scenario="bear",AG114,"N/A")))</f>
        <v>0.05</v>
      </c>
      <c r="AH111" s="9"/>
      <c r="AI111" s="9"/>
      <c r="AJ111" s="9"/>
    </row>
    <row r="112" spans="1:36" ht="12.75" hidden="1" customHeight="1" outlineLevel="2" x14ac:dyDescent="0.25">
      <c r="A112" s="9"/>
      <c r="B112" s="9"/>
      <c r="C112" s="103" t="s">
        <v>246</v>
      </c>
      <c r="D112" s="9"/>
      <c r="E112" s="132"/>
      <c r="F112" s="254"/>
      <c r="G112" s="254"/>
      <c r="H112" s="254"/>
      <c r="I112" s="254"/>
      <c r="J112" s="132"/>
      <c r="K112" s="254"/>
      <c r="L112" s="254"/>
      <c r="M112" s="254"/>
      <c r="N112" s="254"/>
      <c r="O112" s="132"/>
      <c r="P112" s="254"/>
      <c r="Q112" s="254"/>
      <c r="R112" s="254"/>
      <c r="S112" s="254"/>
      <c r="T112" s="132"/>
      <c r="U112" s="254"/>
      <c r="V112" s="255">
        <v>0.1</v>
      </c>
      <c r="W112" s="255">
        <v>0.1</v>
      </c>
      <c r="X112" s="255">
        <v>0.1</v>
      </c>
      <c r="Y112" s="256"/>
      <c r="Z112" s="255">
        <v>0.1</v>
      </c>
      <c r="AA112" s="255">
        <v>0.1</v>
      </c>
      <c r="AB112" s="255">
        <v>0.1</v>
      </c>
      <c r="AC112" s="255">
        <v>0.1</v>
      </c>
      <c r="AD112" s="256"/>
      <c r="AE112" s="256">
        <v>0.1</v>
      </c>
      <c r="AF112" s="256">
        <v>0.1</v>
      </c>
      <c r="AG112" s="256">
        <v>0.1</v>
      </c>
      <c r="AH112" s="9"/>
      <c r="AI112" s="9"/>
      <c r="AJ112" s="9"/>
    </row>
    <row r="113" spans="1:36" ht="12.75" hidden="1" customHeight="1" outlineLevel="2" x14ac:dyDescent="0.25">
      <c r="A113" s="9"/>
      <c r="B113" s="9"/>
      <c r="C113" s="103" t="s">
        <v>247</v>
      </c>
      <c r="D113" s="9"/>
      <c r="E113" s="132"/>
      <c r="F113" s="254"/>
      <c r="G113" s="254"/>
      <c r="H113" s="254"/>
      <c r="I113" s="254"/>
      <c r="J113" s="132"/>
      <c r="K113" s="254"/>
      <c r="L113" s="254"/>
      <c r="M113" s="254"/>
      <c r="N113" s="254"/>
      <c r="O113" s="132"/>
      <c r="P113" s="254"/>
      <c r="Q113" s="254"/>
      <c r="R113" s="254"/>
      <c r="S113" s="254"/>
      <c r="T113" s="132"/>
      <c r="U113" s="254"/>
      <c r="V113" s="255">
        <v>0.05</v>
      </c>
      <c r="W113" s="255">
        <v>0.05</v>
      </c>
      <c r="X113" s="255">
        <v>0.05</v>
      </c>
      <c r="Y113" s="256"/>
      <c r="Z113" s="255">
        <v>0.05</v>
      </c>
      <c r="AA113" s="255">
        <v>0.05</v>
      </c>
      <c r="AB113" s="255">
        <v>0.05</v>
      </c>
      <c r="AC113" s="255">
        <v>0.05</v>
      </c>
      <c r="AD113" s="256"/>
      <c r="AE113" s="256">
        <v>0.05</v>
      </c>
      <c r="AF113" s="256">
        <v>0.05</v>
      </c>
      <c r="AG113" s="256">
        <v>0.05</v>
      </c>
      <c r="AH113" s="9"/>
      <c r="AI113" s="9"/>
      <c r="AJ113" s="9"/>
    </row>
    <row r="114" spans="1:36" ht="12.75" hidden="1" customHeight="1" outlineLevel="2" x14ac:dyDescent="0.25">
      <c r="A114" s="9"/>
      <c r="B114" s="9"/>
      <c r="C114" s="103" t="s">
        <v>248</v>
      </c>
      <c r="D114" s="9"/>
      <c r="E114" s="132"/>
      <c r="F114" s="254"/>
      <c r="G114" s="254"/>
      <c r="H114" s="254"/>
      <c r="I114" s="254"/>
      <c r="J114" s="132"/>
      <c r="K114" s="254"/>
      <c r="L114" s="254"/>
      <c r="M114" s="254"/>
      <c r="N114" s="254"/>
      <c r="O114" s="132"/>
      <c r="P114" s="254"/>
      <c r="Q114" s="254"/>
      <c r="R114" s="254"/>
      <c r="S114" s="254"/>
      <c r="T114" s="132"/>
      <c r="U114" s="254"/>
      <c r="V114" s="255">
        <v>0</v>
      </c>
      <c r="W114" s="255">
        <v>0</v>
      </c>
      <c r="X114" s="255">
        <v>0</v>
      </c>
      <c r="Y114" s="256"/>
      <c r="Z114" s="255">
        <v>0</v>
      </c>
      <c r="AA114" s="255">
        <v>0</v>
      </c>
      <c r="AB114" s="255">
        <v>0</v>
      </c>
      <c r="AC114" s="255">
        <v>0</v>
      </c>
      <c r="AD114" s="256"/>
      <c r="AE114" s="256">
        <v>0</v>
      </c>
      <c r="AF114" s="256">
        <v>0</v>
      </c>
      <c r="AG114" s="256">
        <v>0</v>
      </c>
      <c r="AH114" s="9"/>
      <c r="AI114" s="9"/>
      <c r="AJ114" s="9"/>
    </row>
    <row r="115" spans="1:36" ht="12.75" hidden="1" customHeight="1" outlineLevel="2" x14ac:dyDescent="0.25">
      <c r="A115" s="9"/>
      <c r="B115" s="9"/>
      <c r="C115" s="103" t="s">
        <v>161</v>
      </c>
      <c r="D115" s="9"/>
      <c r="E115" s="132"/>
      <c r="F115" s="252" t="str">
        <f t="shared" ref="F115:T115" si="175">IFERROR(F109/F110,"--")</f>
        <v>--</v>
      </c>
      <c r="G115" s="252" t="str">
        <f t="shared" si="175"/>
        <v>--</v>
      </c>
      <c r="H115" s="252" t="str">
        <f t="shared" si="175"/>
        <v>--</v>
      </c>
      <c r="I115" s="252" t="str">
        <f t="shared" si="175"/>
        <v>--</v>
      </c>
      <c r="J115" s="227" t="str">
        <f t="shared" si="175"/>
        <v>--</v>
      </c>
      <c r="K115" s="252" t="str">
        <f t="shared" si="175"/>
        <v>--</v>
      </c>
      <c r="L115" s="252" t="str">
        <f t="shared" si="175"/>
        <v>--</v>
      </c>
      <c r="M115" s="252" t="str">
        <f t="shared" si="175"/>
        <v>--</v>
      </c>
      <c r="N115" s="252" t="str">
        <f t="shared" si="175"/>
        <v>--</v>
      </c>
      <c r="O115" s="227" t="str">
        <f t="shared" si="175"/>
        <v>--</v>
      </c>
      <c r="P115" s="252" t="str">
        <f t="shared" si="175"/>
        <v>--</v>
      </c>
      <c r="Q115" s="252" t="str">
        <f t="shared" si="175"/>
        <v>--</v>
      </c>
      <c r="R115" s="252" t="str">
        <f t="shared" si="175"/>
        <v>--</v>
      </c>
      <c r="S115" s="252" t="str">
        <f t="shared" si="175"/>
        <v>--</v>
      </c>
      <c r="T115" s="227" t="str">
        <f t="shared" si="175"/>
        <v>--</v>
      </c>
      <c r="U115" s="252" t="str">
        <f t="shared" ref="U115" si="176">IFERROR(U109/U110,"--")</f>
        <v>--</v>
      </c>
      <c r="V115" s="226" t="e">
        <f t="shared" ref="V115" si="177">U115*(1+V116)</f>
        <v>#VALUE!</v>
      </c>
      <c r="W115" s="226" t="e">
        <f t="shared" ref="W115" si="178">V115*(1+W116)</f>
        <v>#VALUE!</v>
      </c>
      <c r="X115" s="226" t="e">
        <f t="shared" ref="X115" si="179">W115*(1+X116)</f>
        <v>#VALUE!</v>
      </c>
      <c r="Y115" s="227" t="e">
        <f>Y109/Y110</f>
        <v>#REF!</v>
      </c>
      <c r="Z115" s="226" t="e">
        <f>X115*(1+Z116)</f>
        <v>#VALUE!</v>
      </c>
      <c r="AA115" s="226" t="e">
        <f t="shared" ref="AA115:AC115" si="180">Z115*(1+AA116)</f>
        <v>#VALUE!</v>
      </c>
      <c r="AB115" s="226" t="e">
        <f t="shared" si="180"/>
        <v>#VALUE!</v>
      </c>
      <c r="AC115" s="226" t="e">
        <f t="shared" si="180"/>
        <v>#VALUE!</v>
      </c>
      <c r="AD115" s="227" t="e">
        <f>AD109/AD110</f>
        <v>#VALUE!</v>
      </c>
      <c r="AE115" s="227" t="e">
        <f t="shared" ref="AE115:AG115" si="181">AD115*(1+AE116)</f>
        <v>#VALUE!</v>
      </c>
      <c r="AF115" s="227" t="e">
        <f t="shared" si="181"/>
        <v>#VALUE!</v>
      </c>
      <c r="AG115" s="227" t="e">
        <f t="shared" si="181"/>
        <v>#VALUE!</v>
      </c>
      <c r="AH115" s="9"/>
      <c r="AI115" s="9"/>
      <c r="AJ115" s="9"/>
    </row>
    <row r="116" spans="1:36" ht="12.75" hidden="1" customHeight="1" outlineLevel="2" x14ac:dyDescent="0.25">
      <c r="A116" s="9"/>
      <c r="B116" s="9"/>
      <c r="C116" s="84" t="s">
        <v>251</v>
      </c>
      <c r="D116" s="9"/>
      <c r="E116" s="132"/>
      <c r="F116" s="254"/>
      <c r="G116" s="253" t="str">
        <f t="shared" ref="G116:I116" si="182">IFERROR(G115/F115-1,"--")</f>
        <v>--</v>
      </c>
      <c r="H116" s="253" t="str">
        <f t="shared" si="182"/>
        <v>--</v>
      </c>
      <c r="I116" s="253" t="str">
        <f t="shared" si="182"/>
        <v>--</v>
      </c>
      <c r="J116" s="132"/>
      <c r="K116" s="253" t="str">
        <f>IFERROR(K115/I115-1,"--")</f>
        <v>--</v>
      </c>
      <c r="L116" s="253" t="str">
        <f t="shared" ref="L116:N116" si="183">IFERROR(L115/K115-1,"--")</f>
        <v>--</v>
      </c>
      <c r="M116" s="253" t="str">
        <f t="shared" si="183"/>
        <v>--</v>
      </c>
      <c r="N116" s="253" t="str">
        <f t="shared" si="183"/>
        <v>--</v>
      </c>
      <c r="O116" s="245" t="str">
        <f>IFERROR(O115/J115-1,"--")</f>
        <v>--</v>
      </c>
      <c r="P116" s="253" t="str">
        <f>IFERROR(P115/N115-1,"--")</f>
        <v>--</v>
      </c>
      <c r="Q116" s="253" t="str">
        <f t="shared" ref="Q116:S116" si="184">IFERROR(Q115/P115-1,"--")</f>
        <v>--</v>
      </c>
      <c r="R116" s="253" t="str">
        <f t="shared" si="184"/>
        <v>--</v>
      </c>
      <c r="S116" s="253" t="str">
        <f t="shared" si="184"/>
        <v>--</v>
      </c>
      <c r="T116" s="245" t="str">
        <f>IFERROR(T115/O115-1,"--")</f>
        <v>--</v>
      </c>
      <c r="U116" s="253" t="str">
        <f>IFERROR(U115/S115-1,"--")</f>
        <v>--</v>
      </c>
      <c r="V116" s="244">
        <f>IF(Case_Scenario="Bull",V117,IF(Case_Scenario="Base",V118,IF(Case_Scenario="bear",V119,"N/A")))</f>
        <v>0.05</v>
      </c>
      <c r="W116" s="244">
        <f>IF(Case_Scenario="Bull",W117,IF(Case_Scenario="Base",W118,IF(Case_Scenario="bear",W119,"N/A")))</f>
        <v>0.05</v>
      </c>
      <c r="X116" s="244">
        <f>IF(Case_Scenario="Bull",X117,IF(Case_Scenario="Base",X118,IF(Case_Scenario="bear",X119,"N/A")))</f>
        <v>0.05</v>
      </c>
      <c r="Y116" s="245"/>
      <c r="Z116" s="244">
        <f>IF(Case_Scenario="Bull",Z117,IF(Case_Scenario="Base",Z118,IF(Case_Scenario="bear",Z119,"N/A")))</f>
        <v>0.05</v>
      </c>
      <c r="AA116" s="244">
        <f>IF(Case_Scenario="Bull",AA117,IF(Case_Scenario="Base",AA118,IF(Case_Scenario="bear",AA119,"N/A")))</f>
        <v>0.05</v>
      </c>
      <c r="AB116" s="244">
        <f>IF(Case_Scenario="Bull",AB117,IF(Case_Scenario="Base",AB118,IF(Case_Scenario="bear",AB119,"N/A")))</f>
        <v>0.05</v>
      </c>
      <c r="AC116" s="244">
        <f>IF(Case_Scenario="Bull",AC117,IF(Case_Scenario="Base",AC118,IF(Case_Scenario="bear",AC119,"N/A")))</f>
        <v>0.05</v>
      </c>
      <c r="AD116" s="245"/>
      <c r="AE116" s="245">
        <f>IF(Case_Scenario="Bull",AE117,IF(Case_Scenario="Base",AE118,IF(Case_Scenario="bear",AE119,"N/A")))</f>
        <v>0.05</v>
      </c>
      <c r="AF116" s="245">
        <f>IF(Case_Scenario="Bull",AF117,IF(Case_Scenario="Base",AF118,IF(Case_Scenario="bear",AF119,"N/A")))</f>
        <v>0.05</v>
      </c>
      <c r="AG116" s="245">
        <f>IF(Case_Scenario="Bull",AG117,IF(Case_Scenario="Base",AG118,IF(Case_Scenario="bear",AG119,"N/A")))</f>
        <v>0.05</v>
      </c>
      <c r="AH116" s="9"/>
      <c r="AI116" s="9"/>
      <c r="AJ116" s="9"/>
    </row>
    <row r="117" spans="1:36" ht="12.75" hidden="1" customHeight="1" outlineLevel="2" x14ac:dyDescent="0.25">
      <c r="A117" s="9"/>
      <c r="B117" s="9"/>
      <c r="C117" s="103" t="s">
        <v>246</v>
      </c>
      <c r="D117" s="9"/>
      <c r="E117" s="132"/>
      <c r="F117" s="254"/>
      <c r="G117" s="254"/>
      <c r="H117" s="254"/>
      <c r="I117" s="254"/>
      <c r="J117" s="132"/>
      <c r="K117" s="254"/>
      <c r="L117" s="254"/>
      <c r="M117" s="254"/>
      <c r="N117" s="254"/>
      <c r="O117" s="132"/>
      <c r="P117" s="254"/>
      <c r="Q117" s="254"/>
      <c r="R117" s="254"/>
      <c r="S117" s="254"/>
      <c r="T117" s="132"/>
      <c r="U117" s="254"/>
      <c r="V117" s="255">
        <v>0.1</v>
      </c>
      <c r="W117" s="255">
        <v>0.1</v>
      </c>
      <c r="X117" s="255">
        <v>0.1</v>
      </c>
      <c r="Y117" s="256"/>
      <c r="Z117" s="255">
        <v>0.1</v>
      </c>
      <c r="AA117" s="255">
        <v>0.1</v>
      </c>
      <c r="AB117" s="255">
        <v>0.1</v>
      </c>
      <c r="AC117" s="255">
        <v>0.1</v>
      </c>
      <c r="AD117" s="256"/>
      <c r="AE117" s="256">
        <v>0.1</v>
      </c>
      <c r="AF117" s="256">
        <v>0.1</v>
      </c>
      <c r="AG117" s="256">
        <v>0.1</v>
      </c>
      <c r="AH117" s="9"/>
      <c r="AI117" s="9"/>
      <c r="AJ117" s="9"/>
    </row>
    <row r="118" spans="1:36" ht="12.75" hidden="1" customHeight="1" outlineLevel="2" x14ac:dyDescent="0.25">
      <c r="A118" s="9"/>
      <c r="B118" s="9"/>
      <c r="C118" s="103" t="s">
        <v>247</v>
      </c>
      <c r="D118" s="9"/>
      <c r="E118" s="132"/>
      <c r="F118" s="254"/>
      <c r="G118" s="254"/>
      <c r="H118" s="254"/>
      <c r="I118" s="254"/>
      <c r="J118" s="132"/>
      <c r="K118" s="254"/>
      <c r="L118" s="254"/>
      <c r="M118" s="254"/>
      <c r="N118" s="254"/>
      <c r="O118" s="132"/>
      <c r="P118" s="254"/>
      <c r="Q118" s="254"/>
      <c r="R118" s="254"/>
      <c r="S118" s="254"/>
      <c r="T118" s="132"/>
      <c r="U118" s="254"/>
      <c r="V118" s="255">
        <v>0.05</v>
      </c>
      <c r="W118" s="255">
        <v>0.05</v>
      </c>
      <c r="X118" s="255">
        <v>0.05</v>
      </c>
      <c r="Y118" s="256"/>
      <c r="Z118" s="255">
        <v>0.05</v>
      </c>
      <c r="AA118" s="255">
        <v>0.05</v>
      </c>
      <c r="AB118" s="255">
        <v>0.05</v>
      </c>
      <c r="AC118" s="255">
        <v>0.05</v>
      </c>
      <c r="AD118" s="256"/>
      <c r="AE118" s="256">
        <v>0.05</v>
      </c>
      <c r="AF118" s="256">
        <v>0.05</v>
      </c>
      <c r="AG118" s="256">
        <v>0.05</v>
      </c>
      <c r="AH118" s="9"/>
      <c r="AI118" s="9"/>
      <c r="AJ118" s="9"/>
    </row>
    <row r="119" spans="1:36" ht="12.75" hidden="1" customHeight="1" outlineLevel="2" x14ac:dyDescent="0.25">
      <c r="A119" s="9"/>
      <c r="B119" s="9"/>
      <c r="C119" s="103" t="s">
        <v>248</v>
      </c>
      <c r="D119" s="9"/>
      <c r="E119" s="132"/>
      <c r="F119" s="254"/>
      <c r="G119" s="254"/>
      <c r="H119" s="254"/>
      <c r="I119" s="254"/>
      <c r="J119" s="132"/>
      <c r="K119" s="254"/>
      <c r="L119" s="254"/>
      <c r="M119" s="254"/>
      <c r="N119" s="254"/>
      <c r="O119" s="132"/>
      <c r="P119" s="254"/>
      <c r="Q119" s="254"/>
      <c r="R119" s="254"/>
      <c r="S119" s="254"/>
      <c r="T119" s="132"/>
      <c r="U119" s="254"/>
      <c r="V119" s="255">
        <v>0</v>
      </c>
      <c r="W119" s="255">
        <v>0</v>
      </c>
      <c r="X119" s="255">
        <v>0</v>
      </c>
      <c r="Y119" s="256"/>
      <c r="Z119" s="255">
        <v>0</v>
      </c>
      <c r="AA119" s="255">
        <v>0</v>
      </c>
      <c r="AB119" s="255">
        <v>0</v>
      </c>
      <c r="AC119" s="255">
        <v>0</v>
      </c>
      <c r="AD119" s="256"/>
      <c r="AE119" s="256">
        <v>0</v>
      </c>
      <c r="AF119" s="256">
        <v>0</v>
      </c>
      <c r="AG119" s="256">
        <v>0</v>
      </c>
      <c r="AH119" s="9"/>
      <c r="AI119" s="9"/>
      <c r="AJ119" s="9"/>
    </row>
    <row r="120" spans="1:36" ht="12.75" hidden="1" customHeight="1" outlineLevel="2" x14ac:dyDescent="0.25">
      <c r="A120" s="9"/>
      <c r="B120" s="9"/>
      <c r="C120" s="9"/>
      <c r="D120" s="9"/>
      <c r="E120" s="132"/>
      <c r="F120" s="254"/>
      <c r="G120" s="254"/>
      <c r="H120" s="254"/>
      <c r="I120" s="254"/>
      <c r="J120" s="132"/>
      <c r="K120" s="254"/>
      <c r="L120" s="254"/>
      <c r="M120" s="254"/>
      <c r="N120" s="254"/>
      <c r="O120" s="132"/>
      <c r="P120" s="254"/>
      <c r="Q120" s="254"/>
      <c r="R120" s="254"/>
      <c r="S120" s="254"/>
      <c r="T120" s="132"/>
      <c r="U120" s="254"/>
      <c r="V120" s="257"/>
      <c r="W120" s="257"/>
      <c r="X120" s="257"/>
      <c r="Y120" s="132"/>
      <c r="Z120" s="257"/>
      <c r="AA120" s="257"/>
      <c r="AB120" s="257"/>
      <c r="AC120" s="257"/>
      <c r="AD120" s="132"/>
      <c r="AE120" s="132"/>
      <c r="AF120" s="132"/>
      <c r="AG120" s="132"/>
      <c r="AH120" s="9"/>
      <c r="AI120" s="9"/>
      <c r="AJ120" s="9"/>
    </row>
    <row r="121" spans="1:36" ht="12.75" hidden="1" customHeight="1" outlineLevel="2" x14ac:dyDescent="0.25">
      <c r="A121" s="205" t="s">
        <v>0</v>
      </c>
      <c r="B121" s="9"/>
      <c r="C121" s="103" t="e">
        <f>#REF!</f>
        <v>#REF!</v>
      </c>
      <c r="D121" s="9"/>
      <c r="E121" s="132"/>
      <c r="F121" s="252" t="e">
        <f>#REF!</f>
        <v>#REF!</v>
      </c>
      <c r="G121" s="252" t="e">
        <f>#REF!</f>
        <v>#REF!</v>
      </c>
      <c r="H121" s="252" t="e">
        <f>#REF!</f>
        <v>#REF!</v>
      </c>
      <c r="I121" s="252" t="e">
        <f>#REF!</f>
        <v>#REF!</v>
      </c>
      <c r="J121" s="227" t="e">
        <f>#REF!</f>
        <v>#REF!</v>
      </c>
      <c r="K121" s="252" t="e">
        <f>#REF!</f>
        <v>#REF!</v>
      </c>
      <c r="L121" s="252" t="e">
        <f>#REF!</f>
        <v>#REF!</v>
      </c>
      <c r="M121" s="252" t="e">
        <f>#REF!</f>
        <v>#REF!</v>
      </c>
      <c r="N121" s="252" t="e">
        <f>#REF!</f>
        <v>#REF!</v>
      </c>
      <c r="O121" s="227" t="e">
        <f>#REF!</f>
        <v>#REF!</v>
      </c>
      <c r="P121" s="252" t="e">
        <f>#REF!</f>
        <v>#REF!</v>
      </c>
      <c r="Q121" s="252" t="e">
        <f>#REF!</f>
        <v>#REF!</v>
      </c>
      <c r="R121" s="252" t="e">
        <f>#REF!</f>
        <v>#REF!</v>
      </c>
      <c r="S121" s="252" t="e">
        <f>#REF!</f>
        <v>#REF!</v>
      </c>
      <c r="T121" s="227" t="e">
        <f>#REF!</f>
        <v>#REF!</v>
      </c>
      <c r="U121" s="252" t="e">
        <f>#REF!</f>
        <v>#REF!</v>
      </c>
      <c r="V121" s="226" t="e">
        <f t="shared" ref="V121:X121" si="185">V122*V127</f>
        <v>#VALUE!</v>
      </c>
      <c r="W121" s="226" t="e">
        <f t="shared" si="185"/>
        <v>#VALUE!</v>
      </c>
      <c r="X121" s="226" t="e">
        <f t="shared" si="185"/>
        <v>#VALUE!</v>
      </c>
      <c r="Y121" s="227" t="e">
        <f t="shared" ref="Y121:Y122" si="186">SUM(U121:X121)</f>
        <v>#REF!</v>
      </c>
      <c r="Z121" s="226" t="e">
        <f t="shared" ref="Z121:AC121" si="187">Z122*Z127</f>
        <v>#VALUE!</v>
      </c>
      <c r="AA121" s="226" t="e">
        <f t="shared" si="187"/>
        <v>#VALUE!</v>
      </c>
      <c r="AB121" s="226" t="e">
        <f t="shared" si="187"/>
        <v>#VALUE!</v>
      </c>
      <c r="AC121" s="226" t="e">
        <f t="shared" si="187"/>
        <v>#VALUE!</v>
      </c>
      <c r="AD121" s="227" t="e">
        <f t="shared" ref="AD121:AD122" si="188">SUM(Z121:AC121)</f>
        <v>#VALUE!</v>
      </c>
      <c r="AE121" s="227" t="e">
        <f t="shared" ref="AE121:AG121" si="189">AE122*AE127</f>
        <v>#VALUE!</v>
      </c>
      <c r="AF121" s="227" t="e">
        <f t="shared" si="189"/>
        <v>#VALUE!</v>
      </c>
      <c r="AG121" s="227" t="e">
        <f t="shared" si="189"/>
        <v>#VALUE!</v>
      </c>
      <c r="AH121" s="9"/>
      <c r="AI121" s="9"/>
      <c r="AJ121" s="9"/>
    </row>
    <row r="122" spans="1:36" ht="12.75" hidden="1" customHeight="1" outlineLevel="2" x14ac:dyDescent="0.25">
      <c r="A122" s="9"/>
      <c r="B122" s="9"/>
      <c r="C122" s="103" t="s">
        <v>249</v>
      </c>
      <c r="D122" s="9"/>
      <c r="E122" s="132"/>
      <c r="F122" s="260">
        <v>220</v>
      </c>
      <c r="G122" s="260">
        <v>220</v>
      </c>
      <c r="H122" s="260">
        <v>220</v>
      </c>
      <c r="I122" s="260">
        <v>220</v>
      </c>
      <c r="J122" s="261">
        <f>SUM(F122:I122)</f>
        <v>880</v>
      </c>
      <c r="K122" s="260">
        <v>220</v>
      </c>
      <c r="L122" s="260">
        <v>220</v>
      </c>
      <c r="M122" s="260">
        <v>220</v>
      </c>
      <c r="N122" s="260">
        <v>220</v>
      </c>
      <c r="O122" s="261">
        <f>SUM(K122:N122)</f>
        <v>880</v>
      </c>
      <c r="P122" s="260">
        <v>220</v>
      </c>
      <c r="Q122" s="260">
        <v>220</v>
      </c>
      <c r="R122" s="260">
        <v>220</v>
      </c>
      <c r="S122" s="260">
        <v>220</v>
      </c>
      <c r="T122" s="261">
        <f>SUM(P122:S122)</f>
        <v>880</v>
      </c>
      <c r="U122" s="260">
        <v>220</v>
      </c>
      <c r="V122" s="262">
        <f t="shared" ref="V122" si="190">U122*(1+V123)</f>
        <v>231</v>
      </c>
      <c r="W122" s="262">
        <f t="shared" ref="W122" si="191">V122*(1+W123)</f>
        <v>242.55</v>
      </c>
      <c r="X122" s="262">
        <f t="shared" ref="X122" si="192">W122*(1+X123)</f>
        <v>254.67750000000001</v>
      </c>
      <c r="Y122" s="261">
        <f t="shared" si="186"/>
        <v>948.22749999999996</v>
      </c>
      <c r="Z122" s="262">
        <f>X122*(1+Z123)</f>
        <v>267.41137500000002</v>
      </c>
      <c r="AA122" s="262">
        <f t="shared" ref="AA122:AC122" si="193">Z122*(1+AA123)</f>
        <v>280.78194375000004</v>
      </c>
      <c r="AB122" s="262">
        <f t="shared" si="193"/>
        <v>294.82104093750007</v>
      </c>
      <c r="AC122" s="262">
        <f t="shared" si="193"/>
        <v>309.56209298437511</v>
      </c>
      <c r="AD122" s="261">
        <f t="shared" si="188"/>
        <v>1152.5764526718754</v>
      </c>
      <c r="AE122" s="261">
        <f t="shared" ref="AE122:AG122" si="194">AD122*(1+AE123)</f>
        <v>1210.2052753054693</v>
      </c>
      <c r="AF122" s="261">
        <f t="shared" si="194"/>
        <v>1270.7155390707428</v>
      </c>
      <c r="AG122" s="261">
        <f t="shared" si="194"/>
        <v>1334.25131602428</v>
      </c>
      <c r="AH122" s="9"/>
      <c r="AI122" s="9"/>
      <c r="AJ122" s="9"/>
    </row>
    <row r="123" spans="1:36" ht="12.75" hidden="1" customHeight="1" outlineLevel="2" x14ac:dyDescent="0.25">
      <c r="A123" s="9"/>
      <c r="B123" s="9"/>
      <c r="C123" s="84" t="s">
        <v>250</v>
      </c>
      <c r="D123" s="9"/>
      <c r="E123" s="132"/>
      <c r="F123" s="254"/>
      <c r="G123" s="253">
        <f t="shared" ref="G123:I123" si="195">IFERROR(G122/F122-1,"--")</f>
        <v>0</v>
      </c>
      <c r="H123" s="253">
        <f t="shared" si="195"/>
        <v>0</v>
      </c>
      <c r="I123" s="253">
        <f t="shared" si="195"/>
        <v>0</v>
      </c>
      <c r="J123" s="132"/>
      <c r="K123" s="253">
        <f>IFERROR(K122/I122-1,"--")</f>
        <v>0</v>
      </c>
      <c r="L123" s="253">
        <f t="shared" ref="L123:N123" si="196">IFERROR(L122/K122-1,"--")</f>
        <v>0</v>
      </c>
      <c r="M123" s="253">
        <f t="shared" si="196"/>
        <v>0</v>
      </c>
      <c r="N123" s="253">
        <f t="shared" si="196"/>
        <v>0</v>
      </c>
      <c r="O123" s="245">
        <f>IFERROR(O122/J122-1,"--")</f>
        <v>0</v>
      </c>
      <c r="P123" s="253">
        <f>IFERROR(P122/N122-1,"--")</f>
        <v>0</v>
      </c>
      <c r="Q123" s="253">
        <f t="shared" ref="Q123:S123" si="197">IFERROR(Q122/P122-1,"--")</f>
        <v>0</v>
      </c>
      <c r="R123" s="253">
        <f t="shared" si="197"/>
        <v>0</v>
      </c>
      <c r="S123" s="253">
        <f t="shared" si="197"/>
        <v>0</v>
      </c>
      <c r="T123" s="245">
        <f>IFERROR(T122/O122-1,"--")</f>
        <v>0</v>
      </c>
      <c r="U123" s="253">
        <f>IFERROR(U122/S122-1,"--")</f>
        <v>0</v>
      </c>
      <c r="V123" s="244">
        <f>IF(Case_Scenario="Bull",V124,IF(Case_Scenario="Base",V125,IF(Case_Scenario="bear",V126,"N/A")))</f>
        <v>0.05</v>
      </c>
      <c r="W123" s="244">
        <f>IF(Case_Scenario="Bull",W124,IF(Case_Scenario="Base",W125,IF(Case_Scenario="bear",W126,"N/A")))</f>
        <v>0.05</v>
      </c>
      <c r="X123" s="244">
        <f>IF(Case_Scenario="Bull",X124,IF(Case_Scenario="Base",X125,IF(Case_Scenario="bear",X126,"N/A")))</f>
        <v>0.05</v>
      </c>
      <c r="Y123" s="245"/>
      <c r="Z123" s="244">
        <f>IF(Case_Scenario="Bull",Z124,IF(Case_Scenario="Base",Z125,IF(Case_Scenario="bear",Z126,"N/A")))</f>
        <v>0.05</v>
      </c>
      <c r="AA123" s="244">
        <f>IF(Case_Scenario="Bull",AA124,IF(Case_Scenario="Base",AA125,IF(Case_Scenario="bear",AA126,"N/A")))</f>
        <v>0.05</v>
      </c>
      <c r="AB123" s="244">
        <f>IF(Case_Scenario="Bull",AB124,IF(Case_Scenario="Base",AB125,IF(Case_Scenario="bear",AB126,"N/A")))</f>
        <v>0.05</v>
      </c>
      <c r="AC123" s="244">
        <f>IF(Case_Scenario="Bull",AC124,IF(Case_Scenario="Base",AC125,IF(Case_Scenario="bear",AC126,"N/A")))</f>
        <v>0.05</v>
      </c>
      <c r="AD123" s="245"/>
      <c r="AE123" s="245">
        <f>IF(Case_Scenario="Bull",AE124,IF(Case_Scenario="Base",AE125,IF(Case_Scenario="bear",AE126,"N/A")))</f>
        <v>0.05</v>
      </c>
      <c r="AF123" s="245">
        <f>IF(Case_Scenario="Bull",AF124,IF(Case_Scenario="Base",AF125,IF(Case_Scenario="bear",AF126,"N/A")))</f>
        <v>0.05</v>
      </c>
      <c r="AG123" s="245">
        <f>IF(Case_Scenario="Bull",AG124,IF(Case_Scenario="Base",AG125,IF(Case_Scenario="bear",AG126,"N/A")))</f>
        <v>0.05</v>
      </c>
      <c r="AH123" s="9"/>
      <c r="AI123" s="9"/>
      <c r="AJ123" s="9"/>
    </row>
    <row r="124" spans="1:36" ht="12.75" hidden="1" customHeight="1" outlineLevel="2" x14ac:dyDescent="0.25">
      <c r="A124" s="9"/>
      <c r="B124" s="9"/>
      <c r="C124" s="103" t="s">
        <v>246</v>
      </c>
      <c r="D124" s="9"/>
      <c r="E124" s="132"/>
      <c r="F124" s="254"/>
      <c r="G124" s="254"/>
      <c r="H124" s="254"/>
      <c r="I124" s="254"/>
      <c r="J124" s="132"/>
      <c r="K124" s="254"/>
      <c r="L124" s="254"/>
      <c r="M124" s="254"/>
      <c r="N124" s="254"/>
      <c r="O124" s="132"/>
      <c r="P124" s="254"/>
      <c r="Q124" s="254"/>
      <c r="R124" s="254"/>
      <c r="S124" s="254"/>
      <c r="T124" s="132"/>
      <c r="U124" s="254"/>
      <c r="V124" s="255">
        <v>0.1</v>
      </c>
      <c r="W124" s="255">
        <v>0.1</v>
      </c>
      <c r="X124" s="255">
        <v>0.1</v>
      </c>
      <c r="Y124" s="256"/>
      <c r="Z124" s="255">
        <v>0.1</v>
      </c>
      <c r="AA124" s="255">
        <v>0.1</v>
      </c>
      <c r="AB124" s="255">
        <v>0.1</v>
      </c>
      <c r="AC124" s="255">
        <v>0.1</v>
      </c>
      <c r="AD124" s="256"/>
      <c r="AE124" s="256">
        <v>0.1</v>
      </c>
      <c r="AF124" s="256">
        <v>0.1</v>
      </c>
      <c r="AG124" s="256">
        <v>0.1</v>
      </c>
      <c r="AH124" s="9"/>
      <c r="AI124" s="9"/>
      <c r="AJ124" s="9"/>
    </row>
    <row r="125" spans="1:36" ht="12.75" hidden="1" customHeight="1" outlineLevel="2" x14ac:dyDescent="0.25">
      <c r="A125" s="9"/>
      <c r="B125" s="9"/>
      <c r="C125" s="103" t="s">
        <v>247</v>
      </c>
      <c r="D125" s="9"/>
      <c r="E125" s="132"/>
      <c r="F125" s="254"/>
      <c r="G125" s="254"/>
      <c r="H125" s="254"/>
      <c r="I125" s="254"/>
      <c r="J125" s="132"/>
      <c r="K125" s="254"/>
      <c r="L125" s="254"/>
      <c r="M125" s="254"/>
      <c r="N125" s="254"/>
      <c r="O125" s="132"/>
      <c r="P125" s="254"/>
      <c r="Q125" s="254"/>
      <c r="R125" s="254"/>
      <c r="S125" s="254"/>
      <c r="T125" s="132"/>
      <c r="U125" s="254"/>
      <c r="V125" s="255">
        <v>0.05</v>
      </c>
      <c r="W125" s="255">
        <v>0.05</v>
      </c>
      <c r="X125" s="255">
        <v>0.05</v>
      </c>
      <c r="Y125" s="256"/>
      <c r="Z125" s="255">
        <v>0.05</v>
      </c>
      <c r="AA125" s="255">
        <v>0.05</v>
      </c>
      <c r="AB125" s="255">
        <v>0.05</v>
      </c>
      <c r="AC125" s="255">
        <v>0.05</v>
      </c>
      <c r="AD125" s="256"/>
      <c r="AE125" s="256">
        <v>0.05</v>
      </c>
      <c r="AF125" s="256">
        <v>0.05</v>
      </c>
      <c r="AG125" s="256">
        <v>0.05</v>
      </c>
      <c r="AH125" s="9"/>
      <c r="AI125" s="9"/>
      <c r="AJ125" s="9"/>
    </row>
    <row r="126" spans="1:36" ht="12.75" hidden="1" customHeight="1" outlineLevel="2" x14ac:dyDescent="0.25">
      <c r="A126" s="9"/>
      <c r="B126" s="9"/>
      <c r="C126" s="103" t="s">
        <v>248</v>
      </c>
      <c r="D126" s="9"/>
      <c r="E126" s="132"/>
      <c r="F126" s="254"/>
      <c r="G126" s="254"/>
      <c r="H126" s="254"/>
      <c r="I126" s="254"/>
      <c r="J126" s="132"/>
      <c r="K126" s="254"/>
      <c r="L126" s="254"/>
      <c r="M126" s="254"/>
      <c r="N126" s="254"/>
      <c r="O126" s="132"/>
      <c r="P126" s="254"/>
      <c r="Q126" s="254"/>
      <c r="R126" s="254"/>
      <c r="S126" s="254"/>
      <c r="T126" s="132"/>
      <c r="U126" s="254"/>
      <c r="V126" s="255">
        <v>0</v>
      </c>
      <c r="W126" s="255">
        <v>0</v>
      </c>
      <c r="X126" s="255">
        <v>0</v>
      </c>
      <c r="Y126" s="256"/>
      <c r="Z126" s="255">
        <v>0</v>
      </c>
      <c r="AA126" s="255">
        <v>0</v>
      </c>
      <c r="AB126" s="255">
        <v>0</v>
      </c>
      <c r="AC126" s="255">
        <v>0</v>
      </c>
      <c r="AD126" s="256"/>
      <c r="AE126" s="256">
        <v>0</v>
      </c>
      <c r="AF126" s="256">
        <v>0</v>
      </c>
      <c r="AG126" s="256">
        <v>0</v>
      </c>
      <c r="AH126" s="9"/>
      <c r="AI126" s="9"/>
      <c r="AJ126" s="9"/>
    </row>
    <row r="127" spans="1:36" ht="12.75" hidden="1" customHeight="1" outlineLevel="2" x14ac:dyDescent="0.25">
      <c r="A127" s="9"/>
      <c r="B127" s="9"/>
      <c r="C127" s="103" t="s">
        <v>161</v>
      </c>
      <c r="D127" s="9"/>
      <c r="E127" s="132"/>
      <c r="F127" s="252" t="str">
        <f t="shared" ref="F127:T127" si="198">IFERROR(F121/F122,"--")</f>
        <v>--</v>
      </c>
      <c r="G127" s="252" t="str">
        <f t="shared" si="198"/>
        <v>--</v>
      </c>
      <c r="H127" s="252" t="str">
        <f t="shared" si="198"/>
        <v>--</v>
      </c>
      <c r="I127" s="252" t="str">
        <f t="shared" si="198"/>
        <v>--</v>
      </c>
      <c r="J127" s="227" t="str">
        <f t="shared" si="198"/>
        <v>--</v>
      </c>
      <c r="K127" s="252" t="str">
        <f t="shared" si="198"/>
        <v>--</v>
      </c>
      <c r="L127" s="252" t="str">
        <f t="shared" si="198"/>
        <v>--</v>
      </c>
      <c r="M127" s="252" t="str">
        <f t="shared" si="198"/>
        <v>--</v>
      </c>
      <c r="N127" s="252" t="str">
        <f t="shared" si="198"/>
        <v>--</v>
      </c>
      <c r="O127" s="227" t="str">
        <f t="shared" si="198"/>
        <v>--</v>
      </c>
      <c r="P127" s="252" t="str">
        <f t="shared" si="198"/>
        <v>--</v>
      </c>
      <c r="Q127" s="252" t="str">
        <f t="shared" si="198"/>
        <v>--</v>
      </c>
      <c r="R127" s="252" t="str">
        <f t="shared" si="198"/>
        <v>--</v>
      </c>
      <c r="S127" s="252" t="str">
        <f t="shared" si="198"/>
        <v>--</v>
      </c>
      <c r="T127" s="227" t="str">
        <f t="shared" si="198"/>
        <v>--</v>
      </c>
      <c r="U127" s="252" t="str">
        <f t="shared" ref="U127" si="199">IFERROR(U121/U122,"--")</f>
        <v>--</v>
      </c>
      <c r="V127" s="226" t="e">
        <f t="shared" ref="V127" si="200">U127*(1+V128)</f>
        <v>#VALUE!</v>
      </c>
      <c r="W127" s="226" t="e">
        <f t="shared" ref="W127" si="201">V127*(1+W128)</f>
        <v>#VALUE!</v>
      </c>
      <c r="X127" s="226" t="e">
        <f t="shared" ref="X127" si="202">W127*(1+X128)</f>
        <v>#VALUE!</v>
      </c>
      <c r="Y127" s="227" t="e">
        <f>Y121/Y122</f>
        <v>#REF!</v>
      </c>
      <c r="Z127" s="226" t="e">
        <f>X127*(1+Z128)</f>
        <v>#VALUE!</v>
      </c>
      <c r="AA127" s="226" t="e">
        <f t="shared" ref="AA127:AC127" si="203">Z127*(1+AA128)</f>
        <v>#VALUE!</v>
      </c>
      <c r="AB127" s="226" t="e">
        <f t="shared" si="203"/>
        <v>#VALUE!</v>
      </c>
      <c r="AC127" s="226" t="e">
        <f t="shared" si="203"/>
        <v>#VALUE!</v>
      </c>
      <c r="AD127" s="227" t="e">
        <f>AD121/AD122</f>
        <v>#VALUE!</v>
      </c>
      <c r="AE127" s="227" t="e">
        <f t="shared" ref="AE127:AG127" si="204">AD127*(1+AE128)</f>
        <v>#VALUE!</v>
      </c>
      <c r="AF127" s="227" t="e">
        <f t="shared" si="204"/>
        <v>#VALUE!</v>
      </c>
      <c r="AG127" s="227" t="e">
        <f t="shared" si="204"/>
        <v>#VALUE!</v>
      </c>
      <c r="AH127" s="9"/>
      <c r="AI127" s="9"/>
      <c r="AJ127" s="9"/>
    </row>
    <row r="128" spans="1:36" ht="12.75" hidden="1" customHeight="1" outlineLevel="2" x14ac:dyDescent="0.25">
      <c r="A128" s="9"/>
      <c r="B128" s="9"/>
      <c r="C128" s="84" t="s">
        <v>251</v>
      </c>
      <c r="D128" s="9"/>
      <c r="E128" s="132"/>
      <c r="F128" s="254"/>
      <c r="G128" s="253" t="str">
        <f t="shared" ref="G128:I128" si="205">IFERROR(G127/F127-1,"--")</f>
        <v>--</v>
      </c>
      <c r="H128" s="253" t="str">
        <f t="shared" si="205"/>
        <v>--</v>
      </c>
      <c r="I128" s="253" t="str">
        <f t="shared" si="205"/>
        <v>--</v>
      </c>
      <c r="J128" s="132"/>
      <c r="K128" s="253" t="str">
        <f>IFERROR(K127/I127-1,"--")</f>
        <v>--</v>
      </c>
      <c r="L128" s="253" t="str">
        <f t="shared" ref="L128:N128" si="206">IFERROR(L127/K127-1,"--")</f>
        <v>--</v>
      </c>
      <c r="M128" s="253" t="str">
        <f t="shared" si="206"/>
        <v>--</v>
      </c>
      <c r="N128" s="253" t="str">
        <f t="shared" si="206"/>
        <v>--</v>
      </c>
      <c r="O128" s="245" t="str">
        <f>IFERROR(O127/J127-1,"--")</f>
        <v>--</v>
      </c>
      <c r="P128" s="253" t="str">
        <f>IFERROR(P127/N127-1,"--")</f>
        <v>--</v>
      </c>
      <c r="Q128" s="253" t="str">
        <f t="shared" ref="Q128:S128" si="207">IFERROR(Q127/P127-1,"--")</f>
        <v>--</v>
      </c>
      <c r="R128" s="253" t="str">
        <f t="shared" si="207"/>
        <v>--</v>
      </c>
      <c r="S128" s="253" t="str">
        <f t="shared" si="207"/>
        <v>--</v>
      </c>
      <c r="T128" s="245" t="str">
        <f>IFERROR(T127/O127-1,"--")</f>
        <v>--</v>
      </c>
      <c r="U128" s="253" t="str">
        <f>IFERROR(U127/S127-1,"--")</f>
        <v>--</v>
      </c>
      <c r="V128" s="244">
        <f>IF(Case_Scenario="Bull",V129,IF(Case_Scenario="Base",V130,IF(Case_Scenario="bear",V131,"N/A")))</f>
        <v>0.05</v>
      </c>
      <c r="W128" s="244">
        <f>IF(Case_Scenario="Bull",W129,IF(Case_Scenario="Base",W130,IF(Case_Scenario="bear",W131,"N/A")))</f>
        <v>0.05</v>
      </c>
      <c r="X128" s="244">
        <f>IF(Case_Scenario="Bull",X129,IF(Case_Scenario="Base",X130,IF(Case_Scenario="bear",X131,"N/A")))</f>
        <v>0.05</v>
      </c>
      <c r="Y128" s="245"/>
      <c r="Z128" s="244">
        <f>IF(Case_Scenario="Bull",Z129,IF(Case_Scenario="Base",Z130,IF(Case_Scenario="bear",Z131,"N/A")))</f>
        <v>0.05</v>
      </c>
      <c r="AA128" s="244">
        <f>IF(Case_Scenario="Bull",AA129,IF(Case_Scenario="Base",AA130,IF(Case_Scenario="bear",AA131,"N/A")))</f>
        <v>0.05</v>
      </c>
      <c r="AB128" s="244">
        <f>IF(Case_Scenario="Bull",AB129,IF(Case_Scenario="Base",AB130,IF(Case_Scenario="bear",AB131,"N/A")))</f>
        <v>0.05</v>
      </c>
      <c r="AC128" s="244">
        <f>IF(Case_Scenario="Bull",AC129,IF(Case_Scenario="Base",AC130,IF(Case_Scenario="bear",AC131,"N/A")))</f>
        <v>0.05</v>
      </c>
      <c r="AD128" s="245"/>
      <c r="AE128" s="245">
        <f>IF(Case_Scenario="Bull",AE129,IF(Case_Scenario="Base",AE130,IF(Case_Scenario="bear",AE131,"N/A")))</f>
        <v>0.05</v>
      </c>
      <c r="AF128" s="245">
        <f>IF(Case_Scenario="Bull",AF129,IF(Case_Scenario="Base",AF130,IF(Case_Scenario="bear",AF131,"N/A")))</f>
        <v>0.05</v>
      </c>
      <c r="AG128" s="245">
        <f>IF(Case_Scenario="Bull",AG129,IF(Case_Scenario="Base",AG130,IF(Case_Scenario="bear",AG131,"N/A")))</f>
        <v>0.05</v>
      </c>
      <c r="AH128" s="9"/>
      <c r="AI128" s="9"/>
      <c r="AJ128" s="9"/>
    </row>
    <row r="129" spans="1:36" ht="12.75" hidden="1" customHeight="1" outlineLevel="2" x14ac:dyDescent="0.25">
      <c r="A129" s="9"/>
      <c r="B129" s="9"/>
      <c r="C129" s="103" t="s">
        <v>246</v>
      </c>
      <c r="D129" s="9"/>
      <c r="E129" s="132"/>
      <c r="F129" s="254"/>
      <c r="G129" s="254"/>
      <c r="H129" s="254"/>
      <c r="I129" s="254"/>
      <c r="J129" s="132"/>
      <c r="K129" s="254"/>
      <c r="L129" s="254"/>
      <c r="M129" s="254"/>
      <c r="N129" s="254"/>
      <c r="O129" s="132"/>
      <c r="P129" s="254"/>
      <c r="Q129" s="254"/>
      <c r="R129" s="254"/>
      <c r="S129" s="254"/>
      <c r="T129" s="132"/>
      <c r="U129" s="254"/>
      <c r="V129" s="255">
        <v>0.1</v>
      </c>
      <c r="W129" s="255">
        <v>0.1</v>
      </c>
      <c r="X129" s="255">
        <v>0.1</v>
      </c>
      <c r="Y129" s="256"/>
      <c r="Z129" s="255">
        <v>0.1</v>
      </c>
      <c r="AA129" s="255">
        <v>0.1</v>
      </c>
      <c r="AB129" s="255">
        <v>0.1</v>
      </c>
      <c r="AC129" s="255">
        <v>0.1</v>
      </c>
      <c r="AD129" s="256"/>
      <c r="AE129" s="256">
        <v>0.1</v>
      </c>
      <c r="AF129" s="256">
        <v>0.1</v>
      </c>
      <c r="AG129" s="256">
        <v>0.1</v>
      </c>
      <c r="AH129" s="9"/>
      <c r="AI129" s="9"/>
      <c r="AJ129" s="9"/>
    </row>
    <row r="130" spans="1:36" ht="12.75" hidden="1" customHeight="1" outlineLevel="2" x14ac:dyDescent="0.25">
      <c r="A130" s="9"/>
      <c r="B130" s="9"/>
      <c r="C130" s="103" t="s">
        <v>247</v>
      </c>
      <c r="D130" s="9"/>
      <c r="E130" s="132"/>
      <c r="F130" s="254"/>
      <c r="G130" s="254"/>
      <c r="H130" s="254"/>
      <c r="I130" s="254"/>
      <c r="J130" s="132"/>
      <c r="K130" s="254"/>
      <c r="L130" s="254"/>
      <c r="M130" s="254"/>
      <c r="N130" s="254"/>
      <c r="O130" s="132"/>
      <c r="P130" s="254"/>
      <c r="Q130" s="254"/>
      <c r="R130" s="254"/>
      <c r="S130" s="254"/>
      <c r="T130" s="132"/>
      <c r="U130" s="254"/>
      <c r="V130" s="255">
        <v>0.05</v>
      </c>
      <c r="W130" s="255">
        <v>0.05</v>
      </c>
      <c r="X130" s="255">
        <v>0.05</v>
      </c>
      <c r="Y130" s="256"/>
      <c r="Z130" s="255">
        <v>0.05</v>
      </c>
      <c r="AA130" s="255">
        <v>0.05</v>
      </c>
      <c r="AB130" s="255">
        <v>0.05</v>
      </c>
      <c r="AC130" s="255">
        <v>0.05</v>
      </c>
      <c r="AD130" s="256"/>
      <c r="AE130" s="256">
        <v>0.05</v>
      </c>
      <c r="AF130" s="256">
        <v>0.05</v>
      </c>
      <c r="AG130" s="256">
        <v>0.05</v>
      </c>
      <c r="AH130" s="9"/>
      <c r="AI130" s="9"/>
      <c r="AJ130" s="9"/>
    </row>
    <row r="131" spans="1:36" ht="12.75" hidden="1" customHeight="1" outlineLevel="2" x14ac:dyDescent="0.25">
      <c r="A131" s="9"/>
      <c r="B131" s="9"/>
      <c r="C131" s="103" t="s">
        <v>248</v>
      </c>
      <c r="D131" s="9"/>
      <c r="E131" s="132"/>
      <c r="F131" s="254"/>
      <c r="G131" s="254"/>
      <c r="H131" s="254"/>
      <c r="I131" s="254"/>
      <c r="J131" s="132"/>
      <c r="K131" s="254"/>
      <c r="L131" s="254"/>
      <c r="M131" s="254"/>
      <c r="N131" s="254"/>
      <c r="O131" s="132"/>
      <c r="P131" s="254"/>
      <c r="Q131" s="254"/>
      <c r="R131" s="254"/>
      <c r="S131" s="254"/>
      <c r="T131" s="132"/>
      <c r="U131" s="254"/>
      <c r="V131" s="255">
        <v>0</v>
      </c>
      <c r="W131" s="255">
        <v>0</v>
      </c>
      <c r="X131" s="255">
        <v>0</v>
      </c>
      <c r="Y131" s="256"/>
      <c r="Z131" s="255">
        <v>0</v>
      </c>
      <c r="AA131" s="255">
        <v>0</v>
      </c>
      <c r="AB131" s="255">
        <v>0</v>
      </c>
      <c r="AC131" s="255">
        <v>0</v>
      </c>
      <c r="AD131" s="256"/>
      <c r="AE131" s="256">
        <v>0</v>
      </c>
      <c r="AF131" s="256">
        <v>0</v>
      </c>
      <c r="AG131" s="256">
        <v>0</v>
      </c>
      <c r="AH131" s="9"/>
      <c r="AI131" s="9"/>
      <c r="AJ131" s="9"/>
    </row>
    <row r="132" spans="1:36" ht="12.75" hidden="1" customHeight="1" outlineLevel="2" x14ac:dyDescent="0.25">
      <c r="A132" s="9"/>
      <c r="B132" s="9"/>
      <c r="C132" s="9"/>
      <c r="D132" s="9"/>
      <c r="E132" s="132"/>
      <c r="F132" s="254"/>
      <c r="G132" s="254"/>
      <c r="H132" s="254"/>
      <c r="I132" s="254"/>
      <c r="J132" s="132"/>
      <c r="K132" s="254"/>
      <c r="L132" s="254"/>
      <c r="M132" s="254"/>
      <c r="N132" s="254"/>
      <c r="O132" s="132"/>
      <c r="P132" s="254"/>
      <c r="Q132" s="254"/>
      <c r="R132" s="254"/>
      <c r="S132" s="254"/>
      <c r="T132" s="132"/>
      <c r="U132" s="254"/>
      <c r="V132" s="257"/>
      <c r="W132" s="257"/>
      <c r="X132" s="257"/>
      <c r="Y132" s="132"/>
      <c r="Z132" s="257"/>
      <c r="AA132" s="257"/>
      <c r="AB132" s="257"/>
      <c r="AC132" s="257"/>
      <c r="AD132" s="132"/>
      <c r="AE132" s="132"/>
      <c r="AF132" s="132"/>
      <c r="AG132" s="132"/>
      <c r="AH132" s="9"/>
      <c r="AI132" s="9"/>
      <c r="AJ132" s="9"/>
    </row>
    <row r="133" spans="1:36" ht="12.75" hidden="1" customHeight="1" outlineLevel="2" x14ac:dyDescent="0.25">
      <c r="A133" s="205" t="s">
        <v>0</v>
      </c>
      <c r="B133" s="9"/>
      <c r="C133" s="103" t="e">
        <f>#REF!</f>
        <v>#REF!</v>
      </c>
      <c r="D133" s="9"/>
      <c r="E133" s="132"/>
      <c r="F133" s="252" t="e">
        <f>#REF!</f>
        <v>#REF!</v>
      </c>
      <c r="G133" s="252" t="e">
        <f>#REF!</f>
        <v>#REF!</v>
      </c>
      <c r="H133" s="252" t="e">
        <f>#REF!</f>
        <v>#REF!</v>
      </c>
      <c r="I133" s="252" t="e">
        <f>#REF!</f>
        <v>#REF!</v>
      </c>
      <c r="J133" s="227" t="e">
        <f>#REF!</f>
        <v>#REF!</v>
      </c>
      <c r="K133" s="252" t="e">
        <f>#REF!</f>
        <v>#REF!</v>
      </c>
      <c r="L133" s="252" t="e">
        <f>#REF!</f>
        <v>#REF!</v>
      </c>
      <c r="M133" s="252" t="e">
        <f>#REF!</f>
        <v>#REF!</v>
      </c>
      <c r="N133" s="252" t="e">
        <f>#REF!</f>
        <v>#REF!</v>
      </c>
      <c r="O133" s="227" t="e">
        <f>#REF!</f>
        <v>#REF!</v>
      </c>
      <c r="P133" s="252" t="e">
        <f>#REF!</f>
        <v>#REF!</v>
      </c>
      <c r="Q133" s="252" t="e">
        <f>#REF!</f>
        <v>#REF!</v>
      </c>
      <c r="R133" s="252" t="e">
        <f>#REF!</f>
        <v>#REF!</v>
      </c>
      <c r="S133" s="252" t="e">
        <f>#REF!</f>
        <v>#REF!</v>
      </c>
      <c r="T133" s="227" t="e">
        <f>#REF!</f>
        <v>#REF!</v>
      </c>
      <c r="U133" s="252" t="e">
        <f>#REF!</f>
        <v>#REF!</v>
      </c>
      <c r="V133" s="226">
        <f t="shared" ref="V133:X133" si="208">V134*V139</f>
        <v>0</v>
      </c>
      <c r="W133" s="226">
        <f t="shared" si="208"/>
        <v>0</v>
      </c>
      <c r="X133" s="226">
        <f t="shared" si="208"/>
        <v>0</v>
      </c>
      <c r="Y133" s="227" t="e">
        <f t="shared" ref="Y133:Y134" si="209">SUM(U133:X133)</f>
        <v>#REF!</v>
      </c>
      <c r="Z133" s="226">
        <f t="shared" ref="Z133:AC133" si="210">Z134*Z139</f>
        <v>0</v>
      </c>
      <c r="AA133" s="226">
        <f t="shared" si="210"/>
        <v>0</v>
      </c>
      <c r="AB133" s="226">
        <f t="shared" si="210"/>
        <v>0</v>
      </c>
      <c r="AC133" s="226">
        <f t="shared" si="210"/>
        <v>0</v>
      </c>
      <c r="AD133" s="227">
        <f t="shared" ref="AD133:AD134" si="211">SUM(Z133:AC133)</f>
        <v>0</v>
      </c>
      <c r="AE133" s="227">
        <f t="shared" ref="AE133:AG133" si="212">AE134*AE139</f>
        <v>0</v>
      </c>
      <c r="AF133" s="227">
        <f t="shared" si="212"/>
        <v>0</v>
      </c>
      <c r="AG133" s="227">
        <f t="shared" si="212"/>
        <v>0</v>
      </c>
      <c r="AH133" s="9"/>
      <c r="AI133" s="9"/>
      <c r="AJ133" s="9"/>
    </row>
    <row r="134" spans="1:36" ht="12.75" hidden="1" customHeight="1" outlineLevel="2" x14ac:dyDescent="0.25">
      <c r="A134" s="9"/>
      <c r="B134" s="9"/>
      <c r="C134" s="103" t="s">
        <v>249</v>
      </c>
      <c r="D134" s="9"/>
      <c r="E134" s="132"/>
      <c r="F134" s="260">
        <v>0</v>
      </c>
      <c r="G134" s="260">
        <v>0</v>
      </c>
      <c r="H134" s="260">
        <v>0</v>
      </c>
      <c r="I134" s="260">
        <v>0</v>
      </c>
      <c r="J134" s="261">
        <v>0</v>
      </c>
      <c r="K134" s="260">
        <v>0</v>
      </c>
      <c r="L134" s="260">
        <v>0</v>
      </c>
      <c r="M134" s="260">
        <v>0</v>
      </c>
      <c r="N134" s="260">
        <v>0</v>
      </c>
      <c r="O134" s="261">
        <v>0</v>
      </c>
      <c r="P134" s="260">
        <v>0</v>
      </c>
      <c r="Q134" s="260">
        <v>0</v>
      </c>
      <c r="R134" s="260">
        <v>0</v>
      </c>
      <c r="S134" s="260">
        <v>0</v>
      </c>
      <c r="T134" s="261">
        <v>0</v>
      </c>
      <c r="U134" s="260">
        <v>0</v>
      </c>
      <c r="V134" s="262">
        <f t="shared" ref="V134" si="213">U134*(1+V135)</f>
        <v>0</v>
      </c>
      <c r="W134" s="262">
        <f t="shared" ref="W134" si="214">V134*(1+W135)</f>
        <v>0</v>
      </c>
      <c r="X134" s="262">
        <f t="shared" ref="X134" si="215">W134*(1+X135)</f>
        <v>0</v>
      </c>
      <c r="Y134" s="261">
        <f t="shared" si="209"/>
        <v>0</v>
      </c>
      <c r="Z134" s="262">
        <f>X134*(1+Z135)</f>
        <v>0</v>
      </c>
      <c r="AA134" s="262">
        <f t="shared" ref="AA134:AC134" si="216">Z134*(1+AA135)</f>
        <v>0</v>
      </c>
      <c r="AB134" s="262">
        <f t="shared" si="216"/>
        <v>0</v>
      </c>
      <c r="AC134" s="262">
        <f t="shared" si="216"/>
        <v>0</v>
      </c>
      <c r="AD134" s="261">
        <f t="shared" si="211"/>
        <v>0</v>
      </c>
      <c r="AE134" s="261">
        <f t="shared" ref="AE134:AG134" si="217">AD134*(1+AE135)</f>
        <v>0</v>
      </c>
      <c r="AF134" s="261">
        <f t="shared" si="217"/>
        <v>0</v>
      </c>
      <c r="AG134" s="261">
        <f t="shared" si="217"/>
        <v>0</v>
      </c>
      <c r="AH134" s="9"/>
      <c r="AI134" s="9"/>
      <c r="AJ134" s="9"/>
    </row>
    <row r="135" spans="1:36" ht="12.75" hidden="1" customHeight="1" outlineLevel="2" x14ac:dyDescent="0.25">
      <c r="A135" s="9"/>
      <c r="B135" s="9"/>
      <c r="C135" s="84" t="s">
        <v>250</v>
      </c>
      <c r="D135" s="9"/>
      <c r="E135" s="132"/>
      <c r="F135" s="254"/>
      <c r="G135" s="253" t="str">
        <f t="shared" ref="G135:I135" si="218">IFERROR(G134/F134-1,"--")</f>
        <v>--</v>
      </c>
      <c r="H135" s="253" t="str">
        <f t="shared" si="218"/>
        <v>--</v>
      </c>
      <c r="I135" s="253" t="str">
        <f t="shared" si="218"/>
        <v>--</v>
      </c>
      <c r="J135" s="132"/>
      <c r="K135" s="253" t="str">
        <f>IFERROR(K134/I134-1,"--")</f>
        <v>--</v>
      </c>
      <c r="L135" s="253" t="str">
        <f t="shared" ref="L135:N135" si="219">IFERROR(L134/K134-1,"--")</f>
        <v>--</v>
      </c>
      <c r="M135" s="253" t="str">
        <f t="shared" si="219"/>
        <v>--</v>
      </c>
      <c r="N135" s="253" t="str">
        <f t="shared" si="219"/>
        <v>--</v>
      </c>
      <c r="O135" s="245" t="str">
        <f>IFERROR(O134/J134-1,"--")</f>
        <v>--</v>
      </c>
      <c r="P135" s="253" t="str">
        <f>IFERROR(P134/N134-1,"--")</f>
        <v>--</v>
      </c>
      <c r="Q135" s="253" t="str">
        <f t="shared" ref="Q135:S135" si="220">IFERROR(Q134/P134-1,"--")</f>
        <v>--</v>
      </c>
      <c r="R135" s="253" t="str">
        <f t="shared" si="220"/>
        <v>--</v>
      </c>
      <c r="S135" s="253" t="str">
        <f t="shared" si="220"/>
        <v>--</v>
      </c>
      <c r="T135" s="245" t="str">
        <f>IFERROR(T134/O134-1,"--")</f>
        <v>--</v>
      </c>
      <c r="U135" s="253" t="str">
        <f>IFERROR(U134/S134-1,"--")</f>
        <v>--</v>
      </c>
      <c r="V135" s="244">
        <f>IF(Case_Scenario="Bull",V136,IF(Case_Scenario="Base",V137,IF(Case_Scenario="bear",V138,"N/A")))</f>
        <v>0.05</v>
      </c>
      <c r="W135" s="244">
        <f>IF(Case_Scenario="Bull",W136,IF(Case_Scenario="Base",W137,IF(Case_Scenario="bear",W138,"N/A")))</f>
        <v>0.05</v>
      </c>
      <c r="X135" s="244">
        <f>IF(Case_Scenario="Bull",X136,IF(Case_Scenario="Base",X137,IF(Case_Scenario="bear",X138,"N/A")))</f>
        <v>0.05</v>
      </c>
      <c r="Y135" s="245"/>
      <c r="Z135" s="244">
        <f>IF(Case_Scenario="Bull",Z136,IF(Case_Scenario="Base",Z137,IF(Case_Scenario="bear",Z138,"N/A")))</f>
        <v>0.05</v>
      </c>
      <c r="AA135" s="244">
        <f>IF(Case_Scenario="Bull",AA136,IF(Case_Scenario="Base",AA137,IF(Case_Scenario="bear",AA138,"N/A")))</f>
        <v>0.05</v>
      </c>
      <c r="AB135" s="244">
        <f>IF(Case_Scenario="Bull",AB136,IF(Case_Scenario="Base",AB137,IF(Case_Scenario="bear",AB138,"N/A")))</f>
        <v>0.05</v>
      </c>
      <c r="AC135" s="244">
        <f>IF(Case_Scenario="Bull",AC136,IF(Case_Scenario="Base",AC137,IF(Case_Scenario="bear",AC138,"N/A")))</f>
        <v>0.05</v>
      </c>
      <c r="AD135" s="245"/>
      <c r="AE135" s="245">
        <f>IF(Case_Scenario="Bull",AE136,IF(Case_Scenario="Base",AE137,IF(Case_Scenario="bear",AE138,"N/A")))</f>
        <v>0.05</v>
      </c>
      <c r="AF135" s="245">
        <f>IF(Case_Scenario="Bull",AF136,IF(Case_Scenario="Base",AF137,IF(Case_Scenario="bear",AF138,"N/A")))</f>
        <v>0.05</v>
      </c>
      <c r="AG135" s="245">
        <f>IF(Case_Scenario="Bull",AG136,IF(Case_Scenario="Base",AG137,IF(Case_Scenario="bear",AG138,"N/A")))</f>
        <v>0.05</v>
      </c>
      <c r="AH135" s="9"/>
      <c r="AI135" s="9"/>
      <c r="AJ135" s="9"/>
    </row>
    <row r="136" spans="1:36" ht="12.75" hidden="1" customHeight="1" outlineLevel="2" x14ac:dyDescent="0.25">
      <c r="A136" s="9"/>
      <c r="B136" s="9"/>
      <c r="C136" s="103" t="s">
        <v>246</v>
      </c>
      <c r="D136" s="9"/>
      <c r="E136" s="132"/>
      <c r="F136" s="254"/>
      <c r="G136" s="254"/>
      <c r="H136" s="254"/>
      <c r="I136" s="254"/>
      <c r="J136" s="132"/>
      <c r="K136" s="254"/>
      <c r="L136" s="254"/>
      <c r="M136" s="254"/>
      <c r="N136" s="254"/>
      <c r="O136" s="132"/>
      <c r="P136" s="254"/>
      <c r="Q136" s="254"/>
      <c r="R136" s="254"/>
      <c r="S136" s="254"/>
      <c r="T136" s="132"/>
      <c r="U136" s="254"/>
      <c r="V136" s="255">
        <v>0.1</v>
      </c>
      <c r="W136" s="255">
        <v>0.1</v>
      </c>
      <c r="X136" s="255">
        <v>0.1</v>
      </c>
      <c r="Y136" s="256"/>
      <c r="Z136" s="255">
        <v>0.1</v>
      </c>
      <c r="AA136" s="255">
        <v>0.1</v>
      </c>
      <c r="AB136" s="255">
        <v>0.1</v>
      </c>
      <c r="AC136" s="255">
        <v>0.1</v>
      </c>
      <c r="AD136" s="256"/>
      <c r="AE136" s="256">
        <v>0.1</v>
      </c>
      <c r="AF136" s="256">
        <v>0.1</v>
      </c>
      <c r="AG136" s="256">
        <v>0.1</v>
      </c>
      <c r="AH136" s="9"/>
      <c r="AI136" s="9"/>
      <c r="AJ136" s="9"/>
    </row>
    <row r="137" spans="1:36" ht="12.75" hidden="1" customHeight="1" outlineLevel="2" x14ac:dyDescent="0.25">
      <c r="A137" s="9"/>
      <c r="B137" s="9"/>
      <c r="C137" s="103" t="s">
        <v>247</v>
      </c>
      <c r="D137" s="9"/>
      <c r="E137" s="132"/>
      <c r="F137" s="254"/>
      <c r="G137" s="254"/>
      <c r="H137" s="254"/>
      <c r="I137" s="254"/>
      <c r="J137" s="132"/>
      <c r="K137" s="254"/>
      <c r="L137" s="254"/>
      <c r="M137" s="254"/>
      <c r="N137" s="254"/>
      <c r="O137" s="132"/>
      <c r="P137" s="254"/>
      <c r="Q137" s="254"/>
      <c r="R137" s="254"/>
      <c r="S137" s="254"/>
      <c r="T137" s="132"/>
      <c r="U137" s="254"/>
      <c r="V137" s="255">
        <v>0.05</v>
      </c>
      <c r="W137" s="255">
        <v>0.05</v>
      </c>
      <c r="X137" s="255">
        <v>0.05</v>
      </c>
      <c r="Y137" s="256"/>
      <c r="Z137" s="255">
        <v>0.05</v>
      </c>
      <c r="AA137" s="255">
        <v>0.05</v>
      </c>
      <c r="AB137" s="255">
        <v>0.05</v>
      </c>
      <c r="AC137" s="255">
        <v>0.05</v>
      </c>
      <c r="AD137" s="256"/>
      <c r="AE137" s="256">
        <v>0.05</v>
      </c>
      <c r="AF137" s="256">
        <v>0.05</v>
      </c>
      <c r="AG137" s="256">
        <v>0.05</v>
      </c>
      <c r="AH137" s="9"/>
      <c r="AI137" s="9"/>
      <c r="AJ137" s="9"/>
    </row>
    <row r="138" spans="1:36" ht="12.75" hidden="1" customHeight="1" outlineLevel="2" x14ac:dyDescent="0.25">
      <c r="A138" s="9"/>
      <c r="B138" s="9"/>
      <c r="C138" s="103" t="s">
        <v>248</v>
      </c>
      <c r="D138" s="9"/>
      <c r="E138" s="132"/>
      <c r="F138" s="254"/>
      <c r="G138" s="254"/>
      <c r="H138" s="254"/>
      <c r="I138" s="254"/>
      <c r="J138" s="132"/>
      <c r="K138" s="254"/>
      <c r="L138" s="254"/>
      <c r="M138" s="254"/>
      <c r="N138" s="254"/>
      <c r="O138" s="132"/>
      <c r="P138" s="254"/>
      <c r="Q138" s="254"/>
      <c r="R138" s="254"/>
      <c r="S138" s="254"/>
      <c r="T138" s="132"/>
      <c r="U138" s="254"/>
      <c r="V138" s="255">
        <v>0</v>
      </c>
      <c r="W138" s="255">
        <v>0</v>
      </c>
      <c r="X138" s="255">
        <v>0</v>
      </c>
      <c r="Y138" s="256"/>
      <c r="Z138" s="255">
        <v>0</v>
      </c>
      <c r="AA138" s="255">
        <v>0</v>
      </c>
      <c r="AB138" s="255">
        <v>0</v>
      </c>
      <c r="AC138" s="255">
        <v>0</v>
      </c>
      <c r="AD138" s="256"/>
      <c r="AE138" s="256">
        <v>0</v>
      </c>
      <c r="AF138" s="256">
        <v>0</v>
      </c>
      <c r="AG138" s="256">
        <v>0</v>
      </c>
      <c r="AH138" s="9"/>
      <c r="AI138" s="9"/>
      <c r="AJ138" s="9"/>
    </row>
    <row r="139" spans="1:36" ht="12.75" hidden="1" customHeight="1" outlineLevel="2" x14ac:dyDescent="0.25">
      <c r="A139" s="9"/>
      <c r="B139" s="9"/>
      <c r="C139" s="103" t="s">
        <v>161</v>
      </c>
      <c r="D139" s="9"/>
      <c r="E139" s="132"/>
      <c r="F139" s="252">
        <v>0</v>
      </c>
      <c r="G139" s="252">
        <v>0</v>
      </c>
      <c r="H139" s="252">
        <v>0</v>
      </c>
      <c r="I139" s="252">
        <v>0</v>
      </c>
      <c r="J139" s="227">
        <v>0</v>
      </c>
      <c r="K139" s="252">
        <v>0</v>
      </c>
      <c r="L139" s="252">
        <v>0</v>
      </c>
      <c r="M139" s="252">
        <v>0</v>
      </c>
      <c r="N139" s="252">
        <v>0</v>
      </c>
      <c r="O139" s="227">
        <v>0</v>
      </c>
      <c r="P139" s="252">
        <v>0</v>
      </c>
      <c r="Q139" s="252">
        <v>0</v>
      </c>
      <c r="R139" s="252">
        <v>0</v>
      </c>
      <c r="S139" s="252">
        <v>0</v>
      </c>
      <c r="T139" s="227">
        <v>0</v>
      </c>
      <c r="U139" s="252">
        <v>0</v>
      </c>
      <c r="V139" s="226">
        <f t="shared" ref="V139" si="221">U139*(1+V140)</f>
        <v>0</v>
      </c>
      <c r="W139" s="226">
        <f t="shared" ref="W139" si="222">V139*(1+W140)</f>
        <v>0</v>
      </c>
      <c r="X139" s="226">
        <f t="shared" ref="X139" si="223">W139*(1+X140)</f>
        <v>0</v>
      </c>
      <c r="Y139" s="227">
        <v>0</v>
      </c>
      <c r="Z139" s="226">
        <f>X139*(1+Z140)</f>
        <v>0</v>
      </c>
      <c r="AA139" s="226">
        <f t="shared" ref="AA139:AC139" si="224">Z139*(1+AA140)</f>
        <v>0</v>
      </c>
      <c r="AB139" s="226">
        <f t="shared" si="224"/>
        <v>0</v>
      </c>
      <c r="AC139" s="226">
        <f t="shared" si="224"/>
        <v>0</v>
      </c>
      <c r="AD139" s="227">
        <v>0</v>
      </c>
      <c r="AE139" s="227">
        <f t="shared" ref="AE139:AG139" si="225">AD139*(1+AE140)</f>
        <v>0</v>
      </c>
      <c r="AF139" s="227">
        <f t="shared" si="225"/>
        <v>0</v>
      </c>
      <c r="AG139" s="227">
        <f t="shared" si="225"/>
        <v>0</v>
      </c>
      <c r="AH139" s="9"/>
      <c r="AI139" s="9"/>
      <c r="AJ139" s="9"/>
    </row>
    <row r="140" spans="1:36" ht="12.75" hidden="1" customHeight="1" outlineLevel="2" x14ac:dyDescent="0.25">
      <c r="A140" s="9"/>
      <c r="B140" s="9"/>
      <c r="C140" s="84" t="s">
        <v>251</v>
      </c>
      <c r="D140" s="9"/>
      <c r="E140" s="132"/>
      <c r="F140" s="254"/>
      <c r="G140" s="253" t="str">
        <f t="shared" ref="G140:I140" si="226">IFERROR(G139/F139-1,"--")</f>
        <v>--</v>
      </c>
      <c r="H140" s="253" t="str">
        <f t="shared" si="226"/>
        <v>--</v>
      </c>
      <c r="I140" s="253" t="str">
        <f t="shared" si="226"/>
        <v>--</v>
      </c>
      <c r="J140" s="132"/>
      <c r="K140" s="253" t="str">
        <f>IFERROR(K139/I139-1,"--")</f>
        <v>--</v>
      </c>
      <c r="L140" s="253" t="str">
        <f t="shared" ref="L140:N140" si="227">IFERROR(L139/K139-1,"--")</f>
        <v>--</v>
      </c>
      <c r="M140" s="253" t="str">
        <f t="shared" si="227"/>
        <v>--</v>
      </c>
      <c r="N140" s="253" t="str">
        <f t="shared" si="227"/>
        <v>--</v>
      </c>
      <c r="O140" s="245" t="str">
        <f>IFERROR(O139/J139-1,"--")</f>
        <v>--</v>
      </c>
      <c r="P140" s="253" t="str">
        <f>IFERROR(P139/N139-1,"--")</f>
        <v>--</v>
      </c>
      <c r="Q140" s="253" t="str">
        <f t="shared" ref="Q140:S140" si="228">IFERROR(Q139/P139-1,"--")</f>
        <v>--</v>
      </c>
      <c r="R140" s="253" t="str">
        <f t="shared" si="228"/>
        <v>--</v>
      </c>
      <c r="S140" s="253" t="str">
        <f t="shared" si="228"/>
        <v>--</v>
      </c>
      <c r="T140" s="245" t="str">
        <f>IFERROR(T139/O139-1,"--")</f>
        <v>--</v>
      </c>
      <c r="U140" s="253" t="str">
        <f>IFERROR(U139/S139-1,"--")</f>
        <v>--</v>
      </c>
      <c r="V140" s="244">
        <f>IF(Case_Scenario="Bull",V141,IF(Case_Scenario="Base",V142,IF(Case_Scenario="bear",V143,"N/A")))</f>
        <v>0</v>
      </c>
      <c r="W140" s="244">
        <f>IF(Case_Scenario="Bull",W141,IF(Case_Scenario="Base",W142,IF(Case_Scenario="bear",W143,"N/A")))</f>
        <v>0</v>
      </c>
      <c r="X140" s="244">
        <f>IF(Case_Scenario="Bull",X141,IF(Case_Scenario="Base",X142,IF(Case_Scenario="bear",X143,"N/A")))</f>
        <v>0</v>
      </c>
      <c r="Y140" s="261"/>
      <c r="Z140" s="244">
        <f>IF(Case_Scenario="Bull",Z141,IF(Case_Scenario="Base",Z142,IF(Case_Scenario="bear",Z143,"N/A")))</f>
        <v>0</v>
      </c>
      <c r="AA140" s="244">
        <f>IF(Case_Scenario="Bull",AA141,IF(Case_Scenario="Base",AA142,IF(Case_Scenario="bear",AA143,"N/A")))</f>
        <v>0</v>
      </c>
      <c r="AB140" s="244">
        <f>IF(Case_Scenario="Bull",AB141,IF(Case_Scenario="Base",AB142,IF(Case_Scenario="bear",AB143,"N/A")))</f>
        <v>0</v>
      </c>
      <c r="AC140" s="244">
        <f>IF(Case_Scenario="Bull",AC141,IF(Case_Scenario="Base",AC142,IF(Case_Scenario="bear",AC143,"N/A")))</f>
        <v>0</v>
      </c>
      <c r="AD140" s="245"/>
      <c r="AE140" s="245">
        <f>IF(Case_Scenario="Bull",AE141,IF(Case_Scenario="Base",AE142,IF(Case_Scenario="bear",AE143,"N/A")))</f>
        <v>0</v>
      </c>
      <c r="AF140" s="245">
        <f>IF(Case_Scenario="Bull",AF141,IF(Case_Scenario="Base",AF142,IF(Case_Scenario="bear",AF143,"N/A")))</f>
        <v>0</v>
      </c>
      <c r="AG140" s="245">
        <f>IF(Case_Scenario="Bull",AG141,IF(Case_Scenario="Base",AG142,IF(Case_Scenario="bear",AG143,"N/A")))</f>
        <v>0</v>
      </c>
      <c r="AH140" s="9"/>
      <c r="AI140" s="9"/>
      <c r="AJ140" s="9"/>
    </row>
    <row r="141" spans="1:36" ht="12.75" hidden="1" customHeight="1" outlineLevel="2" x14ac:dyDescent="0.25">
      <c r="A141" s="9"/>
      <c r="B141" s="9"/>
      <c r="C141" s="103" t="s">
        <v>246</v>
      </c>
      <c r="D141" s="9"/>
      <c r="E141" s="132"/>
      <c r="F141" s="254"/>
      <c r="G141" s="254"/>
      <c r="H141" s="254"/>
      <c r="I141" s="254"/>
      <c r="J141" s="132"/>
      <c r="K141" s="254"/>
      <c r="L141" s="254"/>
      <c r="M141" s="254"/>
      <c r="N141" s="254"/>
      <c r="O141" s="132"/>
      <c r="P141" s="254"/>
      <c r="Q141" s="254"/>
      <c r="R141" s="254"/>
      <c r="S141" s="254"/>
      <c r="T141" s="132"/>
      <c r="U141" s="254"/>
      <c r="V141" s="255">
        <v>0</v>
      </c>
      <c r="W141" s="255">
        <v>0</v>
      </c>
      <c r="X141" s="255">
        <v>0</v>
      </c>
      <c r="Y141" s="256"/>
      <c r="Z141" s="255">
        <v>0</v>
      </c>
      <c r="AA141" s="255">
        <v>0</v>
      </c>
      <c r="AB141" s="255">
        <v>0</v>
      </c>
      <c r="AC141" s="255">
        <v>0</v>
      </c>
      <c r="AD141" s="256"/>
      <c r="AE141" s="256">
        <v>0</v>
      </c>
      <c r="AF141" s="256">
        <v>0</v>
      </c>
      <c r="AG141" s="256">
        <v>0</v>
      </c>
      <c r="AH141" s="9"/>
      <c r="AI141" s="9"/>
      <c r="AJ141" s="9"/>
    </row>
    <row r="142" spans="1:36" ht="12.75" hidden="1" customHeight="1" outlineLevel="2" x14ac:dyDescent="0.25">
      <c r="A142" s="9"/>
      <c r="B142" s="9"/>
      <c r="C142" s="103" t="s">
        <v>247</v>
      </c>
      <c r="D142" s="9"/>
      <c r="E142" s="132"/>
      <c r="F142" s="254"/>
      <c r="G142" s="254"/>
      <c r="H142" s="254"/>
      <c r="I142" s="254"/>
      <c r="J142" s="132"/>
      <c r="K142" s="254"/>
      <c r="L142" s="254"/>
      <c r="M142" s="254"/>
      <c r="N142" s="254"/>
      <c r="O142" s="132"/>
      <c r="P142" s="254"/>
      <c r="Q142" s="254"/>
      <c r="R142" s="254"/>
      <c r="S142" s="254"/>
      <c r="T142" s="132"/>
      <c r="U142" s="254"/>
      <c r="V142" s="255">
        <v>0</v>
      </c>
      <c r="W142" s="255">
        <v>0</v>
      </c>
      <c r="X142" s="255">
        <v>0</v>
      </c>
      <c r="Y142" s="256"/>
      <c r="Z142" s="255">
        <v>0</v>
      </c>
      <c r="AA142" s="255">
        <v>0</v>
      </c>
      <c r="AB142" s="255">
        <v>0</v>
      </c>
      <c r="AC142" s="255">
        <v>0</v>
      </c>
      <c r="AD142" s="256"/>
      <c r="AE142" s="256">
        <v>0</v>
      </c>
      <c r="AF142" s="256">
        <v>0</v>
      </c>
      <c r="AG142" s="256">
        <v>0</v>
      </c>
      <c r="AH142" s="9"/>
      <c r="AI142" s="9"/>
      <c r="AJ142" s="9"/>
    </row>
    <row r="143" spans="1:36" ht="12.75" hidden="1" customHeight="1" outlineLevel="2" x14ac:dyDescent="0.25">
      <c r="A143" s="9"/>
      <c r="B143" s="9"/>
      <c r="C143" s="103" t="s">
        <v>248</v>
      </c>
      <c r="D143" s="9"/>
      <c r="E143" s="132"/>
      <c r="F143" s="254"/>
      <c r="G143" s="254"/>
      <c r="H143" s="254"/>
      <c r="I143" s="254"/>
      <c r="J143" s="132"/>
      <c r="K143" s="254"/>
      <c r="L143" s="254"/>
      <c r="M143" s="254"/>
      <c r="N143" s="254"/>
      <c r="O143" s="132"/>
      <c r="P143" s="254"/>
      <c r="Q143" s="254"/>
      <c r="R143" s="254"/>
      <c r="S143" s="254"/>
      <c r="T143" s="132"/>
      <c r="U143" s="254"/>
      <c r="V143" s="255">
        <v>0</v>
      </c>
      <c r="W143" s="255">
        <v>0</v>
      </c>
      <c r="X143" s="255">
        <v>0</v>
      </c>
      <c r="Y143" s="256"/>
      <c r="Z143" s="255">
        <v>0</v>
      </c>
      <c r="AA143" s="255">
        <v>0</v>
      </c>
      <c r="AB143" s="255">
        <v>0</v>
      </c>
      <c r="AC143" s="255">
        <v>0</v>
      </c>
      <c r="AD143" s="256"/>
      <c r="AE143" s="256">
        <v>0</v>
      </c>
      <c r="AF143" s="256">
        <v>0</v>
      </c>
      <c r="AG143" s="256">
        <v>0</v>
      </c>
      <c r="AH143" s="9"/>
      <c r="AI143" s="9"/>
      <c r="AJ143" s="9"/>
    </row>
    <row r="144" spans="1:36" ht="12.75" hidden="1" customHeight="1" outlineLevel="1" collapsed="1" x14ac:dyDescent="0.25">
      <c r="A144" s="9"/>
      <c r="B144" s="9"/>
      <c r="C144" s="9"/>
      <c r="D144" s="9"/>
      <c r="E144" s="9"/>
      <c r="F144" s="250"/>
      <c r="G144" s="250"/>
      <c r="H144" s="250"/>
      <c r="I144" s="250"/>
      <c r="J144" s="9"/>
      <c r="K144" s="250"/>
      <c r="L144" s="250"/>
      <c r="M144" s="250"/>
      <c r="N144" s="250"/>
      <c r="O144" s="9"/>
      <c r="P144" s="250"/>
      <c r="Q144" s="250"/>
      <c r="R144" s="250"/>
      <c r="S144" s="250"/>
      <c r="T144" s="9"/>
      <c r="U144" s="250"/>
      <c r="V144" s="251"/>
      <c r="W144" s="251"/>
      <c r="X144" s="251"/>
      <c r="Y144" s="9"/>
      <c r="Z144" s="251"/>
      <c r="AA144" s="251"/>
      <c r="AB144" s="251"/>
      <c r="AC144" s="251"/>
      <c r="AD144" s="9"/>
      <c r="AE144" s="9"/>
      <c r="AF144" s="9"/>
      <c r="AG144" s="9"/>
      <c r="AH144" s="9"/>
      <c r="AI144" s="9"/>
      <c r="AJ144" s="9"/>
    </row>
    <row r="145" spans="1:36" ht="12.75" hidden="1" customHeight="1" outlineLevel="1" x14ac:dyDescent="0.25">
      <c r="A145" s="205" t="s">
        <v>0</v>
      </c>
      <c r="B145" s="9"/>
      <c r="C145" s="50" t="s">
        <v>252</v>
      </c>
      <c r="D145" s="12"/>
      <c r="E145" s="12"/>
      <c r="F145" s="248" t="str">
        <f t="shared" ref="F145:AG145" si="229">F$28</f>
        <v>1Q23</v>
      </c>
      <c r="G145" s="248" t="str">
        <f t="shared" si="229"/>
        <v>2Q23</v>
      </c>
      <c r="H145" s="248" t="str">
        <f t="shared" si="229"/>
        <v>3Q23</v>
      </c>
      <c r="I145" s="248" t="str">
        <f t="shared" si="229"/>
        <v>4Q23</v>
      </c>
      <c r="J145" s="248">
        <f t="shared" si="229"/>
        <v>2023</v>
      </c>
      <c r="K145" s="248" t="str">
        <f t="shared" si="229"/>
        <v>1Q24</v>
      </c>
      <c r="L145" s="248" t="str">
        <f t="shared" si="229"/>
        <v>2Q24</v>
      </c>
      <c r="M145" s="248" t="str">
        <f t="shared" si="229"/>
        <v>3Q24</v>
      </c>
      <c r="N145" s="248" t="str">
        <f t="shared" si="229"/>
        <v>4Q24</v>
      </c>
      <c r="O145" s="248">
        <f t="shared" si="229"/>
        <v>2024</v>
      </c>
      <c r="P145" s="248" t="str">
        <f t="shared" si="229"/>
        <v>1Q25</v>
      </c>
      <c r="Q145" s="248" t="str">
        <f t="shared" si="229"/>
        <v>2Q25</v>
      </c>
      <c r="R145" s="248" t="str">
        <f t="shared" si="229"/>
        <v>3Q25</v>
      </c>
      <c r="S145" s="248" t="str">
        <f t="shared" si="229"/>
        <v>4Q25</v>
      </c>
      <c r="T145" s="248">
        <f t="shared" si="229"/>
        <v>2025</v>
      </c>
      <c r="U145" s="248" t="str">
        <f t="shared" si="229"/>
        <v>1Q26</v>
      </c>
      <c r="V145" s="248" t="str">
        <f t="shared" si="229"/>
        <v>2Q26e</v>
      </c>
      <c r="W145" s="248" t="str">
        <f t="shared" si="229"/>
        <v>3Q26e</v>
      </c>
      <c r="X145" s="248" t="str">
        <f t="shared" si="229"/>
        <v>4Q26e</v>
      </c>
      <c r="Y145" s="248" t="str">
        <f t="shared" si="229"/>
        <v>2026e</v>
      </c>
      <c r="Z145" s="248" t="str">
        <f t="shared" si="229"/>
        <v>1Q27e</v>
      </c>
      <c r="AA145" s="248" t="str">
        <f t="shared" si="229"/>
        <v>2Q27e</v>
      </c>
      <c r="AB145" s="248" t="str">
        <f t="shared" si="229"/>
        <v>3Q27e</v>
      </c>
      <c r="AC145" s="248" t="str">
        <f t="shared" si="229"/>
        <v>4Q27e</v>
      </c>
      <c r="AD145" s="248" t="str">
        <f t="shared" si="229"/>
        <v>2027e</v>
      </c>
      <c r="AE145" s="248" t="str">
        <f t="shared" si="229"/>
        <v>2028e</v>
      </c>
      <c r="AF145" s="248" t="str">
        <f t="shared" si="229"/>
        <v>2029e</v>
      </c>
      <c r="AG145" s="249" t="str">
        <f t="shared" si="229"/>
        <v>2030e</v>
      </c>
      <c r="AH145" s="217" t="s">
        <v>0</v>
      </c>
      <c r="AI145" s="9"/>
      <c r="AJ145" s="9"/>
    </row>
    <row r="146" spans="1:36" ht="12.75" hidden="1" customHeight="1" outlineLevel="1" x14ac:dyDescent="0.25">
      <c r="A146" s="9"/>
      <c r="B146" s="9"/>
      <c r="C146" s="9"/>
      <c r="D146" s="9"/>
      <c r="E146" s="9"/>
      <c r="F146" s="263"/>
      <c r="G146" s="263"/>
      <c r="H146" s="263"/>
      <c r="I146" s="263"/>
      <c r="J146" s="264"/>
      <c r="K146" s="263"/>
      <c r="L146" s="263"/>
      <c r="M146" s="263"/>
      <c r="N146" s="263"/>
      <c r="O146" s="264"/>
      <c r="P146" s="263"/>
      <c r="Q146" s="263"/>
      <c r="R146" s="263"/>
      <c r="S146" s="263"/>
      <c r="T146" s="264"/>
      <c r="U146" s="263"/>
      <c r="V146" s="265"/>
      <c r="W146" s="265"/>
      <c r="X146" s="265"/>
      <c r="Y146" s="264"/>
      <c r="Z146" s="265"/>
      <c r="AA146" s="265"/>
      <c r="AB146" s="265"/>
      <c r="AC146" s="265"/>
      <c r="AD146" s="264"/>
      <c r="AE146" s="264"/>
      <c r="AF146" s="264"/>
      <c r="AG146" s="264"/>
      <c r="AH146" s="9"/>
      <c r="AI146" s="9"/>
      <c r="AJ146" s="9"/>
    </row>
    <row r="147" spans="1:36" ht="12.75" hidden="1" customHeight="1" outlineLevel="2" x14ac:dyDescent="0.25">
      <c r="A147" s="9"/>
      <c r="B147" s="9"/>
      <c r="C147" s="103" t="str">
        <f>C33</f>
        <v>Discount Revenue</v>
      </c>
      <c r="D147" s="9"/>
      <c r="E147" s="9"/>
      <c r="F147" s="252">
        <f t="shared" ref="F147:T147" si="230">F33</f>
        <v>7947</v>
      </c>
      <c r="G147" s="252">
        <f t="shared" si="230"/>
        <v>8481</v>
      </c>
      <c r="H147" s="252">
        <f t="shared" si="230"/>
        <v>8408</v>
      </c>
      <c r="I147" s="252">
        <f t="shared" si="230"/>
        <v>8580</v>
      </c>
      <c r="J147" s="227">
        <f t="shared" si="230"/>
        <v>33416</v>
      </c>
      <c r="K147" s="252">
        <f t="shared" si="230"/>
        <v>8380</v>
      </c>
      <c r="L147" s="252">
        <f t="shared" si="230"/>
        <v>8855</v>
      </c>
      <c r="M147" s="252">
        <f t="shared" si="230"/>
        <v>8780</v>
      </c>
      <c r="N147" s="252">
        <f t="shared" si="230"/>
        <v>9177</v>
      </c>
      <c r="O147" s="227">
        <f t="shared" si="230"/>
        <v>35192</v>
      </c>
      <c r="P147" s="252">
        <f t="shared" si="230"/>
        <v>8743</v>
      </c>
      <c r="Q147" s="252">
        <f t="shared" si="230"/>
        <v>9361</v>
      </c>
      <c r="R147" s="252">
        <f t="shared" si="230"/>
        <v>9413</v>
      </c>
      <c r="S147" s="252">
        <f t="shared" si="230"/>
        <v>9884</v>
      </c>
      <c r="T147" s="227">
        <f t="shared" si="230"/>
        <v>37401</v>
      </c>
      <c r="U147" s="252">
        <f t="shared" ref="U147" si="231">U33</f>
        <v>9512</v>
      </c>
      <c r="V147" s="226">
        <f t="shared" ref="V147:X147" si="232">V149/V154</f>
        <v>3850</v>
      </c>
      <c r="W147" s="226">
        <f t="shared" si="232"/>
        <v>4042.5</v>
      </c>
      <c r="X147" s="226">
        <f t="shared" si="232"/>
        <v>4244.625</v>
      </c>
      <c r="Y147" s="227">
        <f>SUM(U147:X147)</f>
        <v>21649.125</v>
      </c>
      <c r="Z147" s="226">
        <f t="shared" ref="Z147:AC147" si="233">Z149/Z154</f>
        <v>4456.8562499999998</v>
      </c>
      <c r="AA147" s="226">
        <f t="shared" si="233"/>
        <v>4679.6990625000008</v>
      </c>
      <c r="AB147" s="226">
        <f t="shared" si="233"/>
        <v>4913.6840156250009</v>
      </c>
      <c r="AC147" s="226">
        <f t="shared" si="233"/>
        <v>5159.3682164062511</v>
      </c>
      <c r="AD147" s="227">
        <f>SUM(Z147:AC147)</f>
        <v>19209.607544531253</v>
      </c>
      <c r="AE147" s="227">
        <f t="shared" ref="AE147:AG147" si="234">AE149/AE154</f>
        <v>20170.087921757815</v>
      </c>
      <c r="AF147" s="227">
        <f t="shared" si="234"/>
        <v>21178.592317845709</v>
      </c>
      <c r="AG147" s="227">
        <f t="shared" si="234"/>
        <v>22237.521933737997</v>
      </c>
      <c r="AH147" s="9"/>
      <c r="AI147" s="9"/>
      <c r="AJ147" s="9"/>
    </row>
    <row r="148" spans="1:36" ht="12.75" hidden="1" customHeight="1" outlineLevel="2" x14ac:dyDescent="0.25">
      <c r="A148" s="9"/>
      <c r="B148" s="9"/>
      <c r="C148" s="103" t="s">
        <v>239</v>
      </c>
      <c r="D148" s="9"/>
      <c r="E148" s="9"/>
      <c r="F148" s="266">
        <f>47179+9134</f>
        <v>56313</v>
      </c>
      <c r="G148" s="266">
        <f>46414+8942</f>
        <v>55356</v>
      </c>
      <c r="H148" s="266">
        <f>40127+12896</f>
        <v>53023</v>
      </c>
      <c r="I148" s="266">
        <f>42079+15055</f>
        <v>57134</v>
      </c>
      <c r="J148" s="261">
        <f>I148</f>
        <v>57134</v>
      </c>
      <c r="K148" s="266">
        <f>46463+16145</f>
        <v>62608</v>
      </c>
      <c r="L148" s="266">
        <f>44155+14185</f>
        <v>58340</v>
      </c>
      <c r="M148" s="266">
        <v>45852</v>
      </c>
      <c r="N148" s="266">
        <v>49577</v>
      </c>
      <c r="O148" s="261">
        <f>J148+O149-O147</f>
        <v>49577</v>
      </c>
      <c r="P148" s="266">
        <v>50404</v>
      </c>
      <c r="Q148" s="266">
        <v>51925</v>
      </c>
      <c r="R148" s="266">
        <v>57875</v>
      </c>
      <c r="S148" s="266">
        <v>57166</v>
      </c>
      <c r="T148" s="261">
        <f>O148+T149-T147</f>
        <v>57166</v>
      </c>
      <c r="U148" s="266">
        <v>50404</v>
      </c>
      <c r="V148" s="262">
        <f t="shared" ref="V148" si="235">U148+V149-V147</f>
        <v>49441.5</v>
      </c>
      <c r="W148" s="262">
        <f t="shared" ref="W148" si="236">V148+W149-W147</f>
        <v>48430.875</v>
      </c>
      <c r="X148" s="262">
        <f t="shared" ref="X148" si="237">W148+X149-X147</f>
        <v>47369.71875</v>
      </c>
      <c r="Y148" s="261">
        <f>T148+Y149-Y147</f>
        <v>47369.71875</v>
      </c>
      <c r="Z148" s="262">
        <f>X148+Z149-Z147</f>
        <v>46255.504687500004</v>
      </c>
      <c r="AA148" s="262">
        <f t="shared" ref="AA148:AC148" si="238">Z148+AA149-AA147</f>
        <v>45085.579921875003</v>
      </c>
      <c r="AB148" s="262">
        <f t="shared" si="238"/>
        <v>43857.158917968751</v>
      </c>
      <c r="AC148" s="262">
        <f t="shared" si="238"/>
        <v>42567.316863867192</v>
      </c>
      <c r="AD148" s="261">
        <f>Y148+AD149-AD147</f>
        <v>42567.316863867185</v>
      </c>
      <c r="AE148" s="261">
        <f t="shared" ref="AE148:AG148" si="239">AD148+AE149-AE147</f>
        <v>37524.794883427734</v>
      </c>
      <c r="AF148" s="261">
        <f t="shared" si="239"/>
        <v>32230.146803966309</v>
      </c>
      <c r="AG148" s="261">
        <f t="shared" si="239"/>
        <v>26670.766320531809</v>
      </c>
      <c r="AH148" s="9"/>
      <c r="AI148" s="9"/>
      <c r="AJ148" s="9"/>
    </row>
    <row r="149" spans="1:36" ht="12.75" hidden="1" customHeight="1" outlineLevel="2" x14ac:dyDescent="0.25">
      <c r="A149" s="9"/>
      <c r="B149" s="9"/>
      <c r="C149" s="103" t="s">
        <v>253</v>
      </c>
      <c r="D149" s="9"/>
      <c r="E149" s="9"/>
      <c r="F149" s="266">
        <f>F148+F147-(45187+12488)</f>
        <v>6585</v>
      </c>
      <c r="G149" s="266">
        <f t="shared" ref="G149:I149" si="240">G148+G147-F148</f>
        <v>7524</v>
      </c>
      <c r="H149" s="266">
        <f t="shared" si="240"/>
        <v>6075</v>
      </c>
      <c r="I149" s="266">
        <f t="shared" si="240"/>
        <v>12691</v>
      </c>
      <c r="J149" s="261">
        <f>SUM(F149:I149)</f>
        <v>32875</v>
      </c>
      <c r="K149" s="266">
        <f t="shared" ref="K149:N149" si="241">K148+K147-J148</f>
        <v>13854</v>
      </c>
      <c r="L149" s="266">
        <f t="shared" si="241"/>
        <v>4587</v>
      </c>
      <c r="M149" s="266">
        <f t="shared" si="241"/>
        <v>-3708</v>
      </c>
      <c r="N149" s="266">
        <f t="shared" si="241"/>
        <v>12902</v>
      </c>
      <c r="O149" s="261">
        <f>SUM(K149:N149)</f>
        <v>27635</v>
      </c>
      <c r="P149" s="266">
        <f t="shared" ref="P149:U149" si="242">P148+P147-O148</f>
        <v>9570</v>
      </c>
      <c r="Q149" s="266">
        <f t="shared" si="242"/>
        <v>10882</v>
      </c>
      <c r="R149" s="266">
        <f t="shared" si="242"/>
        <v>15363</v>
      </c>
      <c r="S149" s="266">
        <f t="shared" si="242"/>
        <v>9175</v>
      </c>
      <c r="T149" s="261">
        <f>SUM(P149:S149)</f>
        <v>44990</v>
      </c>
      <c r="U149" s="266">
        <f t="shared" si="242"/>
        <v>2750</v>
      </c>
      <c r="V149" s="262">
        <f t="shared" ref="V149" si="243">U149*(1+V150)</f>
        <v>2887.5</v>
      </c>
      <c r="W149" s="262">
        <f t="shared" ref="W149" si="244">V149*(1+W150)</f>
        <v>3031.875</v>
      </c>
      <c r="X149" s="262">
        <f t="shared" ref="X149" si="245">W149*(1+X150)</f>
        <v>3183.46875</v>
      </c>
      <c r="Y149" s="261">
        <f>SUM(U149:X149)</f>
        <v>11852.84375</v>
      </c>
      <c r="Z149" s="262">
        <f>X149*(1+Z150)</f>
        <v>3342.6421875000001</v>
      </c>
      <c r="AA149" s="262">
        <f t="shared" ref="AA149:AC149" si="246">Z149*(1+AA150)</f>
        <v>3509.7742968750003</v>
      </c>
      <c r="AB149" s="262">
        <f t="shared" si="246"/>
        <v>3685.2630117187505</v>
      </c>
      <c r="AC149" s="262">
        <f t="shared" si="246"/>
        <v>3869.5261623046881</v>
      </c>
      <c r="AD149" s="261">
        <f>SUM(Z149:AC149)</f>
        <v>14407.205658398439</v>
      </c>
      <c r="AE149" s="261">
        <f t="shared" ref="AE149:AG149" si="247">AD149*(1+AE150)</f>
        <v>15127.565941318362</v>
      </c>
      <c r="AF149" s="261">
        <f t="shared" si="247"/>
        <v>15883.944238384282</v>
      </c>
      <c r="AG149" s="261">
        <f t="shared" si="247"/>
        <v>16678.141450303498</v>
      </c>
      <c r="AH149" s="9"/>
      <c r="AI149" s="9"/>
      <c r="AJ149" s="9"/>
    </row>
    <row r="150" spans="1:36" ht="12.75" hidden="1" customHeight="1" outlineLevel="2" x14ac:dyDescent="0.25">
      <c r="A150" s="9"/>
      <c r="B150" s="9"/>
      <c r="C150" s="84" t="s">
        <v>254</v>
      </c>
      <c r="D150" s="9"/>
      <c r="E150" s="9"/>
      <c r="F150" s="254"/>
      <c r="G150" s="253">
        <f t="shared" ref="G150:I150" si="248">IFERROR(G149/F149-1,"--")</f>
        <v>0.14259681093394083</v>
      </c>
      <c r="H150" s="253">
        <f t="shared" si="248"/>
        <v>-0.1925837320574163</v>
      </c>
      <c r="I150" s="253">
        <f t="shared" si="248"/>
        <v>1.0890534979423867</v>
      </c>
      <c r="J150" s="132"/>
      <c r="K150" s="253">
        <f>IFERROR(K149/I149-1,"--")</f>
        <v>9.1639744700969139E-2</v>
      </c>
      <c r="L150" s="253">
        <f t="shared" ref="L150:N150" si="249">IFERROR(L149/K149-1,"--")</f>
        <v>-0.66890428757037679</v>
      </c>
      <c r="M150" s="253">
        <f t="shared" si="249"/>
        <v>-1.8083714846304775</v>
      </c>
      <c r="N150" s="253">
        <f t="shared" si="249"/>
        <v>-4.4795037756202802</v>
      </c>
      <c r="O150" s="245">
        <f>IFERROR(O149/J149-1,"--")</f>
        <v>-0.15939163498098863</v>
      </c>
      <c r="P150" s="253">
        <f>IFERROR(P149/N149-1,"--")</f>
        <v>-0.25825453418074718</v>
      </c>
      <c r="Q150" s="253">
        <f t="shared" ref="Q150:S150" si="250">IFERROR(Q149/P149-1,"--")</f>
        <v>0.13709508881922683</v>
      </c>
      <c r="R150" s="253">
        <f t="shared" si="250"/>
        <v>0.41178092262451749</v>
      </c>
      <c r="S150" s="253">
        <f t="shared" si="250"/>
        <v>-0.4027859142094643</v>
      </c>
      <c r="T150" s="245">
        <f>IFERROR(T149/O149-1,"--")</f>
        <v>0.62800796091912425</v>
      </c>
      <c r="U150" s="253">
        <f>IFERROR(U149/S149-1,"--")</f>
        <v>-0.70027247956403271</v>
      </c>
      <c r="V150" s="244">
        <f>IF(Case_Scenario="Bull",V151,IF(Case_Scenario="Base",V152,IF(Case_Scenario="bear",V153,"N/A")))</f>
        <v>0.05</v>
      </c>
      <c r="W150" s="244">
        <f>IF(Case_Scenario="Bull",W151,IF(Case_Scenario="Base",W152,IF(Case_Scenario="bear",W153,"N/A")))</f>
        <v>0.05</v>
      </c>
      <c r="X150" s="244">
        <f>IF(Case_Scenario="Bull",X151,IF(Case_Scenario="Base",X152,IF(Case_Scenario="bear",X153,"N/A")))</f>
        <v>0.05</v>
      </c>
      <c r="Y150" s="245"/>
      <c r="Z150" s="244">
        <f>IF(Case_Scenario="Bull",Z151,IF(Case_Scenario="Base",Z152,IF(Case_Scenario="bear",Z153,"N/A")))</f>
        <v>0.05</v>
      </c>
      <c r="AA150" s="244">
        <f>IF(Case_Scenario="Bull",AA151,IF(Case_Scenario="Base",AA152,IF(Case_Scenario="bear",AA153,"N/A")))</f>
        <v>0.05</v>
      </c>
      <c r="AB150" s="244">
        <f>IF(Case_Scenario="Bull",AB151,IF(Case_Scenario="Base",AB152,IF(Case_Scenario="bear",AB153,"N/A")))</f>
        <v>0.05</v>
      </c>
      <c r="AC150" s="244">
        <f>IF(Case_Scenario="Bull",AC151,IF(Case_Scenario="Base",AC152,IF(Case_Scenario="bear",AC153,"N/A")))</f>
        <v>0.05</v>
      </c>
      <c r="AD150" s="245"/>
      <c r="AE150" s="245">
        <f>IF(Case_Scenario="Bull",AE151,IF(Case_Scenario="Base",AE152,IF(Case_Scenario="bear",AE153,"N/A")))</f>
        <v>0.05</v>
      </c>
      <c r="AF150" s="245">
        <f>IF(Case_Scenario="Bull",AF151,IF(Case_Scenario="Base",AF152,IF(Case_Scenario="bear",AF153,"N/A")))</f>
        <v>0.05</v>
      </c>
      <c r="AG150" s="245">
        <f>IF(Case_Scenario="Bull",AG151,IF(Case_Scenario="Base",AG152,IF(Case_Scenario="bear",AG153,"N/A")))</f>
        <v>0.05</v>
      </c>
      <c r="AH150" s="9"/>
      <c r="AI150" s="9"/>
      <c r="AJ150" s="9"/>
    </row>
    <row r="151" spans="1:36" ht="12.75" hidden="1" customHeight="1" outlineLevel="2" x14ac:dyDescent="0.25">
      <c r="A151" s="9"/>
      <c r="B151" s="9"/>
      <c r="C151" s="103" t="s">
        <v>246</v>
      </c>
      <c r="D151" s="9"/>
      <c r="E151" s="9"/>
      <c r="F151" s="254"/>
      <c r="G151" s="254"/>
      <c r="H151" s="254"/>
      <c r="I151" s="254"/>
      <c r="J151" s="132"/>
      <c r="K151" s="254"/>
      <c r="L151" s="254"/>
      <c r="M151" s="254"/>
      <c r="N151" s="254"/>
      <c r="O151" s="132"/>
      <c r="P151" s="254"/>
      <c r="Q151" s="254"/>
      <c r="R151" s="254"/>
      <c r="S151" s="254"/>
      <c r="T151" s="132"/>
      <c r="U151" s="254"/>
      <c r="V151" s="255">
        <v>0.1</v>
      </c>
      <c r="W151" s="255">
        <v>0.1</v>
      </c>
      <c r="X151" s="255">
        <v>0.1</v>
      </c>
      <c r="Y151" s="256"/>
      <c r="Z151" s="255">
        <v>0.1</v>
      </c>
      <c r="AA151" s="255">
        <v>0.1</v>
      </c>
      <c r="AB151" s="255">
        <v>0.1</v>
      </c>
      <c r="AC151" s="255">
        <v>0.1</v>
      </c>
      <c r="AD151" s="256"/>
      <c r="AE151" s="256">
        <v>0.1</v>
      </c>
      <c r="AF151" s="256">
        <v>0.1</v>
      </c>
      <c r="AG151" s="256">
        <v>0.1</v>
      </c>
      <c r="AH151" s="9"/>
      <c r="AI151" s="9"/>
      <c r="AJ151" s="9"/>
    </row>
    <row r="152" spans="1:36" ht="12.75" hidden="1" customHeight="1" outlineLevel="2" x14ac:dyDescent="0.25">
      <c r="A152" s="9"/>
      <c r="B152" s="9"/>
      <c r="C152" s="103" t="s">
        <v>247</v>
      </c>
      <c r="D152" s="9"/>
      <c r="E152" s="9"/>
      <c r="F152" s="254"/>
      <c r="G152" s="254"/>
      <c r="H152" s="254"/>
      <c r="I152" s="254"/>
      <c r="J152" s="132"/>
      <c r="K152" s="254"/>
      <c r="L152" s="254"/>
      <c r="M152" s="254"/>
      <c r="N152" s="254"/>
      <c r="O152" s="132"/>
      <c r="P152" s="254"/>
      <c r="Q152" s="254"/>
      <c r="R152" s="254"/>
      <c r="S152" s="254"/>
      <c r="T152" s="132"/>
      <c r="U152" s="254"/>
      <c r="V152" s="255">
        <v>0.05</v>
      </c>
      <c r="W152" s="255">
        <v>0.05</v>
      </c>
      <c r="X152" s="255">
        <v>0.05</v>
      </c>
      <c r="Y152" s="256"/>
      <c r="Z152" s="255">
        <v>0.05</v>
      </c>
      <c r="AA152" s="255">
        <v>0.05</v>
      </c>
      <c r="AB152" s="255">
        <v>0.05</v>
      </c>
      <c r="AC152" s="255">
        <v>0.05</v>
      </c>
      <c r="AD152" s="256"/>
      <c r="AE152" s="256">
        <v>0.05</v>
      </c>
      <c r="AF152" s="256">
        <v>0.05</v>
      </c>
      <c r="AG152" s="256">
        <v>0.05</v>
      </c>
      <c r="AH152" s="9"/>
      <c r="AI152" s="9"/>
      <c r="AJ152" s="9"/>
    </row>
    <row r="153" spans="1:36" ht="12.75" hidden="1" customHeight="1" outlineLevel="2" x14ac:dyDescent="0.25">
      <c r="A153" s="9"/>
      <c r="B153" s="9"/>
      <c r="C153" s="103" t="s">
        <v>248</v>
      </c>
      <c r="D153" s="9"/>
      <c r="E153" s="9"/>
      <c r="F153" s="254"/>
      <c r="G153" s="254"/>
      <c r="H153" s="254"/>
      <c r="I153" s="254"/>
      <c r="J153" s="132"/>
      <c r="K153" s="254"/>
      <c r="L153" s="254"/>
      <c r="M153" s="254"/>
      <c r="N153" s="254"/>
      <c r="O153" s="132"/>
      <c r="P153" s="254"/>
      <c r="Q153" s="254"/>
      <c r="R153" s="254"/>
      <c r="S153" s="254"/>
      <c r="T153" s="132"/>
      <c r="U153" s="254"/>
      <c r="V153" s="255">
        <v>0</v>
      </c>
      <c r="W153" s="255">
        <v>0</v>
      </c>
      <c r="X153" s="255">
        <v>0</v>
      </c>
      <c r="Y153" s="256"/>
      <c r="Z153" s="255">
        <v>0</v>
      </c>
      <c r="AA153" s="255">
        <v>0</v>
      </c>
      <c r="AB153" s="255">
        <v>0</v>
      </c>
      <c r="AC153" s="255">
        <v>0</v>
      </c>
      <c r="AD153" s="256"/>
      <c r="AE153" s="256">
        <v>0</v>
      </c>
      <c r="AF153" s="256">
        <v>0</v>
      </c>
      <c r="AG153" s="256">
        <v>0</v>
      </c>
      <c r="AH153" s="9"/>
      <c r="AI153" s="9"/>
      <c r="AJ153" s="9"/>
    </row>
    <row r="154" spans="1:36" ht="12.75" hidden="1" customHeight="1" outlineLevel="2" x14ac:dyDescent="0.25">
      <c r="A154" s="9"/>
      <c r="B154" s="9"/>
      <c r="C154" s="103" t="s">
        <v>255</v>
      </c>
      <c r="D154" s="9"/>
      <c r="E154" s="9"/>
      <c r="F154" s="267">
        <f t="shared" ref="F154:T154" si="251">F149/F147</f>
        <v>0.82861457153642881</v>
      </c>
      <c r="G154" s="267">
        <f t="shared" si="251"/>
        <v>0.88715953307392992</v>
      </c>
      <c r="H154" s="267">
        <f t="shared" si="251"/>
        <v>0.72252616555661275</v>
      </c>
      <c r="I154" s="267">
        <f t="shared" si="251"/>
        <v>1.4791375291375291</v>
      </c>
      <c r="J154" s="268">
        <f t="shared" si="251"/>
        <v>0.98381015082595169</v>
      </c>
      <c r="K154" s="267">
        <f t="shared" si="251"/>
        <v>1.6532219570405728</v>
      </c>
      <c r="L154" s="267">
        <f t="shared" si="251"/>
        <v>0.51801242236024847</v>
      </c>
      <c r="M154" s="267">
        <f t="shared" si="251"/>
        <v>-0.42232346241457858</v>
      </c>
      <c r="N154" s="267">
        <f t="shared" si="251"/>
        <v>1.4059060695216301</v>
      </c>
      <c r="O154" s="268">
        <f t="shared" si="251"/>
        <v>0.78526369629461246</v>
      </c>
      <c r="P154" s="267">
        <f t="shared" si="251"/>
        <v>1.0945899576804301</v>
      </c>
      <c r="Q154" s="267">
        <f t="shared" si="251"/>
        <v>1.1624826407435103</v>
      </c>
      <c r="R154" s="267">
        <f t="shared" si="251"/>
        <v>1.6321045362796134</v>
      </c>
      <c r="S154" s="267">
        <f t="shared" si="251"/>
        <v>0.92826790772966405</v>
      </c>
      <c r="T154" s="268">
        <f t="shared" si="251"/>
        <v>1.2029090131279911</v>
      </c>
      <c r="U154" s="267">
        <f t="shared" ref="U154" si="252">U149/U147</f>
        <v>0.28910849453322118</v>
      </c>
      <c r="V154" s="269">
        <f>IF(Case_Scenario="Bull",V155,IF(Case_Scenario="Base",V156,IF(Case_Scenario="bear",V157,"N/A")))</f>
        <v>0.75</v>
      </c>
      <c r="W154" s="269">
        <f>IF(Case_Scenario="Bull",W155,IF(Case_Scenario="Base",W156,IF(Case_Scenario="bear",W157,"N/A")))</f>
        <v>0.75</v>
      </c>
      <c r="X154" s="269">
        <f>IF(Case_Scenario="Bull",X155,IF(Case_Scenario="Base",X156,IF(Case_Scenario="bear",X157,"N/A")))</f>
        <v>0.75</v>
      </c>
      <c r="Y154" s="268">
        <f>AVERAGE(U154:X154)</f>
        <v>0.6347771236333053</v>
      </c>
      <c r="Z154" s="269">
        <f>IF(Case_Scenario="Bull",Z155,IF(Case_Scenario="Base",Z156,IF(Case_Scenario="bear",Z157,"N/A")))</f>
        <v>0.75</v>
      </c>
      <c r="AA154" s="269">
        <f>IF(Case_Scenario="Bull",AA155,IF(Case_Scenario="Base",AA156,IF(Case_Scenario="bear",AA157,"N/A")))</f>
        <v>0.75</v>
      </c>
      <c r="AB154" s="269">
        <f>IF(Case_Scenario="Bull",AB155,IF(Case_Scenario="Base",AB156,IF(Case_Scenario="bear",AB157,"N/A")))</f>
        <v>0.75</v>
      </c>
      <c r="AC154" s="269">
        <f>IF(Case_Scenario="Bull",AC155,IF(Case_Scenario="Base",AC156,IF(Case_Scenario="bear",AC157,"N/A")))</f>
        <v>0.75</v>
      </c>
      <c r="AD154" s="268">
        <f>AVERAGE(Z154:AC154)</f>
        <v>0.75</v>
      </c>
      <c r="AE154" s="268">
        <f>IF(Case_Scenario="Bull",AE155,IF(Case_Scenario="Base",AE156,IF(Case_Scenario="bear",AE157,"N/A")))</f>
        <v>0.75</v>
      </c>
      <c r="AF154" s="268">
        <f>IF(Case_Scenario="Bull",AF155,IF(Case_Scenario="Base",AF156,IF(Case_Scenario="bear",AF157,"N/A")))</f>
        <v>0.75</v>
      </c>
      <c r="AG154" s="268">
        <f>IF(Case_Scenario="Bull",AG155,IF(Case_Scenario="Base",AG156,IF(Case_Scenario="bear",AG157,"N/A")))</f>
        <v>0.75</v>
      </c>
      <c r="AH154" s="9"/>
      <c r="AI154" s="9"/>
      <c r="AJ154" s="9"/>
    </row>
    <row r="155" spans="1:36" ht="12.75" hidden="1" customHeight="1" outlineLevel="2" x14ac:dyDescent="0.25">
      <c r="A155" s="9"/>
      <c r="B155" s="9"/>
      <c r="C155" s="103" t="s">
        <v>246</v>
      </c>
      <c r="D155" s="9"/>
      <c r="E155" s="9"/>
      <c r="F155" s="267"/>
      <c r="G155" s="270"/>
      <c r="H155" s="270"/>
      <c r="I155" s="270"/>
      <c r="J155" s="268"/>
      <c r="K155" s="270"/>
      <c r="L155" s="270"/>
      <c r="M155" s="270"/>
      <c r="N155" s="270"/>
      <c r="O155" s="271"/>
      <c r="P155" s="270"/>
      <c r="Q155" s="270"/>
      <c r="R155" s="270"/>
      <c r="S155" s="270"/>
      <c r="T155" s="271"/>
      <c r="U155" s="270"/>
      <c r="V155" s="272">
        <v>0.5</v>
      </c>
      <c r="W155" s="272">
        <v>0.5</v>
      </c>
      <c r="X155" s="272">
        <v>0.5</v>
      </c>
      <c r="Y155" s="273"/>
      <c r="Z155" s="272">
        <v>0.5</v>
      </c>
      <c r="AA155" s="272">
        <v>0.5</v>
      </c>
      <c r="AB155" s="272">
        <v>0.5</v>
      </c>
      <c r="AC155" s="272">
        <v>0.5</v>
      </c>
      <c r="AD155" s="273"/>
      <c r="AE155" s="273">
        <v>0.5</v>
      </c>
      <c r="AF155" s="273">
        <v>0.5</v>
      </c>
      <c r="AG155" s="273">
        <v>0.5</v>
      </c>
      <c r="AH155" s="9"/>
      <c r="AI155" s="9"/>
      <c r="AJ155" s="9"/>
    </row>
    <row r="156" spans="1:36" ht="12.75" hidden="1" customHeight="1" outlineLevel="2" x14ac:dyDescent="0.25">
      <c r="A156" s="9"/>
      <c r="B156" s="9"/>
      <c r="C156" s="103" t="s">
        <v>247</v>
      </c>
      <c r="D156" s="9"/>
      <c r="E156" s="9"/>
      <c r="F156" s="267"/>
      <c r="G156" s="267"/>
      <c r="H156" s="267"/>
      <c r="I156" s="267"/>
      <c r="J156" s="268"/>
      <c r="K156" s="267"/>
      <c r="L156" s="267"/>
      <c r="M156" s="267"/>
      <c r="N156" s="267"/>
      <c r="O156" s="268"/>
      <c r="P156" s="267"/>
      <c r="Q156" s="267"/>
      <c r="R156" s="267"/>
      <c r="S156" s="267"/>
      <c r="T156" s="268"/>
      <c r="U156" s="267"/>
      <c r="V156" s="272">
        <v>0.75</v>
      </c>
      <c r="W156" s="272">
        <v>0.75</v>
      </c>
      <c r="X156" s="272">
        <v>0.75</v>
      </c>
      <c r="Y156" s="273"/>
      <c r="Z156" s="272">
        <v>0.75</v>
      </c>
      <c r="AA156" s="272">
        <v>0.75</v>
      </c>
      <c r="AB156" s="272">
        <v>0.75</v>
      </c>
      <c r="AC156" s="272">
        <v>0.75</v>
      </c>
      <c r="AD156" s="273"/>
      <c r="AE156" s="273">
        <v>0.75</v>
      </c>
      <c r="AF156" s="273">
        <v>0.75</v>
      </c>
      <c r="AG156" s="273">
        <v>0.75</v>
      </c>
      <c r="AH156" s="9"/>
      <c r="AI156" s="9"/>
      <c r="AJ156" s="9"/>
    </row>
    <row r="157" spans="1:36" ht="12.75" hidden="1" customHeight="1" outlineLevel="2" x14ac:dyDescent="0.25">
      <c r="A157" s="9"/>
      <c r="B157" s="9"/>
      <c r="C157" s="103" t="s">
        <v>248</v>
      </c>
      <c r="D157" s="9"/>
      <c r="E157" s="9"/>
      <c r="F157" s="267"/>
      <c r="G157" s="267"/>
      <c r="H157" s="267"/>
      <c r="I157" s="267"/>
      <c r="J157" s="268"/>
      <c r="K157" s="267"/>
      <c r="L157" s="267"/>
      <c r="M157" s="267"/>
      <c r="N157" s="267"/>
      <c r="O157" s="268"/>
      <c r="P157" s="267"/>
      <c r="Q157" s="267"/>
      <c r="R157" s="267"/>
      <c r="S157" s="267"/>
      <c r="T157" s="268"/>
      <c r="U157" s="267"/>
      <c r="V157" s="272">
        <v>1</v>
      </c>
      <c r="W157" s="272">
        <v>1</v>
      </c>
      <c r="X157" s="272">
        <v>1</v>
      </c>
      <c r="Y157" s="273"/>
      <c r="Z157" s="272">
        <v>1</v>
      </c>
      <c r="AA157" s="272">
        <v>1</v>
      </c>
      <c r="AB157" s="272">
        <v>1</v>
      </c>
      <c r="AC157" s="272">
        <v>1</v>
      </c>
      <c r="AD157" s="273"/>
      <c r="AE157" s="273">
        <v>1</v>
      </c>
      <c r="AF157" s="273">
        <v>1</v>
      </c>
      <c r="AG157" s="273">
        <v>1</v>
      </c>
      <c r="AH157" s="9"/>
      <c r="AI157" s="9"/>
      <c r="AJ157" s="9"/>
    </row>
    <row r="158" spans="1:36" ht="12.75" hidden="1" customHeight="1" outlineLevel="2" x14ac:dyDescent="0.25">
      <c r="A158" s="9"/>
      <c r="B158" s="9"/>
      <c r="C158" s="9"/>
      <c r="D158" s="9"/>
      <c r="E158" s="9"/>
      <c r="F158" s="254"/>
      <c r="G158" s="254"/>
      <c r="H158" s="254"/>
      <c r="I158" s="254"/>
      <c r="J158" s="132"/>
      <c r="K158" s="254"/>
      <c r="L158" s="254"/>
      <c r="M158" s="254"/>
      <c r="N158" s="254"/>
      <c r="O158" s="132"/>
      <c r="P158" s="254"/>
      <c r="Q158" s="254"/>
      <c r="R158" s="254"/>
      <c r="S158" s="254"/>
      <c r="T158" s="132"/>
      <c r="U158" s="254"/>
      <c r="V158" s="255"/>
      <c r="W158" s="255"/>
      <c r="X158" s="255"/>
      <c r="Y158" s="256"/>
      <c r="Z158" s="255"/>
      <c r="AA158" s="255"/>
      <c r="AB158" s="255"/>
      <c r="AC158" s="255"/>
      <c r="AD158" s="256"/>
      <c r="AE158" s="256"/>
      <c r="AF158" s="256"/>
      <c r="AG158" s="256"/>
      <c r="AH158" s="9"/>
      <c r="AI158" s="9"/>
      <c r="AJ158" s="9"/>
    </row>
    <row r="159" spans="1:36" ht="12.75" hidden="1" customHeight="1" outlineLevel="2" x14ac:dyDescent="0.25">
      <c r="A159" s="205" t="s">
        <v>0</v>
      </c>
      <c r="B159" s="9"/>
      <c r="C159" s="103" t="str">
        <f>C41</f>
        <v>Net Card Fees Revenue</v>
      </c>
      <c r="D159" s="9"/>
      <c r="E159" s="9"/>
      <c r="F159" s="252">
        <f t="shared" ref="F159:T159" si="253">F41</f>
        <v>1713</v>
      </c>
      <c r="G159" s="252">
        <f t="shared" si="253"/>
        <v>1789</v>
      </c>
      <c r="H159" s="252">
        <f t="shared" si="253"/>
        <v>1846</v>
      </c>
      <c r="I159" s="252">
        <f t="shared" si="253"/>
        <v>1907</v>
      </c>
      <c r="J159" s="227">
        <f t="shared" si="253"/>
        <v>7255</v>
      </c>
      <c r="K159" s="252">
        <f t="shared" si="253"/>
        <v>1974</v>
      </c>
      <c r="L159" s="252">
        <f t="shared" si="253"/>
        <v>2060</v>
      </c>
      <c r="M159" s="252">
        <f t="shared" si="253"/>
        <v>2170</v>
      </c>
      <c r="N159" s="252">
        <f t="shared" si="253"/>
        <v>2245</v>
      </c>
      <c r="O159" s="227">
        <f t="shared" si="253"/>
        <v>8449</v>
      </c>
      <c r="P159" s="252">
        <f t="shared" si="253"/>
        <v>2333</v>
      </c>
      <c r="Q159" s="252">
        <f t="shared" si="253"/>
        <v>2480</v>
      </c>
      <c r="R159" s="252">
        <f t="shared" si="253"/>
        <v>2551</v>
      </c>
      <c r="S159" s="252">
        <f t="shared" si="253"/>
        <v>2629</v>
      </c>
      <c r="T159" s="227">
        <f t="shared" si="253"/>
        <v>9993</v>
      </c>
      <c r="U159" s="252">
        <f t="shared" ref="U159" si="254">U41</f>
        <v>2752</v>
      </c>
      <c r="V159" s="226">
        <f t="shared" ref="V159:X159" si="255">V161/V166</f>
        <v>4890.4800000000005</v>
      </c>
      <c r="W159" s="226">
        <f t="shared" si="255"/>
        <v>5135.0040000000008</v>
      </c>
      <c r="X159" s="226">
        <f t="shared" si="255"/>
        <v>5391.7542000000012</v>
      </c>
      <c r="Y159" s="227">
        <f>SUM(U159:X159)</f>
        <v>18169.2382</v>
      </c>
      <c r="Z159" s="226">
        <f t="shared" ref="Z159:AC159" si="256">Z161/Z166</f>
        <v>5661.341910000001</v>
      </c>
      <c r="AA159" s="226">
        <f t="shared" si="256"/>
        <v>5944.4090055000015</v>
      </c>
      <c r="AB159" s="226">
        <f t="shared" si="256"/>
        <v>6241.6294557750025</v>
      </c>
      <c r="AC159" s="226">
        <f t="shared" si="256"/>
        <v>6553.7109285637516</v>
      </c>
      <c r="AD159" s="227">
        <f>SUM(Z159:AC159)</f>
        <v>24401.091299838758</v>
      </c>
      <c r="AE159" s="227">
        <f t="shared" ref="AE159:AG159" si="257">AE161/AE166</f>
        <v>25621.145864830698</v>
      </c>
      <c r="AF159" s="227">
        <f t="shared" si="257"/>
        <v>26902.203158072236</v>
      </c>
      <c r="AG159" s="227">
        <f t="shared" si="257"/>
        <v>28247.313315975851</v>
      </c>
      <c r="AH159" s="9"/>
      <c r="AI159" s="9"/>
      <c r="AJ159" s="9"/>
    </row>
    <row r="160" spans="1:36" ht="12.75" hidden="1" customHeight="1" outlineLevel="2" x14ac:dyDescent="0.25">
      <c r="A160" s="9"/>
      <c r="B160" s="9"/>
      <c r="C160" s="103" t="s">
        <v>239</v>
      </c>
      <c r="D160" s="9"/>
      <c r="E160" s="9"/>
      <c r="F160" s="260">
        <f>422982+632</f>
        <v>423614</v>
      </c>
      <c r="G160" s="260">
        <f>416576+282</f>
        <v>416858</v>
      </c>
      <c r="H160" s="260">
        <f>408756+219</f>
        <v>408975</v>
      </c>
      <c r="I160" s="260">
        <f>416198+160</f>
        <v>416358</v>
      </c>
      <c r="J160" s="261">
        <f>431408+216+J161-J159</f>
        <v>416358</v>
      </c>
      <c r="K160" s="260">
        <f>415086+1810</f>
        <v>416896</v>
      </c>
      <c r="L160" s="260">
        <f>423446+376</f>
        <v>423822</v>
      </c>
      <c r="M160" s="260">
        <v>412185</v>
      </c>
      <c r="N160" s="260">
        <v>421345</v>
      </c>
      <c r="O160" s="261">
        <f>J160+O161-O159</f>
        <v>421345</v>
      </c>
      <c r="P160" s="260">
        <v>415377</v>
      </c>
      <c r="Q160" s="260">
        <v>415723</v>
      </c>
      <c r="R160" s="260">
        <v>413064</v>
      </c>
      <c r="S160" s="260">
        <v>412307</v>
      </c>
      <c r="T160" s="261">
        <f>O160+T161-T159</f>
        <v>412307</v>
      </c>
      <c r="U160" s="260">
        <v>415377</v>
      </c>
      <c r="V160" s="262">
        <f t="shared" ref="V160" si="258">U160+V161-V159</f>
        <v>416599.62</v>
      </c>
      <c r="W160" s="262">
        <f t="shared" ref="W160" si="259">V160+W161-W159</f>
        <v>417883.37099999998</v>
      </c>
      <c r="X160" s="262">
        <f t="shared" ref="X160" si="260">W160+X161-X159</f>
        <v>419231.30954999995</v>
      </c>
      <c r="Y160" s="261">
        <f>T160+Y161-Y159</f>
        <v>419231.30955000001</v>
      </c>
      <c r="Z160" s="262">
        <f>X160+Z161-Z159</f>
        <v>420646.64502749994</v>
      </c>
      <c r="AA160" s="262">
        <f t="shared" ref="AA160:AC160" si="261">Z160+AA161-AA159</f>
        <v>422132.74727887491</v>
      </c>
      <c r="AB160" s="262">
        <f t="shared" si="261"/>
        <v>423693.15464281867</v>
      </c>
      <c r="AC160" s="262">
        <f t="shared" si="261"/>
        <v>425331.58237495966</v>
      </c>
      <c r="AD160" s="261">
        <f>Y160+AD161-AD159</f>
        <v>425331.58237495972</v>
      </c>
      <c r="AE160" s="261">
        <f t="shared" ref="AE160:AG160" si="262">AD160+AE161-AE159</f>
        <v>431736.86884116736</v>
      </c>
      <c r="AF160" s="261">
        <f t="shared" si="262"/>
        <v>438462.41963068541</v>
      </c>
      <c r="AG160" s="261">
        <f t="shared" si="262"/>
        <v>445524.2479596794</v>
      </c>
      <c r="AH160" s="9"/>
      <c r="AI160" s="9"/>
      <c r="AJ160" s="9"/>
    </row>
    <row r="161" spans="1:36" ht="12.75" hidden="1" customHeight="1" outlineLevel="2" x14ac:dyDescent="0.25">
      <c r="A161" s="9"/>
      <c r="B161" s="9"/>
      <c r="C161" s="103" t="s">
        <v>253</v>
      </c>
      <c r="D161" s="9"/>
      <c r="E161" s="9"/>
      <c r="F161" s="260">
        <f>F160+F159-(431408+216)</f>
        <v>-6297</v>
      </c>
      <c r="G161" s="260">
        <f t="shared" ref="G161:I161" si="263">G160+G159-F160</f>
        <v>-4967</v>
      </c>
      <c r="H161" s="260">
        <f t="shared" si="263"/>
        <v>-6037</v>
      </c>
      <c r="I161" s="260">
        <f t="shared" si="263"/>
        <v>9290</v>
      </c>
      <c r="J161" s="261">
        <f>SUM(F161:I161)</f>
        <v>-8011</v>
      </c>
      <c r="K161" s="260">
        <f t="shared" ref="K161:N161" si="264">K160+K159-J160</f>
        <v>2512</v>
      </c>
      <c r="L161" s="260">
        <f t="shared" si="264"/>
        <v>8986</v>
      </c>
      <c r="M161" s="260">
        <f t="shared" si="264"/>
        <v>-9467</v>
      </c>
      <c r="N161" s="260">
        <f t="shared" si="264"/>
        <v>11405</v>
      </c>
      <c r="O161" s="261">
        <f>SUM(K161:N161)</f>
        <v>13436</v>
      </c>
      <c r="P161" s="260">
        <f t="shared" ref="P161:U161" si="265">P160+P159-O160</f>
        <v>-3635</v>
      </c>
      <c r="Q161" s="260">
        <f t="shared" si="265"/>
        <v>2826</v>
      </c>
      <c r="R161" s="260">
        <f t="shared" si="265"/>
        <v>-108</v>
      </c>
      <c r="S161" s="260">
        <f t="shared" si="265"/>
        <v>1872</v>
      </c>
      <c r="T161" s="261">
        <f>SUM(P161:S161)</f>
        <v>955</v>
      </c>
      <c r="U161" s="260">
        <f t="shared" si="265"/>
        <v>5822</v>
      </c>
      <c r="V161" s="262">
        <f t="shared" ref="V161" si="266">U161*(1+V162)</f>
        <v>6113.1</v>
      </c>
      <c r="W161" s="262">
        <f t="shared" ref="W161" si="267">V161*(1+W162)</f>
        <v>6418.755000000001</v>
      </c>
      <c r="X161" s="262">
        <f t="shared" ref="X161" si="268">W161*(1+X162)</f>
        <v>6739.6927500000011</v>
      </c>
      <c r="Y161" s="261">
        <f>SUM(U161:X161)</f>
        <v>25093.547750000005</v>
      </c>
      <c r="Z161" s="262">
        <f>X161*(1+Z162)</f>
        <v>7076.6773875000017</v>
      </c>
      <c r="AA161" s="262">
        <f t="shared" ref="AA161:AC161" si="269">Z161*(1+AA162)</f>
        <v>7430.5112568750019</v>
      </c>
      <c r="AB161" s="262">
        <f t="shared" si="269"/>
        <v>7802.0368197187527</v>
      </c>
      <c r="AC161" s="262">
        <f t="shared" si="269"/>
        <v>8192.1386607046898</v>
      </c>
      <c r="AD161" s="261">
        <f>SUM(Z161:AC161)</f>
        <v>30501.364124798449</v>
      </c>
      <c r="AE161" s="261">
        <f t="shared" ref="AE161:AG161" si="270">AD161*(1+AE162)</f>
        <v>32026.432331038373</v>
      </c>
      <c r="AF161" s="261">
        <f t="shared" si="270"/>
        <v>33627.753947590296</v>
      </c>
      <c r="AG161" s="261">
        <f t="shared" si="270"/>
        <v>35309.141644969815</v>
      </c>
      <c r="AH161" s="9"/>
      <c r="AI161" s="9"/>
      <c r="AJ161" s="9"/>
    </row>
    <row r="162" spans="1:36" ht="12.75" hidden="1" customHeight="1" outlineLevel="2" x14ac:dyDescent="0.25">
      <c r="A162" s="9"/>
      <c r="B162" s="9"/>
      <c r="C162" s="84" t="s">
        <v>254</v>
      </c>
      <c r="D162" s="9"/>
      <c r="E162" s="9"/>
      <c r="F162" s="254"/>
      <c r="G162" s="253">
        <f t="shared" ref="G162:I162" si="271">IFERROR(G161/F161-1,"--")</f>
        <v>-0.21121168810544699</v>
      </c>
      <c r="H162" s="253">
        <f t="shared" si="271"/>
        <v>0.21542178377290111</v>
      </c>
      <c r="I162" s="253">
        <f t="shared" si="271"/>
        <v>-2.5388437965877091</v>
      </c>
      <c r="J162" s="132"/>
      <c r="K162" s="253">
        <f>IFERROR(K161/I161-1,"--")</f>
        <v>-0.72960172228202369</v>
      </c>
      <c r="L162" s="253">
        <f t="shared" ref="L162:N162" si="272">IFERROR(L161/K161-1,"--")</f>
        <v>2.5772292993630574</v>
      </c>
      <c r="M162" s="253">
        <f t="shared" si="272"/>
        <v>-2.0535277097707545</v>
      </c>
      <c r="N162" s="253">
        <f t="shared" si="272"/>
        <v>-2.2047111017217702</v>
      </c>
      <c r="O162" s="245">
        <f>IFERROR(O161/J161-1,"--")</f>
        <v>-2.6771938584446389</v>
      </c>
      <c r="P162" s="253">
        <f>IFERROR(P161/N161-1,"--")</f>
        <v>-1.3187198597106531</v>
      </c>
      <c r="Q162" s="253">
        <f t="shared" ref="Q162:S162" si="273">IFERROR(Q161/P161-1,"--")</f>
        <v>-1.7774415405777166</v>
      </c>
      <c r="R162" s="253">
        <f t="shared" si="273"/>
        <v>-1.0382165605095541</v>
      </c>
      <c r="S162" s="253">
        <f t="shared" si="273"/>
        <v>-18.333333333333332</v>
      </c>
      <c r="T162" s="245">
        <f>IFERROR(T161/O161-1,"--")</f>
        <v>-0.92892229830306638</v>
      </c>
      <c r="U162" s="253">
        <f>IFERROR(U161/S161-1,"--")</f>
        <v>2.1100427350427351</v>
      </c>
      <c r="V162" s="244">
        <f>IF(Case_Scenario="Bull",V163,IF(Case_Scenario="Base",V164,IF(Case_Scenario="bear",V165,"N/A")))</f>
        <v>0.05</v>
      </c>
      <c r="W162" s="244">
        <f>IF(Case_Scenario="Bull",W163,IF(Case_Scenario="Base",W164,IF(Case_Scenario="bear",W165,"N/A")))</f>
        <v>0.05</v>
      </c>
      <c r="X162" s="244">
        <f>IF(Case_Scenario="Bull",X163,IF(Case_Scenario="Base",X164,IF(Case_Scenario="bear",X165,"N/A")))</f>
        <v>0.05</v>
      </c>
      <c r="Y162" s="245"/>
      <c r="Z162" s="244">
        <f>IF(Case_Scenario="Bull",Z163,IF(Case_Scenario="Base",Z164,IF(Case_Scenario="bear",Z165,"N/A")))</f>
        <v>0.05</v>
      </c>
      <c r="AA162" s="244">
        <f>IF(Case_Scenario="Bull",AA163,IF(Case_Scenario="Base",AA164,IF(Case_Scenario="bear",AA165,"N/A")))</f>
        <v>0.05</v>
      </c>
      <c r="AB162" s="244">
        <f>IF(Case_Scenario="Bull",AB163,IF(Case_Scenario="Base",AB164,IF(Case_Scenario="bear",AB165,"N/A")))</f>
        <v>0.05</v>
      </c>
      <c r="AC162" s="244">
        <f>IF(Case_Scenario="Bull",AC163,IF(Case_Scenario="Base",AC164,IF(Case_Scenario="bear",AC165,"N/A")))</f>
        <v>0.05</v>
      </c>
      <c r="AD162" s="245"/>
      <c r="AE162" s="245">
        <f>IF(Case_Scenario="Bull",AE163,IF(Case_Scenario="Base",AE164,IF(Case_Scenario="bear",AE165,"N/A")))</f>
        <v>0.05</v>
      </c>
      <c r="AF162" s="245">
        <f>IF(Case_Scenario="Bull",AF163,IF(Case_Scenario="Base",AF164,IF(Case_Scenario="bear",AF165,"N/A")))</f>
        <v>0.05</v>
      </c>
      <c r="AG162" s="245">
        <f>IF(Case_Scenario="Bull",AG163,IF(Case_Scenario="Base",AG164,IF(Case_Scenario="bear",AG165,"N/A")))</f>
        <v>0.05</v>
      </c>
      <c r="AH162" s="9"/>
      <c r="AI162" s="9"/>
      <c r="AJ162" s="9"/>
    </row>
    <row r="163" spans="1:36" ht="12.75" hidden="1" customHeight="1" outlineLevel="2" x14ac:dyDescent="0.25">
      <c r="A163" s="9"/>
      <c r="B163" s="9"/>
      <c r="C163" s="103" t="s">
        <v>246</v>
      </c>
      <c r="D163" s="9"/>
      <c r="E163" s="9"/>
      <c r="F163" s="254"/>
      <c r="G163" s="254"/>
      <c r="H163" s="254"/>
      <c r="I163" s="254"/>
      <c r="J163" s="132"/>
      <c r="K163" s="254"/>
      <c r="L163" s="254"/>
      <c r="M163" s="254"/>
      <c r="N163" s="254"/>
      <c r="O163" s="132"/>
      <c r="P163" s="254"/>
      <c r="Q163" s="254"/>
      <c r="R163" s="254"/>
      <c r="S163" s="254"/>
      <c r="T163" s="132"/>
      <c r="U163" s="254"/>
      <c r="V163" s="255">
        <v>0.1</v>
      </c>
      <c r="W163" s="255">
        <v>0.1</v>
      </c>
      <c r="X163" s="255">
        <v>0.1</v>
      </c>
      <c r="Y163" s="256"/>
      <c r="Z163" s="255">
        <v>0.1</v>
      </c>
      <c r="AA163" s="255">
        <v>0.1</v>
      </c>
      <c r="AB163" s="255">
        <v>0.1</v>
      </c>
      <c r="AC163" s="255">
        <v>0.1</v>
      </c>
      <c r="AD163" s="256"/>
      <c r="AE163" s="256">
        <v>0.1</v>
      </c>
      <c r="AF163" s="256">
        <v>0.1</v>
      </c>
      <c r="AG163" s="256">
        <v>0.1</v>
      </c>
      <c r="AH163" s="9"/>
      <c r="AI163" s="9"/>
      <c r="AJ163" s="9"/>
    </row>
    <row r="164" spans="1:36" ht="12.75" hidden="1" customHeight="1" outlineLevel="2" x14ac:dyDescent="0.25">
      <c r="A164" s="9"/>
      <c r="B164" s="9"/>
      <c r="C164" s="103" t="s">
        <v>247</v>
      </c>
      <c r="D164" s="9"/>
      <c r="E164" s="9"/>
      <c r="F164" s="254"/>
      <c r="G164" s="254"/>
      <c r="H164" s="254"/>
      <c r="I164" s="254"/>
      <c r="J164" s="132"/>
      <c r="K164" s="254"/>
      <c r="L164" s="254"/>
      <c r="M164" s="254"/>
      <c r="N164" s="254"/>
      <c r="O164" s="132"/>
      <c r="P164" s="254"/>
      <c r="Q164" s="254"/>
      <c r="R164" s="254"/>
      <c r="S164" s="254"/>
      <c r="T164" s="132"/>
      <c r="U164" s="254"/>
      <c r="V164" s="255">
        <v>0.05</v>
      </c>
      <c r="W164" s="255">
        <v>0.05</v>
      </c>
      <c r="X164" s="255">
        <v>0.05</v>
      </c>
      <c r="Y164" s="256"/>
      <c r="Z164" s="255">
        <v>0.05</v>
      </c>
      <c r="AA164" s="255">
        <v>0.05</v>
      </c>
      <c r="AB164" s="255">
        <v>0.05</v>
      </c>
      <c r="AC164" s="255">
        <v>0.05</v>
      </c>
      <c r="AD164" s="256"/>
      <c r="AE164" s="256">
        <v>0.05</v>
      </c>
      <c r="AF164" s="256">
        <v>0.05</v>
      </c>
      <c r="AG164" s="256">
        <v>0.05</v>
      </c>
      <c r="AH164" s="9"/>
      <c r="AI164" s="9"/>
      <c r="AJ164" s="9"/>
    </row>
    <row r="165" spans="1:36" ht="12.75" hidden="1" customHeight="1" outlineLevel="2" x14ac:dyDescent="0.25">
      <c r="A165" s="9"/>
      <c r="B165" s="9"/>
      <c r="C165" s="103" t="s">
        <v>248</v>
      </c>
      <c r="D165" s="9"/>
      <c r="E165" s="9"/>
      <c r="F165" s="254"/>
      <c r="G165" s="254"/>
      <c r="H165" s="254"/>
      <c r="I165" s="254"/>
      <c r="J165" s="132"/>
      <c r="K165" s="254"/>
      <c r="L165" s="254"/>
      <c r="M165" s="254"/>
      <c r="N165" s="254"/>
      <c r="O165" s="132"/>
      <c r="P165" s="254"/>
      <c r="Q165" s="254"/>
      <c r="R165" s="254"/>
      <c r="S165" s="254"/>
      <c r="T165" s="132"/>
      <c r="U165" s="254"/>
      <c r="V165" s="255">
        <v>0</v>
      </c>
      <c r="W165" s="255">
        <v>0</v>
      </c>
      <c r="X165" s="255">
        <v>0</v>
      </c>
      <c r="Y165" s="256"/>
      <c r="Z165" s="255">
        <v>0</v>
      </c>
      <c r="AA165" s="255">
        <v>0</v>
      </c>
      <c r="AB165" s="255">
        <v>0</v>
      </c>
      <c r="AC165" s="255">
        <v>0</v>
      </c>
      <c r="AD165" s="256"/>
      <c r="AE165" s="256">
        <v>0</v>
      </c>
      <c r="AF165" s="256">
        <v>0</v>
      </c>
      <c r="AG165" s="256">
        <v>0</v>
      </c>
      <c r="AH165" s="9"/>
      <c r="AI165" s="9"/>
      <c r="AJ165" s="9"/>
    </row>
    <row r="166" spans="1:36" ht="12.75" hidden="1" customHeight="1" outlineLevel="2" x14ac:dyDescent="0.25">
      <c r="A166" s="9"/>
      <c r="B166" s="9"/>
      <c r="C166" s="103" t="s">
        <v>255</v>
      </c>
      <c r="D166" s="9"/>
      <c r="E166" s="9"/>
      <c r="F166" s="274">
        <f t="shared" ref="F166:T166" si="274">F161/F159</f>
        <v>-3.6760070052539406</v>
      </c>
      <c r="G166" s="274">
        <f t="shared" si="274"/>
        <v>-2.7764114030184461</v>
      </c>
      <c r="H166" s="274">
        <f t="shared" si="274"/>
        <v>-3.2703141928494039</v>
      </c>
      <c r="I166" s="274">
        <f t="shared" si="274"/>
        <v>4.8715259570005243</v>
      </c>
      <c r="J166" s="275">
        <f t="shared" si="274"/>
        <v>-1.1042039972432804</v>
      </c>
      <c r="K166" s="274">
        <f t="shared" si="274"/>
        <v>1.2725430597771024</v>
      </c>
      <c r="L166" s="274">
        <f t="shared" si="274"/>
        <v>4.3621359223300971</v>
      </c>
      <c r="M166" s="274">
        <f t="shared" si="274"/>
        <v>-4.362672811059908</v>
      </c>
      <c r="N166" s="274">
        <f t="shared" si="274"/>
        <v>5.0801781737193767</v>
      </c>
      <c r="O166" s="275">
        <f t="shared" si="274"/>
        <v>1.5902473665522547</v>
      </c>
      <c r="P166" s="274">
        <f t="shared" si="274"/>
        <v>-1.5580797256750964</v>
      </c>
      <c r="Q166" s="274">
        <f t="shared" si="274"/>
        <v>1.139516129032258</v>
      </c>
      <c r="R166" s="274">
        <f t="shared" si="274"/>
        <v>-4.2336338690709525E-2</v>
      </c>
      <c r="S166" s="274">
        <f t="shared" si="274"/>
        <v>0.71205781666032708</v>
      </c>
      <c r="T166" s="275">
        <f t="shared" si="274"/>
        <v>9.5566896827779441E-2</v>
      </c>
      <c r="U166" s="274">
        <f t="shared" ref="U166" si="275">U161/U159</f>
        <v>2.1155523255813953</v>
      </c>
      <c r="V166" s="269">
        <f>IF(Case_Scenario="Bull",V167,IF(Case_Scenario="Base",V168,IF(Case_Scenario="bear",V169,"N/A")))</f>
        <v>1.25</v>
      </c>
      <c r="W166" s="269">
        <f>IF(Case_Scenario="Bull",W167,IF(Case_Scenario="Base",W168,IF(Case_Scenario="bear",W169,"N/A")))</f>
        <v>1.25</v>
      </c>
      <c r="X166" s="269">
        <f>IF(Case_Scenario="Bull",X167,IF(Case_Scenario="Base",X168,IF(Case_Scenario="bear",X169,"N/A")))</f>
        <v>1.25</v>
      </c>
      <c r="Y166" s="268">
        <f>AVERAGE(U166:X166)</f>
        <v>1.4663880813953489</v>
      </c>
      <c r="Z166" s="269">
        <f>IF(Case_Scenario="Bull",Z167,IF(Case_Scenario="Base",Z168,IF(Case_Scenario="bear",Z169,"N/A")))</f>
        <v>1.25</v>
      </c>
      <c r="AA166" s="269">
        <f>IF(Case_Scenario="Bull",AA167,IF(Case_Scenario="Base",AA168,IF(Case_Scenario="bear",AA169,"N/A")))</f>
        <v>1.25</v>
      </c>
      <c r="AB166" s="269">
        <f>IF(Case_Scenario="Bull",AB167,IF(Case_Scenario="Base",AB168,IF(Case_Scenario="bear",AB169,"N/A")))</f>
        <v>1.25</v>
      </c>
      <c r="AC166" s="269">
        <f>IF(Case_Scenario="Bull",AC167,IF(Case_Scenario="Base",AC168,IF(Case_Scenario="bear",AC169,"N/A")))</f>
        <v>1.25</v>
      </c>
      <c r="AD166" s="268">
        <f>AVERAGE(Z166:AC166)</f>
        <v>1.25</v>
      </c>
      <c r="AE166" s="268">
        <f>IF(Case_Scenario="Bull",AE167,IF(Case_Scenario="Base",AE168,IF(Case_Scenario="bear",AE169,"N/A")))</f>
        <v>1.25</v>
      </c>
      <c r="AF166" s="268">
        <f>IF(Case_Scenario="Bull",AF167,IF(Case_Scenario="Base",AF168,IF(Case_Scenario="bear",AF169,"N/A")))</f>
        <v>1.25</v>
      </c>
      <c r="AG166" s="268">
        <f>IF(Case_Scenario="Bull",AG167,IF(Case_Scenario="Base",AG168,IF(Case_Scenario="bear",AG169,"N/A")))</f>
        <v>1.25</v>
      </c>
      <c r="AH166" s="9"/>
      <c r="AI166" s="9"/>
      <c r="AJ166" s="9"/>
    </row>
    <row r="167" spans="1:36" ht="12.75" hidden="1" customHeight="1" outlineLevel="2" x14ac:dyDescent="0.25">
      <c r="A167" s="9"/>
      <c r="B167" s="9"/>
      <c r="C167" s="103" t="s">
        <v>246</v>
      </c>
      <c r="D167" s="9"/>
      <c r="E167" s="9"/>
      <c r="F167" s="254"/>
      <c r="G167" s="253"/>
      <c r="H167" s="253"/>
      <c r="I167" s="253"/>
      <c r="J167" s="132"/>
      <c r="K167" s="253"/>
      <c r="L167" s="253"/>
      <c r="M167" s="253"/>
      <c r="N167" s="253"/>
      <c r="O167" s="245"/>
      <c r="P167" s="253"/>
      <c r="Q167" s="253"/>
      <c r="R167" s="253"/>
      <c r="S167" s="253"/>
      <c r="T167" s="245"/>
      <c r="U167" s="253"/>
      <c r="V167" s="272">
        <v>1</v>
      </c>
      <c r="W167" s="272">
        <v>1</v>
      </c>
      <c r="X167" s="272">
        <v>1</v>
      </c>
      <c r="Y167" s="273"/>
      <c r="Z167" s="272">
        <v>1</v>
      </c>
      <c r="AA167" s="272">
        <v>1</v>
      </c>
      <c r="AB167" s="272">
        <v>1</v>
      </c>
      <c r="AC167" s="272">
        <v>1</v>
      </c>
      <c r="AD167" s="273"/>
      <c r="AE167" s="273">
        <v>1</v>
      </c>
      <c r="AF167" s="273">
        <v>1</v>
      </c>
      <c r="AG167" s="273">
        <v>1</v>
      </c>
      <c r="AH167" s="9"/>
      <c r="AI167" s="9"/>
      <c r="AJ167" s="9"/>
    </row>
    <row r="168" spans="1:36" ht="12.75" hidden="1" customHeight="1" outlineLevel="2" x14ac:dyDescent="0.25">
      <c r="A168" s="9"/>
      <c r="B168" s="9"/>
      <c r="C168" s="103" t="s">
        <v>247</v>
      </c>
      <c r="D168" s="9"/>
      <c r="E168" s="9"/>
      <c r="F168" s="254"/>
      <c r="G168" s="254"/>
      <c r="H168" s="254"/>
      <c r="I168" s="254"/>
      <c r="J168" s="132"/>
      <c r="K168" s="254"/>
      <c r="L168" s="254"/>
      <c r="M168" s="254"/>
      <c r="N168" s="254"/>
      <c r="O168" s="132"/>
      <c r="P168" s="254"/>
      <c r="Q168" s="254"/>
      <c r="R168" s="254"/>
      <c r="S168" s="254"/>
      <c r="T168" s="132"/>
      <c r="U168" s="254"/>
      <c r="V168" s="272">
        <v>1.25</v>
      </c>
      <c r="W168" s="272">
        <v>1.25</v>
      </c>
      <c r="X168" s="272">
        <v>1.25</v>
      </c>
      <c r="Y168" s="273"/>
      <c r="Z168" s="272">
        <v>1.25</v>
      </c>
      <c r="AA168" s="272">
        <v>1.25</v>
      </c>
      <c r="AB168" s="272">
        <v>1.25</v>
      </c>
      <c r="AC168" s="272">
        <v>1.25</v>
      </c>
      <c r="AD168" s="273"/>
      <c r="AE168" s="273">
        <v>1.25</v>
      </c>
      <c r="AF168" s="273">
        <v>1.25</v>
      </c>
      <c r="AG168" s="273">
        <v>1.25</v>
      </c>
      <c r="AH168" s="9"/>
      <c r="AI168" s="9"/>
      <c r="AJ168" s="9"/>
    </row>
    <row r="169" spans="1:36" ht="12.75" hidden="1" customHeight="1" outlineLevel="2" x14ac:dyDescent="0.25">
      <c r="A169" s="9"/>
      <c r="B169" s="9"/>
      <c r="C169" s="103" t="s">
        <v>248</v>
      </c>
      <c r="D169" s="9"/>
      <c r="E169" s="9"/>
      <c r="F169" s="254"/>
      <c r="G169" s="254"/>
      <c r="H169" s="254"/>
      <c r="I169" s="254"/>
      <c r="J169" s="132"/>
      <c r="K169" s="254"/>
      <c r="L169" s="254"/>
      <c r="M169" s="254"/>
      <c r="N169" s="254"/>
      <c r="O169" s="132"/>
      <c r="P169" s="254"/>
      <c r="Q169" s="254"/>
      <c r="R169" s="254"/>
      <c r="S169" s="254"/>
      <c r="T169" s="132"/>
      <c r="U169" s="254"/>
      <c r="V169" s="272">
        <v>1.5</v>
      </c>
      <c r="W169" s="272">
        <v>1.5</v>
      </c>
      <c r="X169" s="272">
        <v>1.5</v>
      </c>
      <c r="Y169" s="273"/>
      <c r="Z169" s="272">
        <v>1.5</v>
      </c>
      <c r="AA169" s="272">
        <v>1.5</v>
      </c>
      <c r="AB169" s="272">
        <v>1.5</v>
      </c>
      <c r="AC169" s="272">
        <v>1.5</v>
      </c>
      <c r="AD169" s="273"/>
      <c r="AE169" s="273">
        <v>1.5</v>
      </c>
      <c r="AF169" s="273">
        <v>1.5</v>
      </c>
      <c r="AG169" s="273">
        <v>1.5</v>
      </c>
      <c r="AH169" s="9"/>
      <c r="AI169" s="9"/>
      <c r="AJ169" s="9"/>
    </row>
    <row r="170" spans="1:36" ht="12.75" hidden="1" customHeight="1" outlineLevel="2" x14ac:dyDescent="0.25">
      <c r="A170" s="9"/>
      <c r="B170" s="9"/>
      <c r="C170" s="9"/>
      <c r="D170" s="9"/>
      <c r="E170" s="9"/>
      <c r="F170" s="254"/>
      <c r="G170" s="254"/>
      <c r="H170" s="254"/>
      <c r="I170" s="254"/>
      <c r="J170" s="132"/>
      <c r="K170" s="254"/>
      <c r="L170" s="254"/>
      <c r="M170" s="254"/>
      <c r="N170" s="254"/>
      <c r="O170" s="132"/>
      <c r="P170" s="254"/>
      <c r="Q170" s="254"/>
      <c r="R170" s="254"/>
      <c r="S170" s="254"/>
      <c r="T170" s="132"/>
      <c r="U170" s="254"/>
      <c r="V170" s="255"/>
      <c r="W170" s="255"/>
      <c r="X170" s="255"/>
      <c r="Y170" s="256"/>
      <c r="Z170" s="255"/>
      <c r="AA170" s="255"/>
      <c r="AB170" s="255"/>
      <c r="AC170" s="255"/>
      <c r="AD170" s="256"/>
      <c r="AE170" s="256"/>
      <c r="AF170" s="256"/>
      <c r="AG170" s="256"/>
      <c r="AH170" s="9"/>
      <c r="AI170" s="9"/>
      <c r="AJ170" s="9"/>
    </row>
    <row r="171" spans="1:36" ht="12.75" hidden="1" customHeight="1" outlineLevel="2" x14ac:dyDescent="0.25">
      <c r="A171" s="205" t="s">
        <v>0</v>
      </c>
      <c r="B171" s="9"/>
      <c r="C171" s="103" t="str">
        <f>C45</f>
        <v>Service Fees and Other Revenue</v>
      </c>
      <c r="D171" s="9"/>
      <c r="E171" s="9"/>
      <c r="F171" s="252">
        <f t="shared" ref="F171:T171" si="276">F53</f>
        <v>0</v>
      </c>
      <c r="G171" s="252">
        <f t="shared" si="276"/>
        <v>0</v>
      </c>
      <c r="H171" s="252">
        <f t="shared" si="276"/>
        <v>0</v>
      </c>
      <c r="I171" s="252">
        <f t="shared" si="276"/>
        <v>0</v>
      </c>
      <c r="J171" s="227">
        <f t="shared" si="276"/>
        <v>0</v>
      </c>
      <c r="K171" s="252">
        <f t="shared" si="276"/>
        <v>0</v>
      </c>
      <c r="L171" s="252">
        <f t="shared" si="276"/>
        <v>0</v>
      </c>
      <c r="M171" s="252">
        <f t="shared" si="276"/>
        <v>0</v>
      </c>
      <c r="N171" s="252">
        <f t="shared" si="276"/>
        <v>0</v>
      </c>
      <c r="O171" s="227">
        <f t="shared" si="276"/>
        <v>0</v>
      </c>
      <c r="P171" s="252">
        <f t="shared" si="276"/>
        <v>0</v>
      </c>
      <c r="Q171" s="252">
        <f t="shared" si="276"/>
        <v>0</v>
      </c>
      <c r="R171" s="252">
        <f t="shared" si="276"/>
        <v>0</v>
      </c>
      <c r="S171" s="252">
        <f t="shared" si="276"/>
        <v>0</v>
      </c>
      <c r="T171" s="227">
        <f t="shared" si="276"/>
        <v>0</v>
      </c>
      <c r="U171" s="252">
        <f t="shared" ref="U171" si="277">U53</f>
        <v>0</v>
      </c>
      <c r="V171" s="226">
        <f t="shared" ref="V171:X171" si="278">V173/V178</f>
        <v>0</v>
      </c>
      <c r="W171" s="226">
        <f t="shared" si="278"/>
        <v>0</v>
      </c>
      <c r="X171" s="226">
        <f t="shared" si="278"/>
        <v>0</v>
      </c>
      <c r="Y171" s="227">
        <f>SUM(U171:X171)</f>
        <v>0</v>
      </c>
      <c r="Z171" s="226">
        <f t="shared" ref="Z171:AC171" si="279">Z173/Z178</f>
        <v>0</v>
      </c>
      <c r="AA171" s="226">
        <f t="shared" si="279"/>
        <v>0</v>
      </c>
      <c r="AB171" s="226">
        <f t="shared" si="279"/>
        <v>0</v>
      </c>
      <c r="AC171" s="226">
        <f t="shared" si="279"/>
        <v>0</v>
      </c>
      <c r="AD171" s="227">
        <f>SUM(Z171:AC171)</f>
        <v>0</v>
      </c>
      <c r="AE171" s="227">
        <f t="shared" ref="AE171:AG171" si="280">AE173/AE178</f>
        <v>0</v>
      </c>
      <c r="AF171" s="227">
        <f t="shared" si="280"/>
        <v>0</v>
      </c>
      <c r="AG171" s="227">
        <f t="shared" si="280"/>
        <v>0</v>
      </c>
      <c r="AH171" s="9"/>
      <c r="AI171" s="9"/>
      <c r="AJ171" s="9"/>
    </row>
    <row r="172" spans="1:36" ht="12.75" hidden="1" customHeight="1" outlineLevel="2" x14ac:dyDescent="0.25">
      <c r="A172" s="9"/>
      <c r="B172" s="9"/>
      <c r="C172" s="103" t="s">
        <v>239</v>
      </c>
      <c r="D172" s="9"/>
      <c r="E172" s="9"/>
      <c r="F172" s="260">
        <v>0</v>
      </c>
      <c r="G172" s="260">
        <v>0</v>
      </c>
      <c r="H172" s="260">
        <v>0</v>
      </c>
      <c r="I172" s="260">
        <v>0</v>
      </c>
      <c r="J172" s="261">
        <v>0</v>
      </c>
      <c r="K172" s="260">
        <v>0</v>
      </c>
      <c r="L172" s="260">
        <v>0</v>
      </c>
      <c r="M172" s="260">
        <v>0</v>
      </c>
      <c r="N172" s="260">
        <v>0</v>
      </c>
      <c r="O172" s="261">
        <v>0</v>
      </c>
      <c r="P172" s="260">
        <v>0</v>
      </c>
      <c r="Q172" s="260">
        <v>0</v>
      </c>
      <c r="R172" s="260">
        <v>0</v>
      </c>
      <c r="S172" s="260">
        <v>0</v>
      </c>
      <c r="T172" s="261">
        <v>0</v>
      </c>
      <c r="U172" s="260">
        <v>0</v>
      </c>
      <c r="V172" s="262">
        <f t="shared" ref="V172" si="281">U172+V173-V171</f>
        <v>0</v>
      </c>
      <c r="W172" s="262">
        <f t="shared" ref="W172" si="282">V172+W173-W171</f>
        <v>0</v>
      </c>
      <c r="X172" s="262">
        <f t="shared" ref="X172" si="283">W172+X173-X171</f>
        <v>0</v>
      </c>
      <c r="Y172" s="261">
        <f>T172+Y173-Y171</f>
        <v>0</v>
      </c>
      <c r="Z172" s="262">
        <f>X172+Z173-Z171</f>
        <v>0</v>
      </c>
      <c r="AA172" s="262">
        <f t="shared" ref="AA172:AC172" si="284">Z172+AA173-AA171</f>
        <v>0</v>
      </c>
      <c r="AB172" s="262">
        <f t="shared" si="284"/>
        <v>0</v>
      </c>
      <c r="AC172" s="262">
        <f t="shared" si="284"/>
        <v>0</v>
      </c>
      <c r="AD172" s="261">
        <f>Y172+AD173-AD171</f>
        <v>0</v>
      </c>
      <c r="AE172" s="261">
        <f t="shared" ref="AE172:AG172" si="285">AD172+AE173-AE171</f>
        <v>0</v>
      </c>
      <c r="AF172" s="261">
        <f t="shared" si="285"/>
        <v>0</v>
      </c>
      <c r="AG172" s="261">
        <f t="shared" si="285"/>
        <v>0</v>
      </c>
      <c r="AH172" s="9"/>
      <c r="AI172" s="9"/>
      <c r="AJ172" s="9"/>
    </row>
    <row r="173" spans="1:36" ht="12.75" hidden="1" customHeight="1" outlineLevel="2" x14ac:dyDescent="0.25">
      <c r="A173" s="9"/>
      <c r="B173" s="9"/>
      <c r="C173" s="103" t="s">
        <v>253</v>
      </c>
      <c r="D173" s="9"/>
      <c r="E173" s="9"/>
      <c r="F173" s="260">
        <f>F172+F171-(0)</f>
        <v>0</v>
      </c>
      <c r="G173" s="260">
        <f t="shared" ref="G173:I173" si="286">G172+G171-F172</f>
        <v>0</v>
      </c>
      <c r="H173" s="260">
        <f t="shared" si="286"/>
        <v>0</v>
      </c>
      <c r="I173" s="260">
        <f t="shared" si="286"/>
        <v>0</v>
      </c>
      <c r="J173" s="261">
        <f>SUM(F173:I173)</f>
        <v>0</v>
      </c>
      <c r="K173" s="260">
        <f t="shared" ref="K173:N173" si="287">K172+K171-J172</f>
        <v>0</v>
      </c>
      <c r="L173" s="260">
        <f t="shared" si="287"/>
        <v>0</v>
      </c>
      <c r="M173" s="260">
        <f t="shared" si="287"/>
        <v>0</v>
      </c>
      <c r="N173" s="260">
        <f t="shared" si="287"/>
        <v>0</v>
      </c>
      <c r="O173" s="261">
        <f>SUM(K173:N173)</f>
        <v>0</v>
      </c>
      <c r="P173" s="260">
        <f t="shared" ref="P173:U173" si="288">P172+P171-O172</f>
        <v>0</v>
      </c>
      <c r="Q173" s="260">
        <f t="shared" si="288"/>
        <v>0</v>
      </c>
      <c r="R173" s="260">
        <f t="shared" si="288"/>
        <v>0</v>
      </c>
      <c r="S173" s="260">
        <f t="shared" si="288"/>
        <v>0</v>
      </c>
      <c r="T173" s="261">
        <f>SUM(P173:S173)</f>
        <v>0</v>
      </c>
      <c r="U173" s="260">
        <f t="shared" si="288"/>
        <v>0</v>
      </c>
      <c r="V173" s="262">
        <f t="shared" ref="V173" si="289">U173*(1+V174)</f>
        <v>0</v>
      </c>
      <c r="W173" s="262">
        <f t="shared" ref="W173" si="290">V173*(1+W174)</f>
        <v>0</v>
      </c>
      <c r="X173" s="262">
        <f t="shared" ref="X173" si="291">W173*(1+X174)</f>
        <v>0</v>
      </c>
      <c r="Y173" s="261">
        <f>SUM(U173:X173)</f>
        <v>0</v>
      </c>
      <c r="Z173" s="262">
        <f>X173*(1+Z174)</f>
        <v>0</v>
      </c>
      <c r="AA173" s="262">
        <f t="shared" ref="AA173:AC173" si="292">Z173*(1+AA174)</f>
        <v>0</v>
      </c>
      <c r="AB173" s="262">
        <f t="shared" si="292"/>
        <v>0</v>
      </c>
      <c r="AC173" s="262">
        <f t="shared" si="292"/>
        <v>0</v>
      </c>
      <c r="AD173" s="261">
        <f>SUM(Z173:AC173)</f>
        <v>0</v>
      </c>
      <c r="AE173" s="261">
        <f t="shared" ref="AE173:AG173" si="293">AD173*(1+AE174)</f>
        <v>0</v>
      </c>
      <c r="AF173" s="261">
        <f t="shared" si="293"/>
        <v>0</v>
      </c>
      <c r="AG173" s="261">
        <f t="shared" si="293"/>
        <v>0</v>
      </c>
      <c r="AH173" s="9"/>
      <c r="AI173" s="9"/>
      <c r="AJ173" s="9"/>
    </row>
    <row r="174" spans="1:36" ht="12.75" hidden="1" customHeight="1" outlineLevel="2" x14ac:dyDescent="0.25">
      <c r="A174" s="9"/>
      <c r="B174" s="9"/>
      <c r="C174" s="84" t="s">
        <v>254</v>
      </c>
      <c r="D174" s="9"/>
      <c r="E174" s="9"/>
      <c r="F174" s="254"/>
      <c r="G174" s="253" t="str">
        <f t="shared" ref="G174:I174" si="294">IFERROR(G173/F173-1,"--")</f>
        <v>--</v>
      </c>
      <c r="H174" s="253" t="str">
        <f t="shared" si="294"/>
        <v>--</v>
      </c>
      <c r="I174" s="253" t="str">
        <f t="shared" si="294"/>
        <v>--</v>
      </c>
      <c r="J174" s="132"/>
      <c r="K174" s="253" t="str">
        <f>IFERROR(K173/I173-1,"--")</f>
        <v>--</v>
      </c>
      <c r="L174" s="253" t="str">
        <f t="shared" ref="L174:N174" si="295">IFERROR(L173/K173-1,"--")</f>
        <v>--</v>
      </c>
      <c r="M174" s="253" t="str">
        <f t="shared" si="295"/>
        <v>--</v>
      </c>
      <c r="N174" s="253" t="str">
        <f t="shared" si="295"/>
        <v>--</v>
      </c>
      <c r="O174" s="245" t="str">
        <f>IFERROR(O173/J173-1,"--")</f>
        <v>--</v>
      </c>
      <c r="P174" s="253" t="str">
        <f>IFERROR(P173/N173-1,"--")</f>
        <v>--</v>
      </c>
      <c r="Q174" s="253" t="str">
        <f t="shared" ref="Q174:S174" si="296">IFERROR(Q173/P173-1,"--")</f>
        <v>--</v>
      </c>
      <c r="R174" s="253" t="str">
        <f t="shared" si="296"/>
        <v>--</v>
      </c>
      <c r="S174" s="253" t="str">
        <f t="shared" si="296"/>
        <v>--</v>
      </c>
      <c r="T174" s="245" t="str">
        <f>IFERROR(T173/O173-1,"--")</f>
        <v>--</v>
      </c>
      <c r="U174" s="253" t="str">
        <f>IFERROR(U173/S173-1,"--")</f>
        <v>--</v>
      </c>
      <c r="V174" s="244">
        <f>IF(Case_Scenario="Bull",V175,IF(Case_Scenario="Base",V176,IF(Case_Scenario="bear",V177,"N/A")))</f>
        <v>0.05</v>
      </c>
      <c r="W174" s="244">
        <f>IF(Case_Scenario="Bull",W175,IF(Case_Scenario="Base",W176,IF(Case_Scenario="bear",W177,"N/A")))</f>
        <v>0.05</v>
      </c>
      <c r="X174" s="244">
        <f>IF(Case_Scenario="Bull",X175,IF(Case_Scenario="Base",X176,IF(Case_Scenario="bear",X177,"N/A")))</f>
        <v>0.05</v>
      </c>
      <c r="Y174" s="245"/>
      <c r="Z174" s="244">
        <f>IF(Case_Scenario="Bull",Z175,IF(Case_Scenario="Base",Z176,IF(Case_Scenario="bear",Z177,"N/A")))</f>
        <v>0.05</v>
      </c>
      <c r="AA174" s="244">
        <f>IF(Case_Scenario="Bull",AA175,IF(Case_Scenario="Base",AA176,IF(Case_Scenario="bear",AA177,"N/A")))</f>
        <v>0.05</v>
      </c>
      <c r="AB174" s="244">
        <f>IF(Case_Scenario="Bull",AB175,IF(Case_Scenario="Base",AB176,IF(Case_Scenario="bear",AB177,"N/A")))</f>
        <v>0.05</v>
      </c>
      <c r="AC174" s="244">
        <f>IF(Case_Scenario="Bull",AC175,IF(Case_Scenario="Base",AC176,IF(Case_Scenario="bear",AC177,"N/A")))</f>
        <v>0.05</v>
      </c>
      <c r="AD174" s="245"/>
      <c r="AE174" s="245">
        <f>IF(Case_Scenario="Bull",AE175,IF(Case_Scenario="Base",AE176,IF(Case_Scenario="bear",AE177,"N/A")))</f>
        <v>0.05</v>
      </c>
      <c r="AF174" s="245">
        <f>IF(Case_Scenario="Bull",AF175,IF(Case_Scenario="Base",AF176,IF(Case_Scenario="bear",AF177,"N/A")))</f>
        <v>0.05</v>
      </c>
      <c r="AG174" s="245">
        <f>IF(Case_Scenario="Bull",AG175,IF(Case_Scenario="Base",AG176,IF(Case_Scenario="bear",AG177,"N/A")))</f>
        <v>0.05</v>
      </c>
      <c r="AH174" s="9"/>
      <c r="AI174" s="9"/>
      <c r="AJ174" s="9"/>
    </row>
    <row r="175" spans="1:36" ht="12.75" hidden="1" customHeight="1" outlineLevel="2" x14ac:dyDescent="0.25">
      <c r="A175" s="9"/>
      <c r="B175" s="9"/>
      <c r="C175" s="103" t="s">
        <v>246</v>
      </c>
      <c r="D175" s="9"/>
      <c r="E175" s="9"/>
      <c r="F175" s="254"/>
      <c r="G175" s="254"/>
      <c r="H175" s="254"/>
      <c r="I175" s="254"/>
      <c r="J175" s="132"/>
      <c r="K175" s="254"/>
      <c r="L175" s="254"/>
      <c r="M175" s="254"/>
      <c r="N175" s="254"/>
      <c r="O175" s="132"/>
      <c r="P175" s="254"/>
      <c r="Q175" s="254"/>
      <c r="R175" s="254"/>
      <c r="S175" s="254"/>
      <c r="T175" s="132"/>
      <c r="U175" s="254"/>
      <c r="V175" s="255">
        <v>0.1</v>
      </c>
      <c r="W175" s="255">
        <v>0.1</v>
      </c>
      <c r="X175" s="255">
        <v>0.1</v>
      </c>
      <c r="Y175" s="256"/>
      <c r="Z175" s="255">
        <v>0.1</v>
      </c>
      <c r="AA175" s="255">
        <v>0.1</v>
      </c>
      <c r="AB175" s="255">
        <v>0.1</v>
      </c>
      <c r="AC175" s="255">
        <v>0.1</v>
      </c>
      <c r="AD175" s="256"/>
      <c r="AE175" s="256">
        <v>0.1</v>
      </c>
      <c r="AF175" s="256">
        <v>0.1</v>
      </c>
      <c r="AG175" s="256">
        <v>0.1</v>
      </c>
      <c r="AH175" s="9"/>
      <c r="AI175" s="9"/>
      <c r="AJ175" s="9"/>
    </row>
    <row r="176" spans="1:36" ht="12.75" hidden="1" customHeight="1" outlineLevel="2" x14ac:dyDescent="0.25">
      <c r="A176" s="9"/>
      <c r="B176" s="9"/>
      <c r="C176" s="103" t="s">
        <v>247</v>
      </c>
      <c r="D176" s="9"/>
      <c r="E176" s="9"/>
      <c r="F176" s="254"/>
      <c r="G176" s="254"/>
      <c r="H176" s="254"/>
      <c r="I176" s="254"/>
      <c r="J176" s="132"/>
      <c r="K176" s="254"/>
      <c r="L176" s="254"/>
      <c r="M176" s="254"/>
      <c r="N176" s="254"/>
      <c r="O176" s="132"/>
      <c r="P176" s="254"/>
      <c r="Q176" s="254"/>
      <c r="R176" s="254"/>
      <c r="S176" s="254"/>
      <c r="T176" s="132"/>
      <c r="U176" s="254"/>
      <c r="V176" s="255">
        <v>0.05</v>
      </c>
      <c r="W176" s="255">
        <v>0.05</v>
      </c>
      <c r="X176" s="255">
        <v>0.05</v>
      </c>
      <c r="Y176" s="256"/>
      <c r="Z176" s="255">
        <v>0.05</v>
      </c>
      <c r="AA176" s="255">
        <v>0.05</v>
      </c>
      <c r="AB176" s="255">
        <v>0.05</v>
      </c>
      <c r="AC176" s="255">
        <v>0.05</v>
      </c>
      <c r="AD176" s="256"/>
      <c r="AE176" s="256">
        <v>0.05</v>
      </c>
      <c r="AF176" s="256">
        <v>0.05</v>
      </c>
      <c r="AG176" s="256">
        <v>0.05</v>
      </c>
      <c r="AH176" s="9"/>
      <c r="AI176" s="9"/>
      <c r="AJ176" s="9"/>
    </row>
    <row r="177" spans="1:36" ht="12.75" hidden="1" customHeight="1" outlineLevel="2" x14ac:dyDescent="0.25">
      <c r="A177" s="9"/>
      <c r="B177" s="9"/>
      <c r="C177" s="103" t="s">
        <v>248</v>
      </c>
      <c r="D177" s="9"/>
      <c r="E177" s="9"/>
      <c r="F177" s="254"/>
      <c r="G177" s="254"/>
      <c r="H177" s="254"/>
      <c r="I177" s="254"/>
      <c r="J177" s="132"/>
      <c r="K177" s="254"/>
      <c r="L177" s="254"/>
      <c r="M177" s="254"/>
      <c r="N177" s="254"/>
      <c r="O177" s="132"/>
      <c r="P177" s="254"/>
      <c r="Q177" s="254"/>
      <c r="R177" s="254"/>
      <c r="S177" s="254"/>
      <c r="T177" s="132"/>
      <c r="U177" s="254"/>
      <c r="V177" s="255">
        <v>0</v>
      </c>
      <c r="W177" s="255">
        <v>0</v>
      </c>
      <c r="X177" s="255">
        <v>0</v>
      </c>
      <c r="Y177" s="256"/>
      <c r="Z177" s="255">
        <v>0</v>
      </c>
      <c r="AA177" s="255">
        <v>0</v>
      </c>
      <c r="AB177" s="255">
        <v>0</v>
      </c>
      <c r="AC177" s="255">
        <v>0</v>
      </c>
      <c r="AD177" s="256"/>
      <c r="AE177" s="256">
        <v>0</v>
      </c>
      <c r="AF177" s="256">
        <v>0</v>
      </c>
      <c r="AG177" s="256">
        <v>0</v>
      </c>
      <c r="AH177" s="9"/>
      <c r="AI177" s="9"/>
      <c r="AJ177" s="9"/>
    </row>
    <row r="178" spans="1:36" ht="12.75" hidden="1" customHeight="1" outlineLevel="2" x14ac:dyDescent="0.25">
      <c r="A178" s="9"/>
      <c r="B178" s="9"/>
      <c r="C178" s="103" t="s">
        <v>255</v>
      </c>
      <c r="D178" s="9"/>
      <c r="E178" s="9"/>
      <c r="F178" s="274" t="e">
        <f t="shared" ref="F178:T178" si="297">F173/F171</f>
        <v>#DIV/0!</v>
      </c>
      <c r="G178" s="274" t="e">
        <f t="shared" si="297"/>
        <v>#DIV/0!</v>
      </c>
      <c r="H178" s="274" t="e">
        <f t="shared" si="297"/>
        <v>#DIV/0!</v>
      </c>
      <c r="I178" s="274" t="e">
        <f t="shared" si="297"/>
        <v>#DIV/0!</v>
      </c>
      <c r="J178" s="275" t="e">
        <f t="shared" si="297"/>
        <v>#DIV/0!</v>
      </c>
      <c r="K178" s="274" t="e">
        <f t="shared" si="297"/>
        <v>#DIV/0!</v>
      </c>
      <c r="L178" s="274" t="e">
        <f t="shared" si="297"/>
        <v>#DIV/0!</v>
      </c>
      <c r="M178" s="274" t="e">
        <f t="shared" si="297"/>
        <v>#DIV/0!</v>
      </c>
      <c r="N178" s="274" t="e">
        <f t="shared" si="297"/>
        <v>#DIV/0!</v>
      </c>
      <c r="O178" s="275" t="e">
        <f t="shared" si="297"/>
        <v>#DIV/0!</v>
      </c>
      <c r="P178" s="274" t="e">
        <f t="shared" si="297"/>
        <v>#DIV/0!</v>
      </c>
      <c r="Q178" s="274" t="e">
        <f t="shared" si="297"/>
        <v>#DIV/0!</v>
      </c>
      <c r="R178" s="274" t="e">
        <f t="shared" si="297"/>
        <v>#DIV/0!</v>
      </c>
      <c r="S178" s="274" t="e">
        <f t="shared" si="297"/>
        <v>#DIV/0!</v>
      </c>
      <c r="T178" s="275" t="e">
        <f t="shared" si="297"/>
        <v>#DIV/0!</v>
      </c>
      <c r="U178" s="274" t="e">
        <f t="shared" ref="U178" si="298">U173/U171</f>
        <v>#DIV/0!</v>
      </c>
      <c r="V178" s="269">
        <f>IF(Case_Scenario="Bull",V179,IF(Case_Scenario="Base",V180,IF(Case_Scenario="bear",V181,"N/A")))</f>
        <v>1.25</v>
      </c>
      <c r="W178" s="269">
        <f>IF(Case_Scenario="Bull",W179,IF(Case_Scenario="Base",W180,IF(Case_Scenario="bear",W181,"N/A")))</f>
        <v>1.25</v>
      </c>
      <c r="X178" s="269">
        <f>IF(Case_Scenario="Bull",X179,IF(Case_Scenario="Base",X180,IF(Case_Scenario="bear",X181,"N/A")))</f>
        <v>1.25</v>
      </c>
      <c r="Y178" s="268" t="e">
        <f>AVERAGE(U178:X178)</f>
        <v>#DIV/0!</v>
      </c>
      <c r="Z178" s="269">
        <f>IF(Case_Scenario="Bull",Z179,IF(Case_Scenario="Base",Z180,IF(Case_Scenario="bear",Z181,"N/A")))</f>
        <v>1.25</v>
      </c>
      <c r="AA178" s="269">
        <f>IF(Case_Scenario="Bull",AA179,IF(Case_Scenario="Base",AA180,IF(Case_Scenario="bear",AA181,"N/A")))</f>
        <v>1.25</v>
      </c>
      <c r="AB178" s="269">
        <f>IF(Case_Scenario="Bull",AB179,IF(Case_Scenario="Base",AB180,IF(Case_Scenario="bear",AB181,"N/A")))</f>
        <v>1.25</v>
      </c>
      <c r="AC178" s="269">
        <f>IF(Case_Scenario="Bull",AC179,IF(Case_Scenario="Base",AC180,IF(Case_Scenario="bear",AC181,"N/A")))</f>
        <v>1.25</v>
      </c>
      <c r="AD178" s="268">
        <f>AVERAGE(Z178:AC178)</f>
        <v>1.25</v>
      </c>
      <c r="AE178" s="268">
        <f>IF(Case_Scenario="Bull",AE179,IF(Case_Scenario="Base",AE180,IF(Case_Scenario="bear",AE181,"N/A")))</f>
        <v>1.25</v>
      </c>
      <c r="AF178" s="268">
        <f>IF(Case_Scenario="Bull",AF179,IF(Case_Scenario="Base",AF180,IF(Case_Scenario="bear",AF181,"N/A")))</f>
        <v>1.25</v>
      </c>
      <c r="AG178" s="268">
        <f>IF(Case_Scenario="Bull",AG179,IF(Case_Scenario="Base",AG180,IF(Case_Scenario="bear",AG181,"N/A")))</f>
        <v>1.25</v>
      </c>
      <c r="AH178" s="9"/>
      <c r="AI178" s="9"/>
      <c r="AJ178" s="9"/>
    </row>
    <row r="179" spans="1:36" ht="12.75" hidden="1" customHeight="1" outlineLevel="2" x14ac:dyDescent="0.25">
      <c r="A179" s="9"/>
      <c r="B179" s="9"/>
      <c r="C179" s="103" t="s">
        <v>246</v>
      </c>
      <c r="D179" s="9"/>
      <c r="E179" s="9"/>
      <c r="F179" s="254"/>
      <c r="G179" s="253"/>
      <c r="H179" s="253"/>
      <c r="I179" s="253"/>
      <c r="J179" s="132"/>
      <c r="K179" s="253"/>
      <c r="L179" s="253"/>
      <c r="M179" s="253"/>
      <c r="N179" s="253"/>
      <c r="O179" s="245"/>
      <c r="P179" s="253"/>
      <c r="Q179" s="253"/>
      <c r="R179" s="253"/>
      <c r="S179" s="253"/>
      <c r="T179" s="245"/>
      <c r="U179" s="253"/>
      <c r="V179" s="272">
        <v>1</v>
      </c>
      <c r="W179" s="272">
        <v>1</v>
      </c>
      <c r="X179" s="272">
        <v>1</v>
      </c>
      <c r="Y179" s="273"/>
      <c r="Z179" s="272">
        <v>1</v>
      </c>
      <c r="AA179" s="272">
        <v>1</v>
      </c>
      <c r="AB179" s="272">
        <v>1</v>
      </c>
      <c r="AC179" s="272">
        <v>1</v>
      </c>
      <c r="AD179" s="273"/>
      <c r="AE179" s="273">
        <v>1</v>
      </c>
      <c r="AF179" s="273">
        <v>1</v>
      </c>
      <c r="AG179" s="273">
        <v>1</v>
      </c>
      <c r="AH179" s="9"/>
      <c r="AI179" s="9"/>
      <c r="AJ179" s="9"/>
    </row>
    <row r="180" spans="1:36" ht="12.75" hidden="1" customHeight="1" outlineLevel="2" x14ac:dyDescent="0.25">
      <c r="A180" s="9"/>
      <c r="B180" s="9"/>
      <c r="C180" s="103" t="s">
        <v>247</v>
      </c>
      <c r="D180" s="9"/>
      <c r="E180" s="9"/>
      <c r="F180" s="254"/>
      <c r="G180" s="254"/>
      <c r="H180" s="254"/>
      <c r="I180" s="254"/>
      <c r="J180" s="132"/>
      <c r="K180" s="254"/>
      <c r="L180" s="254"/>
      <c r="M180" s="254"/>
      <c r="N180" s="254"/>
      <c r="O180" s="132"/>
      <c r="P180" s="254"/>
      <c r="Q180" s="254"/>
      <c r="R180" s="254"/>
      <c r="S180" s="254"/>
      <c r="T180" s="132"/>
      <c r="U180" s="254"/>
      <c r="V180" s="272">
        <v>1.25</v>
      </c>
      <c r="W180" s="272">
        <v>1.25</v>
      </c>
      <c r="X180" s="272">
        <v>1.25</v>
      </c>
      <c r="Y180" s="273"/>
      <c r="Z180" s="272">
        <v>1.25</v>
      </c>
      <c r="AA180" s="272">
        <v>1.25</v>
      </c>
      <c r="AB180" s="272">
        <v>1.25</v>
      </c>
      <c r="AC180" s="272">
        <v>1.25</v>
      </c>
      <c r="AD180" s="273"/>
      <c r="AE180" s="273">
        <v>1.25</v>
      </c>
      <c r="AF180" s="273">
        <v>1.25</v>
      </c>
      <c r="AG180" s="273">
        <v>1.25</v>
      </c>
      <c r="AH180" s="9"/>
      <c r="AI180" s="9"/>
      <c r="AJ180" s="9"/>
    </row>
    <row r="181" spans="1:36" ht="12.75" hidden="1" customHeight="1" outlineLevel="2" x14ac:dyDescent="0.25">
      <c r="A181" s="9"/>
      <c r="B181" s="9"/>
      <c r="C181" s="103" t="s">
        <v>248</v>
      </c>
      <c r="D181" s="9"/>
      <c r="E181" s="9"/>
      <c r="F181" s="254"/>
      <c r="G181" s="254"/>
      <c r="H181" s="254"/>
      <c r="I181" s="254"/>
      <c r="J181" s="132"/>
      <c r="K181" s="254"/>
      <c r="L181" s="254"/>
      <c r="M181" s="254"/>
      <c r="N181" s="254"/>
      <c r="O181" s="132"/>
      <c r="P181" s="254"/>
      <c r="Q181" s="254"/>
      <c r="R181" s="254"/>
      <c r="S181" s="254"/>
      <c r="T181" s="132"/>
      <c r="U181" s="254"/>
      <c r="V181" s="272">
        <v>1.5</v>
      </c>
      <c r="W181" s="272">
        <v>1.5</v>
      </c>
      <c r="X181" s="272">
        <v>1.5</v>
      </c>
      <c r="Y181" s="273"/>
      <c r="Z181" s="272">
        <v>1.5</v>
      </c>
      <c r="AA181" s="272">
        <v>1.5</v>
      </c>
      <c r="AB181" s="272">
        <v>1.5</v>
      </c>
      <c r="AC181" s="272">
        <v>1.5</v>
      </c>
      <c r="AD181" s="273"/>
      <c r="AE181" s="273">
        <v>1.5</v>
      </c>
      <c r="AF181" s="273">
        <v>1.5</v>
      </c>
      <c r="AG181" s="273">
        <v>1.5</v>
      </c>
      <c r="AH181" s="9"/>
      <c r="AI181" s="9"/>
      <c r="AJ181" s="9"/>
    </row>
    <row r="182" spans="1:36" ht="12.75" hidden="1" customHeight="1" outlineLevel="2" x14ac:dyDescent="0.25">
      <c r="A182" s="9"/>
      <c r="B182" s="9"/>
      <c r="C182" s="9"/>
      <c r="D182" s="9"/>
      <c r="E182" s="9"/>
      <c r="F182" s="254"/>
      <c r="G182" s="254"/>
      <c r="H182" s="254"/>
      <c r="I182" s="254"/>
      <c r="J182" s="132"/>
      <c r="K182" s="254"/>
      <c r="L182" s="254"/>
      <c r="M182" s="254"/>
      <c r="N182" s="254"/>
      <c r="O182" s="132"/>
      <c r="P182" s="254"/>
      <c r="Q182" s="254"/>
      <c r="R182" s="254"/>
      <c r="S182" s="254"/>
      <c r="T182" s="132"/>
      <c r="U182" s="254"/>
      <c r="V182" s="255"/>
      <c r="W182" s="255"/>
      <c r="X182" s="255"/>
      <c r="Y182" s="256"/>
      <c r="Z182" s="255"/>
      <c r="AA182" s="255"/>
      <c r="AB182" s="255"/>
      <c r="AC182" s="255"/>
      <c r="AD182" s="256"/>
      <c r="AE182" s="256"/>
      <c r="AF182" s="256"/>
      <c r="AG182" s="256"/>
      <c r="AH182" s="9"/>
      <c r="AI182" s="9"/>
      <c r="AJ182" s="9"/>
    </row>
    <row r="183" spans="1:36" ht="12.75" hidden="1" customHeight="1" outlineLevel="2" x14ac:dyDescent="0.25">
      <c r="A183" s="205" t="s">
        <v>0</v>
      </c>
      <c r="B183" s="9"/>
      <c r="C183" s="103" t="e">
        <f>#REF!</f>
        <v>#REF!</v>
      </c>
      <c r="D183" s="9"/>
      <c r="E183" s="9"/>
      <c r="F183" s="252">
        <f t="shared" ref="F183:T183" si="299">F71</f>
        <v>0</v>
      </c>
      <c r="G183" s="252">
        <f t="shared" si="299"/>
        <v>0</v>
      </c>
      <c r="H183" s="252">
        <f t="shared" si="299"/>
        <v>0</v>
      </c>
      <c r="I183" s="252">
        <f t="shared" si="299"/>
        <v>0</v>
      </c>
      <c r="J183" s="227">
        <f t="shared" si="299"/>
        <v>0</v>
      </c>
      <c r="K183" s="252">
        <f t="shared" si="299"/>
        <v>0</v>
      </c>
      <c r="L183" s="252">
        <f t="shared" si="299"/>
        <v>0</v>
      </c>
      <c r="M183" s="252">
        <f t="shared" si="299"/>
        <v>0</v>
      </c>
      <c r="N183" s="252">
        <f t="shared" si="299"/>
        <v>0</v>
      </c>
      <c r="O183" s="227">
        <f t="shared" si="299"/>
        <v>0</v>
      </c>
      <c r="P183" s="252">
        <f t="shared" si="299"/>
        <v>0</v>
      </c>
      <c r="Q183" s="252">
        <f t="shared" si="299"/>
        <v>0</v>
      </c>
      <c r="R183" s="252">
        <f t="shared" si="299"/>
        <v>0</v>
      </c>
      <c r="S183" s="252">
        <f t="shared" si="299"/>
        <v>0</v>
      </c>
      <c r="T183" s="227">
        <f t="shared" si="299"/>
        <v>0</v>
      </c>
      <c r="U183" s="252">
        <f t="shared" ref="U183" si="300">U71</f>
        <v>0</v>
      </c>
      <c r="V183" s="226">
        <f t="shared" ref="V183:X183" si="301">V185/V190</f>
        <v>0</v>
      </c>
      <c r="W183" s="226">
        <f t="shared" si="301"/>
        <v>0</v>
      </c>
      <c r="X183" s="226">
        <f t="shared" si="301"/>
        <v>0</v>
      </c>
      <c r="Y183" s="227">
        <f>SUM(U183:X183)</f>
        <v>0</v>
      </c>
      <c r="Z183" s="226">
        <f t="shared" ref="Z183:AC183" si="302">Z185/Z190</f>
        <v>0</v>
      </c>
      <c r="AA183" s="226">
        <f t="shared" si="302"/>
        <v>0</v>
      </c>
      <c r="AB183" s="226">
        <f t="shared" si="302"/>
        <v>0</v>
      </c>
      <c r="AC183" s="226">
        <f t="shared" si="302"/>
        <v>0</v>
      </c>
      <c r="AD183" s="227">
        <f>SUM(Z183:AC183)</f>
        <v>0</v>
      </c>
      <c r="AE183" s="227">
        <f t="shared" ref="AE183:AG183" si="303">AE185/AE190</f>
        <v>0</v>
      </c>
      <c r="AF183" s="227">
        <f t="shared" si="303"/>
        <v>0</v>
      </c>
      <c r="AG183" s="227">
        <f t="shared" si="303"/>
        <v>0</v>
      </c>
      <c r="AH183" s="9"/>
      <c r="AI183" s="9"/>
      <c r="AJ183" s="9"/>
    </row>
    <row r="184" spans="1:36" ht="12.75" hidden="1" customHeight="1" outlineLevel="2" x14ac:dyDescent="0.25">
      <c r="A184" s="9"/>
      <c r="B184" s="9"/>
      <c r="C184" s="103" t="s">
        <v>239</v>
      </c>
      <c r="D184" s="9"/>
      <c r="E184" s="9"/>
      <c r="F184" s="260">
        <v>0</v>
      </c>
      <c r="G184" s="260">
        <v>0</v>
      </c>
      <c r="H184" s="260">
        <v>0</v>
      </c>
      <c r="I184" s="260">
        <v>0</v>
      </c>
      <c r="J184" s="261">
        <v>0</v>
      </c>
      <c r="K184" s="260">
        <v>0</v>
      </c>
      <c r="L184" s="260">
        <v>0</v>
      </c>
      <c r="M184" s="260">
        <v>0</v>
      </c>
      <c r="N184" s="260">
        <v>0</v>
      </c>
      <c r="O184" s="261">
        <v>0</v>
      </c>
      <c r="P184" s="260">
        <v>0</v>
      </c>
      <c r="Q184" s="260">
        <v>0</v>
      </c>
      <c r="R184" s="260">
        <v>0</v>
      </c>
      <c r="S184" s="260">
        <v>0</v>
      </c>
      <c r="T184" s="261">
        <v>0</v>
      </c>
      <c r="U184" s="260">
        <v>0</v>
      </c>
      <c r="V184" s="262">
        <f t="shared" ref="V184" si="304">U184+V185-V183</f>
        <v>0</v>
      </c>
      <c r="W184" s="262">
        <f t="shared" ref="W184" si="305">V184+W185-W183</f>
        <v>0</v>
      </c>
      <c r="X184" s="262">
        <f t="shared" ref="X184" si="306">W184+X185-X183</f>
        <v>0</v>
      </c>
      <c r="Y184" s="261">
        <f>T184+Y185-Y183</f>
        <v>0</v>
      </c>
      <c r="Z184" s="262">
        <f>X184+Z185-Z183</f>
        <v>0</v>
      </c>
      <c r="AA184" s="262">
        <f t="shared" ref="AA184:AC184" si="307">Z184+AA185-AA183</f>
        <v>0</v>
      </c>
      <c r="AB184" s="262">
        <f t="shared" si="307"/>
        <v>0</v>
      </c>
      <c r="AC184" s="262">
        <f t="shared" si="307"/>
        <v>0</v>
      </c>
      <c r="AD184" s="261">
        <f>Y184+AD185-AD183</f>
        <v>0</v>
      </c>
      <c r="AE184" s="261">
        <f t="shared" ref="AE184:AG184" si="308">AD184+AE185-AE183</f>
        <v>0</v>
      </c>
      <c r="AF184" s="261">
        <f t="shared" si="308"/>
        <v>0</v>
      </c>
      <c r="AG184" s="261">
        <f t="shared" si="308"/>
        <v>0</v>
      </c>
      <c r="AH184" s="9"/>
      <c r="AI184" s="9"/>
      <c r="AJ184" s="9"/>
    </row>
    <row r="185" spans="1:36" ht="12.75" hidden="1" customHeight="1" outlineLevel="2" x14ac:dyDescent="0.25">
      <c r="A185" s="9"/>
      <c r="B185" s="9"/>
      <c r="C185" s="103" t="s">
        <v>253</v>
      </c>
      <c r="D185" s="9"/>
      <c r="E185" s="9"/>
      <c r="F185" s="260">
        <f>F184+F183-(0)</f>
        <v>0</v>
      </c>
      <c r="G185" s="260">
        <f t="shared" ref="G185:I185" si="309">G184+G183-F184</f>
        <v>0</v>
      </c>
      <c r="H185" s="260">
        <f t="shared" si="309"/>
        <v>0</v>
      </c>
      <c r="I185" s="260">
        <f t="shared" si="309"/>
        <v>0</v>
      </c>
      <c r="J185" s="261">
        <f>SUM(F185:I185)</f>
        <v>0</v>
      </c>
      <c r="K185" s="260">
        <f t="shared" ref="K185:N185" si="310">K184+K183-J184</f>
        <v>0</v>
      </c>
      <c r="L185" s="260">
        <f t="shared" si="310"/>
        <v>0</v>
      </c>
      <c r="M185" s="260">
        <f t="shared" si="310"/>
        <v>0</v>
      </c>
      <c r="N185" s="260">
        <f t="shared" si="310"/>
        <v>0</v>
      </c>
      <c r="O185" s="261">
        <f>SUM(K185:N185)</f>
        <v>0</v>
      </c>
      <c r="P185" s="260">
        <f t="shared" ref="P185:U185" si="311">P184+P183-O184</f>
        <v>0</v>
      </c>
      <c r="Q185" s="260">
        <f t="shared" si="311"/>
        <v>0</v>
      </c>
      <c r="R185" s="260">
        <f t="shared" si="311"/>
        <v>0</v>
      </c>
      <c r="S185" s="260">
        <f t="shared" si="311"/>
        <v>0</v>
      </c>
      <c r="T185" s="261">
        <f>SUM(P185:S185)</f>
        <v>0</v>
      </c>
      <c r="U185" s="260">
        <f t="shared" si="311"/>
        <v>0</v>
      </c>
      <c r="V185" s="262">
        <f t="shared" ref="V185" si="312">U185*(1+V186)</f>
        <v>0</v>
      </c>
      <c r="W185" s="262">
        <f t="shared" ref="W185" si="313">V185*(1+W186)</f>
        <v>0</v>
      </c>
      <c r="X185" s="262">
        <f t="shared" ref="X185" si="314">W185*(1+X186)</f>
        <v>0</v>
      </c>
      <c r="Y185" s="261">
        <f>SUM(U185:X185)</f>
        <v>0</v>
      </c>
      <c r="Z185" s="262">
        <f>X185*(1+Z186)</f>
        <v>0</v>
      </c>
      <c r="AA185" s="262">
        <f t="shared" ref="AA185:AC185" si="315">Z185*(1+AA186)</f>
        <v>0</v>
      </c>
      <c r="AB185" s="262">
        <f t="shared" si="315"/>
        <v>0</v>
      </c>
      <c r="AC185" s="262">
        <f t="shared" si="315"/>
        <v>0</v>
      </c>
      <c r="AD185" s="261">
        <f>SUM(Z185:AC185)</f>
        <v>0</v>
      </c>
      <c r="AE185" s="261">
        <f t="shared" ref="AE185:AG185" si="316">AD185*(1+AE186)</f>
        <v>0</v>
      </c>
      <c r="AF185" s="261">
        <f t="shared" si="316"/>
        <v>0</v>
      </c>
      <c r="AG185" s="261">
        <f t="shared" si="316"/>
        <v>0</v>
      </c>
      <c r="AH185" s="9"/>
      <c r="AI185" s="9"/>
      <c r="AJ185" s="9"/>
    </row>
    <row r="186" spans="1:36" ht="12.75" hidden="1" customHeight="1" outlineLevel="2" x14ac:dyDescent="0.25">
      <c r="A186" s="9"/>
      <c r="B186" s="9"/>
      <c r="C186" s="84" t="s">
        <v>254</v>
      </c>
      <c r="D186" s="9"/>
      <c r="E186" s="9"/>
      <c r="F186" s="254"/>
      <c r="G186" s="253" t="str">
        <f t="shared" ref="G186:I186" si="317">IFERROR(G185/F185-1,"--")</f>
        <v>--</v>
      </c>
      <c r="H186" s="253" t="str">
        <f t="shared" si="317"/>
        <v>--</v>
      </c>
      <c r="I186" s="253" t="str">
        <f t="shared" si="317"/>
        <v>--</v>
      </c>
      <c r="J186" s="132"/>
      <c r="K186" s="253" t="str">
        <f>IFERROR(K185/I185-1,"--")</f>
        <v>--</v>
      </c>
      <c r="L186" s="253" t="str">
        <f t="shared" ref="L186:N186" si="318">IFERROR(L185/K185-1,"--")</f>
        <v>--</v>
      </c>
      <c r="M186" s="253" t="str">
        <f t="shared" si="318"/>
        <v>--</v>
      </c>
      <c r="N186" s="253" t="str">
        <f t="shared" si="318"/>
        <v>--</v>
      </c>
      <c r="O186" s="245" t="str">
        <f>IFERROR(O185/J185-1,"--")</f>
        <v>--</v>
      </c>
      <c r="P186" s="253" t="str">
        <f>IFERROR(P185/N185-1,"--")</f>
        <v>--</v>
      </c>
      <c r="Q186" s="253" t="str">
        <f t="shared" ref="Q186:S186" si="319">IFERROR(Q185/P185-1,"--")</f>
        <v>--</v>
      </c>
      <c r="R186" s="253" t="str">
        <f t="shared" si="319"/>
        <v>--</v>
      </c>
      <c r="S186" s="253" t="str">
        <f t="shared" si="319"/>
        <v>--</v>
      </c>
      <c r="T186" s="245" t="str">
        <f>IFERROR(T185/O185-1,"--")</f>
        <v>--</v>
      </c>
      <c r="U186" s="253" t="str">
        <f>IFERROR(U185/S185-1,"--")</f>
        <v>--</v>
      </c>
      <c r="V186" s="244">
        <f>IF(Case_Scenario="Bull",V187,IF(Case_Scenario="Base",V188,IF(Case_Scenario="bear",V189,"N/A")))</f>
        <v>0.05</v>
      </c>
      <c r="W186" s="244">
        <f>IF(Case_Scenario="Bull",W187,IF(Case_Scenario="Base",W188,IF(Case_Scenario="bear",W189,"N/A")))</f>
        <v>0.05</v>
      </c>
      <c r="X186" s="244">
        <f>IF(Case_Scenario="Bull",X187,IF(Case_Scenario="Base",X188,IF(Case_Scenario="bear",X189,"N/A")))</f>
        <v>0.05</v>
      </c>
      <c r="Y186" s="245"/>
      <c r="Z186" s="244">
        <f>IF(Case_Scenario="Bull",Z187,IF(Case_Scenario="Base",Z188,IF(Case_Scenario="bear",Z189,"N/A")))</f>
        <v>0.05</v>
      </c>
      <c r="AA186" s="244">
        <f>IF(Case_Scenario="Bull",AA187,IF(Case_Scenario="Base",AA188,IF(Case_Scenario="bear",AA189,"N/A")))</f>
        <v>0.05</v>
      </c>
      <c r="AB186" s="244">
        <f>IF(Case_Scenario="Bull",AB187,IF(Case_Scenario="Base",AB188,IF(Case_Scenario="bear",AB189,"N/A")))</f>
        <v>0.05</v>
      </c>
      <c r="AC186" s="244">
        <f>IF(Case_Scenario="Bull",AC187,IF(Case_Scenario="Base",AC188,IF(Case_Scenario="bear",AC189,"N/A")))</f>
        <v>0.05</v>
      </c>
      <c r="AD186" s="245"/>
      <c r="AE186" s="245">
        <f>IF(Case_Scenario="Bull",AE187,IF(Case_Scenario="Base",AE188,IF(Case_Scenario="bear",AE189,"N/A")))</f>
        <v>0.05</v>
      </c>
      <c r="AF186" s="245">
        <f>IF(Case_Scenario="Bull",AF187,IF(Case_Scenario="Base",AF188,IF(Case_Scenario="bear",AF189,"N/A")))</f>
        <v>0.05</v>
      </c>
      <c r="AG186" s="245">
        <f>IF(Case_Scenario="Bull",AG187,IF(Case_Scenario="Base",AG188,IF(Case_Scenario="bear",AG189,"N/A")))</f>
        <v>0.05</v>
      </c>
      <c r="AH186" s="9"/>
      <c r="AI186" s="9"/>
      <c r="AJ186" s="9"/>
    </row>
    <row r="187" spans="1:36" ht="12.75" hidden="1" customHeight="1" outlineLevel="2" x14ac:dyDescent="0.25">
      <c r="A187" s="9"/>
      <c r="B187" s="9"/>
      <c r="C187" s="103" t="s">
        <v>246</v>
      </c>
      <c r="D187" s="9"/>
      <c r="E187" s="9"/>
      <c r="F187" s="254"/>
      <c r="G187" s="254"/>
      <c r="H187" s="254"/>
      <c r="I187" s="254"/>
      <c r="J187" s="132"/>
      <c r="K187" s="254"/>
      <c r="L187" s="254"/>
      <c r="M187" s="254"/>
      <c r="N187" s="254"/>
      <c r="O187" s="132"/>
      <c r="P187" s="254"/>
      <c r="Q187" s="254"/>
      <c r="R187" s="254"/>
      <c r="S187" s="254"/>
      <c r="T187" s="132"/>
      <c r="U187" s="254"/>
      <c r="V187" s="255">
        <v>0.1</v>
      </c>
      <c r="W187" s="255">
        <v>0.1</v>
      </c>
      <c r="X187" s="255">
        <v>0.1</v>
      </c>
      <c r="Y187" s="256"/>
      <c r="Z187" s="255">
        <v>0.1</v>
      </c>
      <c r="AA187" s="255">
        <v>0.1</v>
      </c>
      <c r="AB187" s="255">
        <v>0.1</v>
      </c>
      <c r="AC187" s="255">
        <v>0.1</v>
      </c>
      <c r="AD187" s="256"/>
      <c r="AE187" s="256">
        <v>0.1</v>
      </c>
      <c r="AF187" s="256">
        <v>0.1</v>
      </c>
      <c r="AG187" s="256">
        <v>0.1</v>
      </c>
      <c r="AH187" s="9"/>
      <c r="AI187" s="9"/>
      <c r="AJ187" s="9"/>
    </row>
    <row r="188" spans="1:36" ht="12.75" hidden="1" customHeight="1" outlineLevel="2" x14ac:dyDescent="0.25">
      <c r="A188" s="9"/>
      <c r="B188" s="9"/>
      <c r="C188" s="103" t="s">
        <v>247</v>
      </c>
      <c r="D188" s="9"/>
      <c r="E188" s="9"/>
      <c r="F188" s="254"/>
      <c r="G188" s="254"/>
      <c r="H188" s="254"/>
      <c r="I188" s="254"/>
      <c r="J188" s="132"/>
      <c r="K188" s="254"/>
      <c r="L188" s="254"/>
      <c r="M188" s="254"/>
      <c r="N188" s="254"/>
      <c r="O188" s="132"/>
      <c r="P188" s="254"/>
      <c r="Q188" s="254"/>
      <c r="R188" s="254"/>
      <c r="S188" s="254"/>
      <c r="T188" s="132"/>
      <c r="U188" s="254"/>
      <c r="V188" s="255">
        <v>0.05</v>
      </c>
      <c r="W188" s="255">
        <v>0.05</v>
      </c>
      <c r="X188" s="255">
        <v>0.05</v>
      </c>
      <c r="Y188" s="256"/>
      <c r="Z188" s="255">
        <v>0.05</v>
      </c>
      <c r="AA188" s="255">
        <v>0.05</v>
      </c>
      <c r="AB188" s="255">
        <v>0.05</v>
      </c>
      <c r="AC188" s="255">
        <v>0.05</v>
      </c>
      <c r="AD188" s="256"/>
      <c r="AE188" s="256">
        <v>0.05</v>
      </c>
      <c r="AF188" s="256">
        <v>0.05</v>
      </c>
      <c r="AG188" s="256">
        <v>0.05</v>
      </c>
      <c r="AH188" s="9"/>
      <c r="AI188" s="9"/>
      <c r="AJ188" s="9"/>
    </row>
    <row r="189" spans="1:36" ht="12.75" hidden="1" customHeight="1" outlineLevel="2" x14ac:dyDescent="0.25">
      <c r="A189" s="9"/>
      <c r="B189" s="9"/>
      <c r="C189" s="103" t="s">
        <v>248</v>
      </c>
      <c r="D189" s="9"/>
      <c r="E189" s="9"/>
      <c r="F189" s="254"/>
      <c r="G189" s="254"/>
      <c r="H189" s="254"/>
      <c r="I189" s="254"/>
      <c r="J189" s="132"/>
      <c r="K189" s="254"/>
      <c r="L189" s="254"/>
      <c r="M189" s="254"/>
      <c r="N189" s="254"/>
      <c r="O189" s="132"/>
      <c r="P189" s="254"/>
      <c r="Q189" s="254"/>
      <c r="R189" s="254"/>
      <c r="S189" s="254"/>
      <c r="T189" s="132"/>
      <c r="U189" s="254"/>
      <c r="V189" s="255">
        <v>0</v>
      </c>
      <c r="W189" s="255">
        <v>0</v>
      </c>
      <c r="X189" s="255">
        <v>0</v>
      </c>
      <c r="Y189" s="256"/>
      <c r="Z189" s="255">
        <v>0</v>
      </c>
      <c r="AA189" s="255">
        <v>0</v>
      </c>
      <c r="AB189" s="255">
        <v>0</v>
      </c>
      <c r="AC189" s="255">
        <v>0</v>
      </c>
      <c r="AD189" s="256"/>
      <c r="AE189" s="256">
        <v>0</v>
      </c>
      <c r="AF189" s="256">
        <v>0</v>
      </c>
      <c r="AG189" s="256">
        <v>0</v>
      </c>
      <c r="AH189" s="9"/>
      <c r="AI189" s="9"/>
      <c r="AJ189" s="9"/>
    </row>
    <row r="190" spans="1:36" ht="12.75" hidden="1" customHeight="1" outlineLevel="2" x14ac:dyDescent="0.25">
      <c r="A190" s="9"/>
      <c r="B190" s="9"/>
      <c r="C190" s="103" t="s">
        <v>255</v>
      </c>
      <c r="D190" s="9"/>
      <c r="E190" s="9"/>
      <c r="F190" s="274" t="e">
        <f t="shared" ref="F190:T190" si="320">F185/F183</f>
        <v>#DIV/0!</v>
      </c>
      <c r="G190" s="274" t="e">
        <f t="shared" si="320"/>
        <v>#DIV/0!</v>
      </c>
      <c r="H190" s="274" t="e">
        <f t="shared" si="320"/>
        <v>#DIV/0!</v>
      </c>
      <c r="I190" s="274" t="e">
        <f t="shared" si="320"/>
        <v>#DIV/0!</v>
      </c>
      <c r="J190" s="275" t="e">
        <f t="shared" si="320"/>
        <v>#DIV/0!</v>
      </c>
      <c r="K190" s="274" t="e">
        <f t="shared" si="320"/>
        <v>#DIV/0!</v>
      </c>
      <c r="L190" s="274" t="e">
        <f t="shared" si="320"/>
        <v>#DIV/0!</v>
      </c>
      <c r="M190" s="274" t="e">
        <f t="shared" si="320"/>
        <v>#DIV/0!</v>
      </c>
      <c r="N190" s="274" t="e">
        <f t="shared" si="320"/>
        <v>#DIV/0!</v>
      </c>
      <c r="O190" s="275" t="e">
        <f t="shared" si="320"/>
        <v>#DIV/0!</v>
      </c>
      <c r="P190" s="274" t="e">
        <f t="shared" si="320"/>
        <v>#DIV/0!</v>
      </c>
      <c r="Q190" s="274" t="e">
        <f t="shared" si="320"/>
        <v>#DIV/0!</v>
      </c>
      <c r="R190" s="274" t="e">
        <f t="shared" si="320"/>
        <v>#DIV/0!</v>
      </c>
      <c r="S190" s="274" t="e">
        <f t="shared" si="320"/>
        <v>#DIV/0!</v>
      </c>
      <c r="T190" s="275" t="e">
        <f t="shared" si="320"/>
        <v>#DIV/0!</v>
      </c>
      <c r="U190" s="274" t="e">
        <f t="shared" ref="U190" si="321">U185/U183</f>
        <v>#DIV/0!</v>
      </c>
      <c r="V190" s="269">
        <f>IF(Case_Scenario="Bull",V191,IF(Case_Scenario="Base",V192,IF(Case_Scenario="bear",V193,"N/A")))</f>
        <v>1.25</v>
      </c>
      <c r="W190" s="269">
        <f>IF(Case_Scenario="Bull",W191,IF(Case_Scenario="Base",W192,IF(Case_Scenario="bear",W193,"N/A")))</f>
        <v>1.25</v>
      </c>
      <c r="X190" s="269">
        <f>IF(Case_Scenario="Bull",X191,IF(Case_Scenario="Base",X192,IF(Case_Scenario="bear",X193,"N/A")))</f>
        <v>1.25</v>
      </c>
      <c r="Y190" s="268" t="e">
        <f>AVERAGE(U190:X190)</f>
        <v>#DIV/0!</v>
      </c>
      <c r="Z190" s="269">
        <f>IF(Case_Scenario="Bull",Z191,IF(Case_Scenario="Base",Z192,IF(Case_Scenario="bear",Z193,"N/A")))</f>
        <v>1.25</v>
      </c>
      <c r="AA190" s="269">
        <f>IF(Case_Scenario="Bull",AA191,IF(Case_Scenario="Base",AA192,IF(Case_Scenario="bear",AA193,"N/A")))</f>
        <v>1.25</v>
      </c>
      <c r="AB190" s="269">
        <f>IF(Case_Scenario="Bull",AB191,IF(Case_Scenario="Base",AB192,IF(Case_Scenario="bear",AB193,"N/A")))</f>
        <v>1.25</v>
      </c>
      <c r="AC190" s="269">
        <f>IF(Case_Scenario="Bull",AC191,IF(Case_Scenario="Base",AC192,IF(Case_Scenario="bear",AC193,"N/A")))</f>
        <v>1.25</v>
      </c>
      <c r="AD190" s="268">
        <f>AVERAGE(Z190:AC190)</f>
        <v>1.25</v>
      </c>
      <c r="AE190" s="268">
        <f>IF(Case_Scenario="Bull",AE191,IF(Case_Scenario="Base",AE192,IF(Case_Scenario="bear",AE193,"N/A")))</f>
        <v>1.25</v>
      </c>
      <c r="AF190" s="268">
        <f>IF(Case_Scenario="Bull",AF191,IF(Case_Scenario="Base",AF192,IF(Case_Scenario="bear",AF193,"N/A")))</f>
        <v>1.25</v>
      </c>
      <c r="AG190" s="268">
        <f>IF(Case_Scenario="Bull",AG191,IF(Case_Scenario="Base",AG192,IF(Case_Scenario="bear",AG193,"N/A")))</f>
        <v>1.25</v>
      </c>
      <c r="AH190" s="9"/>
      <c r="AI190" s="9"/>
      <c r="AJ190" s="9"/>
    </row>
    <row r="191" spans="1:36" ht="12.75" hidden="1" customHeight="1" outlineLevel="2" x14ac:dyDescent="0.25">
      <c r="A191" s="9"/>
      <c r="B191" s="9"/>
      <c r="C191" s="103" t="s">
        <v>246</v>
      </c>
      <c r="D191" s="9"/>
      <c r="E191" s="9"/>
      <c r="F191" s="254"/>
      <c r="G191" s="253"/>
      <c r="H191" s="253"/>
      <c r="I191" s="253"/>
      <c r="J191" s="132"/>
      <c r="K191" s="253"/>
      <c r="L191" s="253"/>
      <c r="M191" s="253"/>
      <c r="N191" s="253"/>
      <c r="O191" s="245"/>
      <c r="P191" s="253"/>
      <c r="Q191" s="253"/>
      <c r="R191" s="253"/>
      <c r="S191" s="253"/>
      <c r="T191" s="245"/>
      <c r="U191" s="253"/>
      <c r="V191" s="272">
        <v>1</v>
      </c>
      <c r="W191" s="272">
        <v>1</v>
      </c>
      <c r="X191" s="272">
        <v>1</v>
      </c>
      <c r="Y191" s="273"/>
      <c r="Z191" s="272">
        <v>1</v>
      </c>
      <c r="AA191" s="272">
        <v>1</v>
      </c>
      <c r="AB191" s="272">
        <v>1</v>
      </c>
      <c r="AC191" s="272">
        <v>1</v>
      </c>
      <c r="AD191" s="273"/>
      <c r="AE191" s="273">
        <v>1</v>
      </c>
      <c r="AF191" s="273">
        <v>1</v>
      </c>
      <c r="AG191" s="273">
        <v>1</v>
      </c>
      <c r="AH191" s="9"/>
      <c r="AI191" s="9"/>
      <c r="AJ191" s="9"/>
    </row>
    <row r="192" spans="1:36" ht="12.75" hidden="1" customHeight="1" outlineLevel="2" x14ac:dyDescent="0.25">
      <c r="A192" s="9"/>
      <c r="B192" s="9"/>
      <c r="C192" s="103" t="s">
        <v>247</v>
      </c>
      <c r="D192" s="9"/>
      <c r="E192" s="9"/>
      <c r="F192" s="254"/>
      <c r="G192" s="254"/>
      <c r="H192" s="254"/>
      <c r="I192" s="254"/>
      <c r="J192" s="132"/>
      <c r="K192" s="254"/>
      <c r="L192" s="254"/>
      <c r="M192" s="254"/>
      <c r="N192" s="254"/>
      <c r="O192" s="132"/>
      <c r="P192" s="254"/>
      <c r="Q192" s="254"/>
      <c r="R192" s="254"/>
      <c r="S192" s="254"/>
      <c r="T192" s="132"/>
      <c r="U192" s="254"/>
      <c r="V192" s="272">
        <v>1.25</v>
      </c>
      <c r="W192" s="272">
        <v>1.25</v>
      </c>
      <c r="X192" s="272">
        <v>1.25</v>
      </c>
      <c r="Y192" s="273"/>
      <c r="Z192" s="272">
        <v>1.25</v>
      </c>
      <c r="AA192" s="272">
        <v>1.25</v>
      </c>
      <c r="AB192" s="272">
        <v>1.25</v>
      </c>
      <c r="AC192" s="272">
        <v>1.25</v>
      </c>
      <c r="AD192" s="273"/>
      <c r="AE192" s="273">
        <v>1.25</v>
      </c>
      <c r="AF192" s="273">
        <v>1.25</v>
      </c>
      <c r="AG192" s="273">
        <v>1.25</v>
      </c>
      <c r="AH192" s="9"/>
      <c r="AI192" s="9"/>
      <c r="AJ192" s="9"/>
    </row>
    <row r="193" spans="1:36" ht="12.75" hidden="1" customHeight="1" outlineLevel="2" x14ac:dyDescent="0.25">
      <c r="A193" s="9"/>
      <c r="B193" s="9"/>
      <c r="C193" s="103" t="s">
        <v>248</v>
      </c>
      <c r="D193" s="9"/>
      <c r="E193" s="9"/>
      <c r="F193" s="254"/>
      <c r="G193" s="254"/>
      <c r="H193" s="254"/>
      <c r="I193" s="254"/>
      <c r="J193" s="132"/>
      <c r="K193" s="254"/>
      <c r="L193" s="254"/>
      <c r="M193" s="254"/>
      <c r="N193" s="254"/>
      <c r="O193" s="132"/>
      <c r="P193" s="254"/>
      <c r="Q193" s="254"/>
      <c r="R193" s="254"/>
      <c r="S193" s="254"/>
      <c r="T193" s="132"/>
      <c r="U193" s="254"/>
      <c r="V193" s="272">
        <v>1.5</v>
      </c>
      <c r="W193" s="272">
        <v>1.5</v>
      </c>
      <c r="X193" s="272">
        <v>1.5</v>
      </c>
      <c r="Y193" s="273"/>
      <c r="Z193" s="272">
        <v>1.5</v>
      </c>
      <c r="AA193" s="272">
        <v>1.5</v>
      </c>
      <c r="AB193" s="272">
        <v>1.5</v>
      </c>
      <c r="AC193" s="272">
        <v>1.5</v>
      </c>
      <c r="AD193" s="273"/>
      <c r="AE193" s="273">
        <v>1.5</v>
      </c>
      <c r="AF193" s="273">
        <v>1.5</v>
      </c>
      <c r="AG193" s="273">
        <v>1.5</v>
      </c>
      <c r="AH193" s="9"/>
      <c r="AI193" s="9"/>
      <c r="AJ193" s="9"/>
    </row>
    <row r="194" spans="1:36" ht="12.75" hidden="1" customHeight="1" outlineLevel="2" x14ac:dyDescent="0.25">
      <c r="A194" s="9"/>
      <c r="B194" s="9"/>
      <c r="C194" s="9"/>
      <c r="D194" s="9"/>
      <c r="E194" s="9"/>
      <c r="F194" s="254"/>
      <c r="G194" s="254"/>
      <c r="H194" s="254"/>
      <c r="I194" s="254"/>
      <c r="J194" s="132"/>
      <c r="K194" s="254"/>
      <c r="L194" s="254"/>
      <c r="M194" s="254"/>
      <c r="N194" s="254"/>
      <c r="O194" s="132"/>
      <c r="P194" s="254"/>
      <c r="Q194" s="254"/>
      <c r="R194" s="254"/>
      <c r="S194" s="254"/>
      <c r="T194" s="132"/>
      <c r="U194" s="254"/>
      <c r="V194" s="255"/>
      <c r="W194" s="255"/>
      <c r="X194" s="255"/>
      <c r="Y194" s="256"/>
      <c r="Z194" s="255"/>
      <c r="AA194" s="255"/>
      <c r="AB194" s="255"/>
      <c r="AC194" s="255"/>
      <c r="AD194" s="256"/>
      <c r="AE194" s="256"/>
      <c r="AF194" s="256"/>
      <c r="AG194" s="256"/>
      <c r="AH194" s="9"/>
      <c r="AI194" s="9"/>
      <c r="AJ194" s="9"/>
    </row>
    <row r="195" spans="1:36" ht="12.75" hidden="1" customHeight="1" outlineLevel="2" x14ac:dyDescent="0.25">
      <c r="A195" s="205" t="s">
        <v>0</v>
      </c>
      <c r="B195" s="9"/>
      <c r="C195" s="103" t="e">
        <f>#REF!</f>
        <v>#REF!</v>
      </c>
      <c r="D195" s="9"/>
      <c r="E195" s="9"/>
      <c r="F195" s="252" t="e">
        <f>#REF!</f>
        <v>#REF!</v>
      </c>
      <c r="G195" s="252" t="e">
        <f>#REF!</f>
        <v>#REF!</v>
      </c>
      <c r="H195" s="252" t="e">
        <f>#REF!</f>
        <v>#REF!</v>
      </c>
      <c r="I195" s="252" t="e">
        <f>#REF!</f>
        <v>#REF!</v>
      </c>
      <c r="J195" s="227" t="e">
        <f>#REF!</f>
        <v>#REF!</v>
      </c>
      <c r="K195" s="252" t="e">
        <f>#REF!</f>
        <v>#REF!</v>
      </c>
      <c r="L195" s="252" t="e">
        <f>#REF!</f>
        <v>#REF!</v>
      </c>
      <c r="M195" s="252" t="e">
        <f>#REF!</f>
        <v>#REF!</v>
      </c>
      <c r="N195" s="252" t="e">
        <f>#REF!</f>
        <v>#REF!</v>
      </c>
      <c r="O195" s="227" t="e">
        <f>#REF!</f>
        <v>#REF!</v>
      </c>
      <c r="P195" s="252" t="e">
        <f>#REF!</f>
        <v>#REF!</v>
      </c>
      <c r="Q195" s="252" t="e">
        <f>#REF!</f>
        <v>#REF!</v>
      </c>
      <c r="R195" s="252" t="e">
        <f>#REF!</f>
        <v>#REF!</v>
      </c>
      <c r="S195" s="252" t="e">
        <f>#REF!</f>
        <v>#REF!</v>
      </c>
      <c r="T195" s="227" t="e">
        <f>#REF!</f>
        <v>#REF!</v>
      </c>
      <c r="U195" s="252" t="e">
        <f>#REF!</f>
        <v>#REF!</v>
      </c>
      <c r="V195" s="226" t="e">
        <f t="shared" ref="V195:X195" si="322">V197/V202</f>
        <v>#REF!</v>
      </c>
      <c r="W195" s="226" t="e">
        <f t="shared" si="322"/>
        <v>#REF!</v>
      </c>
      <c r="X195" s="226" t="e">
        <f t="shared" si="322"/>
        <v>#REF!</v>
      </c>
      <c r="Y195" s="227" t="e">
        <f>SUM(U195:X195)</f>
        <v>#REF!</v>
      </c>
      <c r="Z195" s="226" t="e">
        <f t="shared" ref="Z195:AC195" si="323">Z197/Z202</f>
        <v>#REF!</v>
      </c>
      <c r="AA195" s="226" t="e">
        <f t="shared" si="323"/>
        <v>#REF!</v>
      </c>
      <c r="AB195" s="226" t="e">
        <f t="shared" si="323"/>
        <v>#REF!</v>
      </c>
      <c r="AC195" s="226" t="e">
        <f t="shared" si="323"/>
        <v>#REF!</v>
      </c>
      <c r="AD195" s="227" t="e">
        <f>SUM(Z195:AC195)</f>
        <v>#REF!</v>
      </c>
      <c r="AE195" s="227" t="e">
        <f t="shared" ref="AE195:AG195" si="324">AE197/AE202</f>
        <v>#REF!</v>
      </c>
      <c r="AF195" s="227" t="e">
        <f t="shared" si="324"/>
        <v>#REF!</v>
      </c>
      <c r="AG195" s="227" t="e">
        <f t="shared" si="324"/>
        <v>#REF!</v>
      </c>
      <c r="AH195" s="9"/>
      <c r="AI195" s="9"/>
      <c r="AJ195" s="9"/>
    </row>
    <row r="196" spans="1:36" ht="12.75" hidden="1" customHeight="1" outlineLevel="2" x14ac:dyDescent="0.25">
      <c r="A196" s="9"/>
      <c r="B196" s="9"/>
      <c r="C196" s="103" t="s">
        <v>239</v>
      </c>
      <c r="D196" s="9"/>
      <c r="E196" s="9"/>
      <c r="F196" s="260">
        <v>0</v>
      </c>
      <c r="G196" s="260">
        <v>0</v>
      </c>
      <c r="H196" s="260">
        <v>0</v>
      </c>
      <c r="I196" s="260">
        <v>0</v>
      </c>
      <c r="J196" s="261" t="e">
        <f>0+J197-J195</f>
        <v>#REF!</v>
      </c>
      <c r="K196" s="260">
        <v>0</v>
      </c>
      <c r="L196" s="260">
        <v>0</v>
      </c>
      <c r="M196" s="260">
        <v>16251</v>
      </c>
      <c r="N196" s="260">
        <v>17223</v>
      </c>
      <c r="O196" s="261" t="e">
        <f>15631+O197-O195</f>
        <v>#REF!</v>
      </c>
      <c r="P196" s="260">
        <v>20464</v>
      </c>
      <c r="Q196" s="260">
        <v>20388</v>
      </c>
      <c r="R196" s="260">
        <v>20240</v>
      </c>
      <c r="S196" s="260">
        <v>21008</v>
      </c>
      <c r="T196" s="261" t="e">
        <f>O196+T197-T195</f>
        <v>#REF!</v>
      </c>
      <c r="U196" s="260">
        <v>20464</v>
      </c>
      <c r="V196" s="262" t="e">
        <f t="shared" ref="V196" si="325">U196+V197-V195</f>
        <v>#REF!</v>
      </c>
      <c r="W196" s="262" t="e">
        <f t="shared" ref="W196" si="326">V196+W197-W195</f>
        <v>#REF!</v>
      </c>
      <c r="X196" s="262" t="e">
        <f t="shared" ref="X196" si="327">W196+X197-X195</f>
        <v>#REF!</v>
      </c>
      <c r="Y196" s="261" t="e">
        <f>T196+Y197-Y195</f>
        <v>#REF!</v>
      </c>
      <c r="Z196" s="262" t="e">
        <f>X196+Z197-Z195</f>
        <v>#REF!</v>
      </c>
      <c r="AA196" s="262" t="e">
        <f t="shared" ref="AA196:AC196" si="328">Z196+AA197-AA195</f>
        <v>#REF!</v>
      </c>
      <c r="AB196" s="262" t="e">
        <f t="shared" si="328"/>
        <v>#REF!</v>
      </c>
      <c r="AC196" s="262" t="e">
        <f t="shared" si="328"/>
        <v>#REF!</v>
      </c>
      <c r="AD196" s="261" t="e">
        <f>Y196+AD197-AD195</f>
        <v>#REF!</v>
      </c>
      <c r="AE196" s="261" t="e">
        <f t="shared" ref="AE196:AG196" si="329">AD196+AE197-AE195</f>
        <v>#REF!</v>
      </c>
      <c r="AF196" s="261" t="e">
        <f t="shared" si="329"/>
        <v>#REF!</v>
      </c>
      <c r="AG196" s="261" t="e">
        <f t="shared" si="329"/>
        <v>#REF!</v>
      </c>
      <c r="AH196" s="9"/>
      <c r="AI196" s="9"/>
      <c r="AJ196" s="9"/>
    </row>
    <row r="197" spans="1:36" ht="12.75" hidden="1" customHeight="1" outlineLevel="2" x14ac:dyDescent="0.25">
      <c r="A197" s="9"/>
      <c r="B197" s="9"/>
      <c r="C197" s="103" t="s">
        <v>253</v>
      </c>
      <c r="D197" s="9"/>
      <c r="E197" s="9"/>
      <c r="F197" s="260" t="e">
        <f>F196+F195-(0)</f>
        <v>#REF!</v>
      </c>
      <c r="G197" s="260" t="e">
        <f t="shared" ref="G197:I197" si="330">G196+G195-F196</f>
        <v>#REF!</v>
      </c>
      <c r="H197" s="260" t="e">
        <f t="shared" si="330"/>
        <v>#REF!</v>
      </c>
      <c r="I197" s="260" t="e">
        <f t="shared" si="330"/>
        <v>#REF!</v>
      </c>
      <c r="J197" s="261" t="e">
        <f>SUM(F197:I197)</f>
        <v>#REF!</v>
      </c>
      <c r="K197" s="260" t="e">
        <f t="shared" ref="K197:L197" si="331">K196+K195-J196</f>
        <v>#REF!</v>
      </c>
      <c r="L197" s="260" t="e">
        <f t="shared" si="331"/>
        <v>#REF!</v>
      </c>
      <c r="M197" s="260" t="e">
        <f>M196+M195-15631</f>
        <v>#REF!</v>
      </c>
      <c r="N197" s="260" t="e">
        <f>N196+N195-M196</f>
        <v>#REF!</v>
      </c>
      <c r="O197" s="261" t="e">
        <f>SUM(M197:N197)</f>
        <v>#REF!</v>
      </c>
      <c r="P197" s="260" t="e">
        <f t="shared" ref="P197:U197" si="332">P196+P195-O196</f>
        <v>#REF!</v>
      </c>
      <c r="Q197" s="260" t="e">
        <f t="shared" si="332"/>
        <v>#REF!</v>
      </c>
      <c r="R197" s="260" t="e">
        <f t="shared" si="332"/>
        <v>#REF!</v>
      </c>
      <c r="S197" s="260" t="e">
        <f t="shared" si="332"/>
        <v>#REF!</v>
      </c>
      <c r="T197" s="261" t="e">
        <f>SUM(P197:S197)</f>
        <v>#REF!</v>
      </c>
      <c r="U197" s="260" t="e">
        <f t="shared" si="332"/>
        <v>#REF!</v>
      </c>
      <c r="V197" s="262" t="e">
        <f t="shared" ref="V197" si="333">U197*(1+V198)</f>
        <v>#REF!</v>
      </c>
      <c r="W197" s="262" t="e">
        <f t="shared" ref="W197" si="334">V197*(1+W198)</f>
        <v>#REF!</v>
      </c>
      <c r="X197" s="262" t="e">
        <f t="shared" ref="X197" si="335">W197*(1+X198)</f>
        <v>#REF!</v>
      </c>
      <c r="Y197" s="261" t="e">
        <f>SUM(U197:X197)</f>
        <v>#REF!</v>
      </c>
      <c r="Z197" s="262" t="e">
        <f>X197*(1+Z198)</f>
        <v>#REF!</v>
      </c>
      <c r="AA197" s="262" t="e">
        <f t="shared" ref="AA197:AC197" si="336">Z197*(1+AA198)</f>
        <v>#REF!</v>
      </c>
      <c r="AB197" s="262" t="e">
        <f t="shared" si="336"/>
        <v>#REF!</v>
      </c>
      <c r="AC197" s="262" t="e">
        <f t="shared" si="336"/>
        <v>#REF!</v>
      </c>
      <c r="AD197" s="261" t="e">
        <f>SUM(Z197:AC197)</f>
        <v>#REF!</v>
      </c>
      <c r="AE197" s="261" t="e">
        <f t="shared" ref="AE197:AG197" si="337">AD197*(1+AE198)</f>
        <v>#REF!</v>
      </c>
      <c r="AF197" s="261" t="e">
        <f t="shared" si="337"/>
        <v>#REF!</v>
      </c>
      <c r="AG197" s="261" t="e">
        <f t="shared" si="337"/>
        <v>#REF!</v>
      </c>
      <c r="AH197" s="9"/>
      <c r="AI197" s="9"/>
      <c r="AJ197" s="9"/>
    </row>
    <row r="198" spans="1:36" ht="12.75" hidden="1" customHeight="1" outlineLevel="2" x14ac:dyDescent="0.25">
      <c r="A198" s="9"/>
      <c r="B198" s="9"/>
      <c r="C198" s="84" t="s">
        <v>254</v>
      </c>
      <c r="D198" s="9"/>
      <c r="E198" s="9"/>
      <c r="F198" s="254"/>
      <c r="G198" s="253" t="str">
        <f t="shared" ref="G198:I198" si="338">IFERROR(G197/F197-1,"--")</f>
        <v>--</v>
      </c>
      <c r="H198" s="253" t="str">
        <f t="shared" si="338"/>
        <v>--</v>
      </c>
      <c r="I198" s="253" t="str">
        <f t="shared" si="338"/>
        <v>--</v>
      </c>
      <c r="J198" s="132"/>
      <c r="K198" s="253" t="str">
        <f>IFERROR(K197/I197-1,"--")</f>
        <v>--</v>
      </c>
      <c r="L198" s="253" t="str">
        <f t="shared" ref="L198:N198" si="339">IFERROR(L197/K197-1,"--")</f>
        <v>--</v>
      </c>
      <c r="M198" s="253" t="str">
        <f t="shared" si="339"/>
        <v>--</v>
      </c>
      <c r="N198" s="253" t="str">
        <f t="shared" si="339"/>
        <v>--</v>
      </c>
      <c r="O198" s="245" t="str">
        <f>IFERROR(O197/J197-1,"--")</f>
        <v>--</v>
      </c>
      <c r="P198" s="253" t="str">
        <f>IFERROR(P197/N197-1,"--")</f>
        <v>--</v>
      </c>
      <c r="Q198" s="253" t="str">
        <f t="shared" ref="Q198:S198" si="340">IFERROR(Q197/P197-1,"--")</f>
        <v>--</v>
      </c>
      <c r="R198" s="253" t="str">
        <f t="shared" si="340"/>
        <v>--</v>
      </c>
      <c r="S198" s="253" t="str">
        <f t="shared" si="340"/>
        <v>--</v>
      </c>
      <c r="T198" s="245" t="str">
        <f>IFERROR(T197/O197-1,"--")</f>
        <v>--</v>
      </c>
      <c r="U198" s="253" t="str">
        <f>IFERROR(U197/S197-1,"--")</f>
        <v>--</v>
      </c>
      <c r="V198" s="244">
        <f>IF(Case_Scenario="Bull",V199,IF(Case_Scenario="Base",V200,IF(Case_Scenario="bear",V201,"N/A")))</f>
        <v>0.05</v>
      </c>
      <c r="W198" s="244">
        <f>IF(Case_Scenario="Bull",W199,IF(Case_Scenario="Base",W200,IF(Case_Scenario="bear",W201,"N/A")))</f>
        <v>0.05</v>
      </c>
      <c r="X198" s="244">
        <f>IF(Case_Scenario="Bull",X199,IF(Case_Scenario="Base",X200,IF(Case_Scenario="bear",X201,"N/A")))</f>
        <v>0.05</v>
      </c>
      <c r="Y198" s="245"/>
      <c r="Z198" s="244">
        <f>IF(Case_Scenario="Bull",Z199,IF(Case_Scenario="Base",Z200,IF(Case_Scenario="bear",Z201,"N/A")))</f>
        <v>0.05</v>
      </c>
      <c r="AA198" s="244">
        <f>IF(Case_Scenario="Bull",AA199,IF(Case_Scenario="Base",AA200,IF(Case_Scenario="bear",AA201,"N/A")))</f>
        <v>0.05</v>
      </c>
      <c r="AB198" s="244">
        <f>IF(Case_Scenario="Bull",AB199,IF(Case_Scenario="Base",AB200,IF(Case_Scenario="bear",AB201,"N/A")))</f>
        <v>0.05</v>
      </c>
      <c r="AC198" s="244">
        <f>IF(Case_Scenario="Bull",AC199,IF(Case_Scenario="Base",AC200,IF(Case_Scenario="bear",AC201,"N/A")))</f>
        <v>0.05</v>
      </c>
      <c r="AD198" s="245"/>
      <c r="AE198" s="245">
        <f>IF(Case_Scenario="Bull",AE199,IF(Case_Scenario="Base",AE200,IF(Case_Scenario="bear",AE201,"N/A")))</f>
        <v>0.05</v>
      </c>
      <c r="AF198" s="245">
        <f>IF(Case_Scenario="Bull",AF199,IF(Case_Scenario="Base",AF200,IF(Case_Scenario="bear",AF201,"N/A")))</f>
        <v>0.05</v>
      </c>
      <c r="AG198" s="245">
        <f>IF(Case_Scenario="Bull",AG199,IF(Case_Scenario="Base",AG200,IF(Case_Scenario="bear",AG201,"N/A")))</f>
        <v>0.05</v>
      </c>
      <c r="AH198" s="9"/>
      <c r="AI198" s="9"/>
      <c r="AJ198" s="9"/>
    </row>
    <row r="199" spans="1:36" ht="12.75" hidden="1" customHeight="1" outlineLevel="2" x14ac:dyDescent="0.25">
      <c r="A199" s="9"/>
      <c r="B199" s="9"/>
      <c r="C199" s="103" t="s">
        <v>246</v>
      </c>
      <c r="D199" s="9"/>
      <c r="E199" s="9"/>
      <c r="F199" s="254"/>
      <c r="G199" s="254"/>
      <c r="H199" s="254"/>
      <c r="I199" s="254"/>
      <c r="J199" s="132"/>
      <c r="K199" s="254"/>
      <c r="L199" s="254"/>
      <c r="M199" s="254"/>
      <c r="N199" s="254"/>
      <c r="O199" s="132"/>
      <c r="P199" s="254"/>
      <c r="Q199" s="254"/>
      <c r="R199" s="254"/>
      <c r="S199" s="254"/>
      <c r="T199" s="132"/>
      <c r="U199" s="254"/>
      <c r="V199" s="255">
        <v>0.1</v>
      </c>
      <c r="W199" s="255">
        <v>0.1</v>
      </c>
      <c r="X199" s="255">
        <v>0.1</v>
      </c>
      <c r="Y199" s="256"/>
      <c r="Z199" s="255">
        <v>0.1</v>
      </c>
      <c r="AA199" s="255">
        <v>0.1</v>
      </c>
      <c r="AB199" s="255">
        <v>0.1</v>
      </c>
      <c r="AC199" s="255">
        <v>0.1</v>
      </c>
      <c r="AD199" s="256"/>
      <c r="AE199" s="256">
        <v>0.1</v>
      </c>
      <c r="AF199" s="256">
        <v>0.1</v>
      </c>
      <c r="AG199" s="256">
        <v>0.1</v>
      </c>
      <c r="AH199" s="9"/>
      <c r="AI199" s="9"/>
      <c r="AJ199" s="9"/>
    </row>
    <row r="200" spans="1:36" ht="12.75" hidden="1" customHeight="1" outlineLevel="2" x14ac:dyDescent="0.25">
      <c r="A200" s="9"/>
      <c r="B200" s="9"/>
      <c r="C200" s="103" t="s">
        <v>247</v>
      </c>
      <c r="D200" s="9"/>
      <c r="E200" s="9"/>
      <c r="F200" s="254"/>
      <c r="G200" s="254"/>
      <c r="H200" s="254"/>
      <c r="I200" s="254"/>
      <c r="J200" s="132"/>
      <c r="K200" s="254"/>
      <c r="L200" s="254"/>
      <c r="M200" s="254"/>
      <c r="N200" s="254"/>
      <c r="O200" s="132"/>
      <c r="P200" s="254"/>
      <c r="Q200" s="254"/>
      <c r="R200" s="254"/>
      <c r="S200" s="254"/>
      <c r="T200" s="132"/>
      <c r="U200" s="254"/>
      <c r="V200" s="255">
        <v>0.05</v>
      </c>
      <c r="W200" s="255">
        <v>0.05</v>
      </c>
      <c r="X200" s="255">
        <v>0.05</v>
      </c>
      <c r="Y200" s="256"/>
      <c r="Z200" s="255">
        <v>0.05</v>
      </c>
      <c r="AA200" s="255">
        <v>0.05</v>
      </c>
      <c r="AB200" s="255">
        <v>0.05</v>
      </c>
      <c r="AC200" s="255">
        <v>0.05</v>
      </c>
      <c r="AD200" s="256"/>
      <c r="AE200" s="256">
        <v>0.05</v>
      </c>
      <c r="AF200" s="256">
        <v>0.05</v>
      </c>
      <c r="AG200" s="256">
        <v>0.05</v>
      </c>
      <c r="AH200" s="9"/>
      <c r="AI200" s="9"/>
      <c r="AJ200" s="9"/>
    </row>
    <row r="201" spans="1:36" ht="12.75" hidden="1" customHeight="1" outlineLevel="2" x14ac:dyDescent="0.25">
      <c r="A201" s="9"/>
      <c r="B201" s="9"/>
      <c r="C201" s="103" t="s">
        <v>248</v>
      </c>
      <c r="D201" s="9"/>
      <c r="E201" s="9"/>
      <c r="F201" s="254"/>
      <c r="G201" s="254"/>
      <c r="H201" s="254"/>
      <c r="I201" s="254"/>
      <c r="J201" s="132"/>
      <c r="K201" s="254"/>
      <c r="L201" s="254"/>
      <c r="M201" s="254"/>
      <c r="N201" s="254"/>
      <c r="O201" s="132"/>
      <c r="P201" s="254"/>
      <c r="Q201" s="254"/>
      <c r="R201" s="254"/>
      <c r="S201" s="254"/>
      <c r="T201" s="132"/>
      <c r="U201" s="254"/>
      <c r="V201" s="255">
        <v>0</v>
      </c>
      <c r="W201" s="255">
        <v>0</v>
      </c>
      <c r="X201" s="255">
        <v>0</v>
      </c>
      <c r="Y201" s="256"/>
      <c r="Z201" s="255">
        <v>0</v>
      </c>
      <c r="AA201" s="255">
        <v>0</v>
      </c>
      <c r="AB201" s="255">
        <v>0</v>
      </c>
      <c r="AC201" s="255">
        <v>0</v>
      </c>
      <c r="AD201" s="256"/>
      <c r="AE201" s="256">
        <v>0</v>
      </c>
      <c r="AF201" s="256">
        <v>0</v>
      </c>
      <c r="AG201" s="256">
        <v>0</v>
      </c>
      <c r="AH201" s="9"/>
      <c r="AI201" s="9"/>
      <c r="AJ201" s="9"/>
    </row>
    <row r="202" spans="1:36" ht="12.75" hidden="1" customHeight="1" outlineLevel="2" x14ac:dyDescent="0.25">
      <c r="A202" s="9"/>
      <c r="B202" s="9"/>
      <c r="C202" s="103" t="s">
        <v>255</v>
      </c>
      <c r="D202" s="9"/>
      <c r="E202" s="9"/>
      <c r="F202" s="274" t="e">
        <f t="shared" ref="F202:T202" si="341">F197/F195</f>
        <v>#REF!</v>
      </c>
      <c r="G202" s="274" t="e">
        <f t="shared" si="341"/>
        <v>#REF!</v>
      </c>
      <c r="H202" s="274" t="e">
        <f t="shared" si="341"/>
        <v>#REF!</v>
      </c>
      <c r="I202" s="274" t="e">
        <f t="shared" si="341"/>
        <v>#REF!</v>
      </c>
      <c r="J202" s="275" t="e">
        <f t="shared" si="341"/>
        <v>#REF!</v>
      </c>
      <c r="K202" s="274" t="e">
        <f t="shared" si="341"/>
        <v>#REF!</v>
      </c>
      <c r="L202" s="274" t="e">
        <f t="shared" si="341"/>
        <v>#REF!</v>
      </c>
      <c r="M202" s="274" t="e">
        <f t="shared" si="341"/>
        <v>#REF!</v>
      </c>
      <c r="N202" s="274" t="e">
        <f t="shared" si="341"/>
        <v>#REF!</v>
      </c>
      <c r="O202" s="275" t="e">
        <f t="shared" si="341"/>
        <v>#REF!</v>
      </c>
      <c r="P202" s="274" t="e">
        <f t="shared" si="341"/>
        <v>#REF!</v>
      </c>
      <c r="Q202" s="274" t="e">
        <f t="shared" si="341"/>
        <v>#REF!</v>
      </c>
      <c r="R202" s="274" t="e">
        <f t="shared" si="341"/>
        <v>#REF!</v>
      </c>
      <c r="S202" s="274" t="e">
        <f t="shared" si="341"/>
        <v>#REF!</v>
      </c>
      <c r="T202" s="275" t="e">
        <f t="shared" si="341"/>
        <v>#REF!</v>
      </c>
      <c r="U202" s="274" t="e">
        <f t="shared" ref="U202" si="342">U197/U195</f>
        <v>#REF!</v>
      </c>
      <c r="V202" s="269">
        <f>IF(Case_Scenario="Bull",V203,IF(Case_Scenario="Base",V204,IF(Case_Scenario="bear",V205,"N/A")))</f>
        <v>1.25</v>
      </c>
      <c r="W202" s="269">
        <f>IF(Case_Scenario="Bull",W203,IF(Case_Scenario="Base",W204,IF(Case_Scenario="bear",W205,"N/A")))</f>
        <v>1.25</v>
      </c>
      <c r="X202" s="269">
        <f>IF(Case_Scenario="Bull",X203,IF(Case_Scenario="Base",X204,IF(Case_Scenario="bear",X205,"N/A")))</f>
        <v>1.25</v>
      </c>
      <c r="Y202" s="268" t="e">
        <f>AVERAGE(U202:X202)</f>
        <v>#REF!</v>
      </c>
      <c r="Z202" s="269">
        <f>IF(Case_Scenario="Bull",Z203,IF(Case_Scenario="Base",Z204,IF(Case_Scenario="bear",Z205,"N/A")))</f>
        <v>1.25</v>
      </c>
      <c r="AA202" s="269">
        <f>IF(Case_Scenario="Bull",AA203,IF(Case_Scenario="Base",AA204,IF(Case_Scenario="bear",AA205,"N/A")))</f>
        <v>1.25</v>
      </c>
      <c r="AB202" s="269">
        <f>IF(Case_Scenario="Bull",AB203,IF(Case_Scenario="Base",AB204,IF(Case_Scenario="bear",AB205,"N/A")))</f>
        <v>1.25</v>
      </c>
      <c r="AC202" s="269">
        <f>IF(Case_Scenario="Bull",AC203,IF(Case_Scenario="Base",AC204,IF(Case_Scenario="bear",AC205,"N/A")))</f>
        <v>1.25</v>
      </c>
      <c r="AD202" s="268">
        <f>AVERAGE(Z202:AC202)</f>
        <v>1.25</v>
      </c>
      <c r="AE202" s="268">
        <f>IF(Case_Scenario="Bull",AE203,IF(Case_Scenario="Base",AE204,IF(Case_Scenario="bear",AE205,"N/A")))</f>
        <v>1.25</v>
      </c>
      <c r="AF202" s="268">
        <f>IF(Case_Scenario="Bull",AF203,IF(Case_Scenario="Base",AF204,IF(Case_Scenario="bear",AF205,"N/A")))</f>
        <v>1.25</v>
      </c>
      <c r="AG202" s="268">
        <f>IF(Case_Scenario="Bull",AG203,IF(Case_Scenario="Base",AG204,IF(Case_Scenario="bear",AG205,"N/A")))</f>
        <v>1.25</v>
      </c>
      <c r="AH202" s="9"/>
      <c r="AI202" s="9"/>
      <c r="AJ202" s="9"/>
    </row>
    <row r="203" spans="1:36" ht="12.75" hidden="1" customHeight="1" outlineLevel="2" x14ac:dyDescent="0.25">
      <c r="A203" s="9"/>
      <c r="B203" s="9"/>
      <c r="C203" s="103" t="s">
        <v>246</v>
      </c>
      <c r="D203" s="9"/>
      <c r="E203" s="9"/>
      <c r="F203" s="254"/>
      <c r="G203" s="253"/>
      <c r="H203" s="253"/>
      <c r="I203" s="253"/>
      <c r="J203" s="132"/>
      <c r="K203" s="253"/>
      <c r="L203" s="253"/>
      <c r="M203" s="253"/>
      <c r="N203" s="253"/>
      <c r="O203" s="245"/>
      <c r="P203" s="253"/>
      <c r="Q203" s="253"/>
      <c r="R203" s="253"/>
      <c r="S203" s="253"/>
      <c r="T203" s="245"/>
      <c r="U203" s="253"/>
      <c r="V203" s="272">
        <v>1</v>
      </c>
      <c r="W203" s="272">
        <v>1</v>
      </c>
      <c r="X203" s="272">
        <v>1</v>
      </c>
      <c r="Y203" s="273"/>
      <c r="Z203" s="272">
        <v>1</v>
      </c>
      <c r="AA203" s="272">
        <v>1</v>
      </c>
      <c r="AB203" s="272">
        <v>1</v>
      </c>
      <c r="AC203" s="272">
        <v>1</v>
      </c>
      <c r="AD203" s="273"/>
      <c r="AE203" s="273">
        <v>1</v>
      </c>
      <c r="AF203" s="273">
        <v>1</v>
      </c>
      <c r="AG203" s="273">
        <v>1</v>
      </c>
      <c r="AH203" s="9"/>
      <c r="AI203" s="9"/>
      <c r="AJ203" s="9"/>
    </row>
    <row r="204" spans="1:36" ht="12.75" hidden="1" customHeight="1" outlineLevel="2" x14ac:dyDescent="0.25">
      <c r="A204" s="9"/>
      <c r="B204" s="9"/>
      <c r="C204" s="103" t="s">
        <v>247</v>
      </c>
      <c r="D204" s="9"/>
      <c r="E204" s="9"/>
      <c r="F204" s="254"/>
      <c r="G204" s="254"/>
      <c r="H204" s="254"/>
      <c r="I204" s="254"/>
      <c r="J204" s="132"/>
      <c r="K204" s="254"/>
      <c r="L204" s="254"/>
      <c r="M204" s="254"/>
      <c r="N204" s="254"/>
      <c r="O204" s="132"/>
      <c r="P204" s="254"/>
      <c r="Q204" s="254"/>
      <c r="R204" s="254"/>
      <c r="S204" s="254"/>
      <c r="T204" s="132"/>
      <c r="U204" s="254"/>
      <c r="V204" s="272">
        <v>1.25</v>
      </c>
      <c r="W204" s="272">
        <v>1.25</v>
      </c>
      <c r="X204" s="272">
        <v>1.25</v>
      </c>
      <c r="Y204" s="273"/>
      <c r="Z204" s="272">
        <v>1.25</v>
      </c>
      <c r="AA204" s="272">
        <v>1.25</v>
      </c>
      <c r="AB204" s="272">
        <v>1.25</v>
      </c>
      <c r="AC204" s="272">
        <v>1.25</v>
      </c>
      <c r="AD204" s="273"/>
      <c r="AE204" s="273">
        <v>1.25</v>
      </c>
      <c r="AF204" s="273">
        <v>1.25</v>
      </c>
      <c r="AG204" s="273">
        <v>1.25</v>
      </c>
      <c r="AH204" s="9"/>
      <c r="AI204" s="9"/>
      <c r="AJ204" s="9"/>
    </row>
    <row r="205" spans="1:36" ht="12.75" hidden="1" customHeight="1" outlineLevel="2" x14ac:dyDescent="0.25">
      <c r="A205" s="9"/>
      <c r="B205" s="9"/>
      <c r="C205" s="103" t="s">
        <v>248</v>
      </c>
      <c r="D205" s="9"/>
      <c r="E205" s="9"/>
      <c r="F205" s="254"/>
      <c r="G205" s="254"/>
      <c r="H205" s="254"/>
      <c r="I205" s="254"/>
      <c r="J205" s="132"/>
      <c r="K205" s="254"/>
      <c r="L205" s="254"/>
      <c r="M205" s="254"/>
      <c r="N205" s="254"/>
      <c r="O205" s="132"/>
      <c r="P205" s="254"/>
      <c r="Q205" s="254"/>
      <c r="R205" s="254"/>
      <c r="S205" s="254"/>
      <c r="T205" s="132"/>
      <c r="U205" s="254"/>
      <c r="V205" s="272">
        <v>1.5</v>
      </c>
      <c r="W205" s="272">
        <v>1.5</v>
      </c>
      <c r="X205" s="272">
        <v>1.5</v>
      </c>
      <c r="Y205" s="273"/>
      <c r="Z205" s="272">
        <v>1.5</v>
      </c>
      <c r="AA205" s="272">
        <v>1.5</v>
      </c>
      <c r="AB205" s="272">
        <v>1.5</v>
      </c>
      <c r="AC205" s="272">
        <v>1.5</v>
      </c>
      <c r="AD205" s="273"/>
      <c r="AE205" s="273">
        <v>1.5</v>
      </c>
      <c r="AF205" s="273">
        <v>1.5</v>
      </c>
      <c r="AG205" s="273">
        <v>1.5</v>
      </c>
      <c r="AH205" s="9"/>
      <c r="AI205" s="9"/>
      <c r="AJ205" s="9"/>
    </row>
    <row r="206" spans="1:36" ht="12.75" hidden="1" customHeight="1" outlineLevel="2" x14ac:dyDescent="0.25">
      <c r="A206" s="9"/>
      <c r="B206" s="9"/>
      <c r="C206" s="9"/>
      <c r="D206" s="9"/>
      <c r="E206" s="9"/>
      <c r="F206" s="254"/>
      <c r="G206" s="254"/>
      <c r="H206" s="254"/>
      <c r="I206" s="254"/>
      <c r="J206" s="132"/>
      <c r="K206" s="254"/>
      <c r="L206" s="254"/>
      <c r="M206" s="254"/>
      <c r="N206" s="254"/>
      <c r="O206" s="132"/>
      <c r="P206" s="254"/>
      <c r="Q206" s="254"/>
      <c r="R206" s="254"/>
      <c r="S206" s="254"/>
      <c r="T206" s="132"/>
      <c r="U206" s="254"/>
      <c r="V206" s="255"/>
      <c r="W206" s="255"/>
      <c r="X206" s="255"/>
      <c r="Y206" s="256"/>
      <c r="Z206" s="255"/>
      <c r="AA206" s="255"/>
      <c r="AB206" s="255"/>
      <c r="AC206" s="255"/>
      <c r="AD206" s="256"/>
      <c r="AE206" s="256"/>
      <c r="AF206" s="256"/>
      <c r="AG206" s="256"/>
      <c r="AH206" s="9"/>
      <c r="AI206" s="9"/>
      <c r="AJ206" s="9"/>
    </row>
    <row r="207" spans="1:36" ht="12.75" hidden="1" customHeight="1" outlineLevel="2" x14ac:dyDescent="0.25">
      <c r="A207" s="205" t="s">
        <v>0</v>
      </c>
      <c r="B207" s="9"/>
      <c r="C207" s="103" t="e">
        <f>#REF!</f>
        <v>#REF!</v>
      </c>
      <c r="D207" s="9"/>
      <c r="E207" s="9"/>
      <c r="F207" s="252" t="e">
        <f>#REF!</f>
        <v>#REF!</v>
      </c>
      <c r="G207" s="252" t="e">
        <f>#REF!</f>
        <v>#REF!</v>
      </c>
      <c r="H207" s="252" t="e">
        <f>#REF!</f>
        <v>#REF!</v>
      </c>
      <c r="I207" s="252" t="e">
        <f>#REF!</f>
        <v>#REF!</v>
      </c>
      <c r="J207" s="227" t="e">
        <f>#REF!</f>
        <v>#REF!</v>
      </c>
      <c r="K207" s="252" t="e">
        <f>#REF!</f>
        <v>#REF!</v>
      </c>
      <c r="L207" s="252" t="e">
        <f>#REF!</f>
        <v>#REF!</v>
      </c>
      <c r="M207" s="252" t="e">
        <f>#REF!</f>
        <v>#REF!</v>
      </c>
      <c r="N207" s="252" t="e">
        <f>#REF!</f>
        <v>#REF!</v>
      </c>
      <c r="O207" s="227" t="e">
        <f>#REF!</f>
        <v>#REF!</v>
      </c>
      <c r="P207" s="252" t="e">
        <f>#REF!</f>
        <v>#REF!</v>
      </c>
      <c r="Q207" s="252" t="e">
        <f>#REF!</f>
        <v>#REF!</v>
      </c>
      <c r="R207" s="252" t="e">
        <f>#REF!</f>
        <v>#REF!</v>
      </c>
      <c r="S207" s="252" t="e">
        <f>#REF!</f>
        <v>#REF!</v>
      </c>
      <c r="T207" s="227" t="e">
        <f>#REF!</f>
        <v>#REF!</v>
      </c>
      <c r="U207" s="252" t="e">
        <f>#REF!</f>
        <v>#REF!</v>
      </c>
      <c r="V207" s="226" t="e">
        <f t="shared" ref="V207:X207" si="343">V209/V214</f>
        <v>#REF!</v>
      </c>
      <c r="W207" s="226" t="e">
        <f t="shared" si="343"/>
        <v>#REF!</v>
      </c>
      <c r="X207" s="226" t="e">
        <f t="shared" si="343"/>
        <v>#REF!</v>
      </c>
      <c r="Y207" s="227" t="e">
        <f>SUM(U207:X207)</f>
        <v>#REF!</v>
      </c>
      <c r="Z207" s="226" t="e">
        <f t="shared" ref="Z207:AC207" si="344">Z209/Z214</f>
        <v>#REF!</v>
      </c>
      <c r="AA207" s="226" t="e">
        <f t="shared" si="344"/>
        <v>#REF!</v>
      </c>
      <c r="AB207" s="226" t="e">
        <f t="shared" si="344"/>
        <v>#REF!</v>
      </c>
      <c r="AC207" s="226" t="e">
        <f t="shared" si="344"/>
        <v>#REF!</v>
      </c>
      <c r="AD207" s="227" t="e">
        <f>SUM(Z207:AC207)</f>
        <v>#REF!</v>
      </c>
      <c r="AE207" s="227" t="e">
        <f t="shared" ref="AE207:AG207" si="345">AE209/AE214</f>
        <v>#REF!</v>
      </c>
      <c r="AF207" s="227" t="e">
        <f t="shared" si="345"/>
        <v>#REF!</v>
      </c>
      <c r="AG207" s="227" t="e">
        <f t="shared" si="345"/>
        <v>#REF!</v>
      </c>
      <c r="AH207" s="9"/>
      <c r="AI207" s="9"/>
      <c r="AJ207" s="9"/>
    </row>
    <row r="208" spans="1:36" ht="12.75" hidden="1" customHeight="1" outlineLevel="2" x14ac:dyDescent="0.25">
      <c r="A208" s="9"/>
      <c r="B208" s="9"/>
      <c r="C208" s="103" t="s">
        <v>239</v>
      </c>
      <c r="D208" s="9"/>
      <c r="E208" s="9"/>
      <c r="F208" s="260">
        <v>0</v>
      </c>
      <c r="G208" s="260">
        <v>0</v>
      </c>
      <c r="H208" s="260">
        <v>0</v>
      </c>
      <c r="I208" s="260">
        <v>0</v>
      </c>
      <c r="J208" s="261">
        <v>0</v>
      </c>
      <c r="K208" s="260">
        <v>0</v>
      </c>
      <c r="L208" s="260">
        <v>0</v>
      </c>
      <c r="M208" s="260">
        <v>0</v>
      </c>
      <c r="N208" s="260">
        <v>0</v>
      </c>
      <c r="O208" s="261">
        <v>0</v>
      </c>
      <c r="P208" s="260">
        <v>0</v>
      </c>
      <c r="Q208" s="260">
        <v>0</v>
      </c>
      <c r="R208" s="260">
        <v>0</v>
      </c>
      <c r="S208" s="260">
        <v>0</v>
      </c>
      <c r="T208" s="261">
        <v>0</v>
      </c>
      <c r="U208" s="260">
        <v>0</v>
      </c>
      <c r="V208" s="262" t="e">
        <f t="shared" ref="V208" si="346">U208+V209-V207</f>
        <v>#REF!</v>
      </c>
      <c r="W208" s="262" t="e">
        <f t="shared" ref="W208" si="347">V208+W209-W207</f>
        <v>#REF!</v>
      </c>
      <c r="X208" s="262" t="e">
        <f t="shared" ref="X208" si="348">W208+X209-X207</f>
        <v>#REF!</v>
      </c>
      <c r="Y208" s="261" t="e">
        <f>T208+Y209-Y207</f>
        <v>#REF!</v>
      </c>
      <c r="Z208" s="262" t="e">
        <f>X208+Z209-Z207</f>
        <v>#REF!</v>
      </c>
      <c r="AA208" s="262" t="e">
        <f t="shared" ref="AA208:AC208" si="349">Z208+AA209-AA207</f>
        <v>#REF!</v>
      </c>
      <c r="AB208" s="262" t="e">
        <f t="shared" si="349"/>
        <v>#REF!</v>
      </c>
      <c r="AC208" s="262" t="e">
        <f t="shared" si="349"/>
        <v>#REF!</v>
      </c>
      <c r="AD208" s="261" t="e">
        <f>Y208+AD209-AD207</f>
        <v>#REF!</v>
      </c>
      <c r="AE208" s="261" t="e">
        <f t="shared" ref="AE208:AG208" si="350">AD208+AE209-AE207</f>
        <v>#REF!</v>
      </c>
      <c r="AF208" s="261" t="e">
        <f t="shared" si="350"/>
        <v>#REF!</v>
      </c>
      <c r="AG208" s="261" t="e">
        <f t="shared" si="350"/>
        <v>#REF!</v>
      </c>
      <c r="AH208" s="9"/>
      <c r="AI208" s="9"/>
      <c r="AJ208" s="9"/>
    </row>
    <row r="209" spans="1:36" ht="12.75" hidden="1" customHeight="1" outlineLevel="2" x14ac:dyDescent="0.25">
      <c r="A209" s="9"/>
      <c r="B209" s="9"/>
      <c r="C209" s="103" t="s">
        <v>253</v>
      </c>
      <c r="D209" s="9"/>
      <c r="E209" s="9"/>
      <c r="F209" s="260" t="e">
        <f>F208+F207-(0)</f>
        <v>#REF!</v>
      </c>
      <c r="G209" s="260" t="e">
        <f t="shared" ref="G209:I209" si="351">G208+G207-F208</f>
        <v>#REF!</v>
      </c>
      <c r="H209" s="260" t="e">
        <f t="shared" si="351"/>
        <v>#REF!</v>
      </c>
      <c r="I209" s="260" t="e">
        <f t="shared" si="351"/>
        <v>#REF!</v>
      </c>
      <c r="J209" s="261" t="e">
        <f>SUM(F209:I209)</f>
        <v>#REF!</v>
      </c>
      <c r="K209" s="260" t="e">
        <f t="shared" ref="K209:N209" si="352">K208+K207-J208</f>
        <v>#REF!</v>
      </c>
      <c r="L209" s="260" t="e">
        <f t="shared" si="352"/>
        <v>#REF!</v>
      </c>
      <c r="M209" s="260" t="e">
        <f t="shared" si="352"/>
        <v>#REF!</v>
      </c>
      <c r="N209" s="260" t="e">
        <f t="shared" si="352"/>
        <v>#REF!</v>
      </c>
      <c r="O209" s="261" t="e">
        <f>SUM(K209:N209)</f>
        <v>#REF!</v>
      </c>
      <c r="P209" s="260" t="e">
        <f t="shared" ref="P209:U209" si="353">P208+P207-O208</f>
        <v>#REF!</v>
      </c>
      <c r="Q209" s="260" t="e">
        <f t="shared" si="353"/>
        <v>#REF!</v>
      </c>
      <c r="R209" s="260" t="e">
        <f t="shared" si="353"/>
        <v>#REF!</v>
      </c>
      <c r="S209" s="260" t="e">
        <f t="shared" si="353"/>
        <v>#REF!</v>
      </c>
      <c r="T209" s="261" t="e">
        <f>SUM(P209:S209)</f>
        <v>#REF!</v>
      </c>
      <c r="U209" s="260" t="e">
        <f t="shared" si="353"/>
        <v>#REF!</v>
      </c>
      <c r="V209" s="262" t="e">
        <f t="shared" ref="V209" si="354">U209*(1+V210)</f>
        <v>#REF!</v>
      </c>
      <c r="W209" s="262" t="e">
        <f t="shared" ref="W209" si="355">V209*(1+W210)</f>
        <v>#REF!</v>
      </c>
      <c r="X209" s="262" t="e">
        <f t="shared" ref="X209" si="356">W209*(1+X210)</f>
        <v>#REF!</v>
      </c>
      <c r="Y209" s="261" t="e">
        <f>SUM(U209:X209)</f>
        <v>#REF!</v>
      </c>
      <c r="Z209" s="262" t="e">
        <f>X209*(1+Z210)</f>
        <v>#REF!</v>
      </c>
      <c r="AA209" s="262" t="e">
        <f t="shared" ref="AA209:AC209" si="357">Z209*(1+AA210)</f>
        <v>#REF!</v>
      </c>
      <c r="AB209" s="262" t="e">
        <f t="shared" si="357"/>
        <v>#REF!</v>
      </c>
      <c r="AC209" s="262" t="e">
        <f t="shared" si="357"/>
        <v>#REF!</v>
      </c>
      <c r="AD209" s="261" t="e">
        <f>SUM(Z209:AC209)</f>
        <v>#REF!</v>
      </c>
      <c r="AE209" s="261" t="e">
        <f t="shared" ref="AE209:AG209" si="358">AD209*(1+AE210)</f>
        <v>#REF!</v>
      </c>
      <c r="AF209" s="261" t="e">
        <f t="shared" si="358"/>
        <v>#REF!</v>
      </c>
      <c r="AG209" s="261" t="e">
        <f t="shared" si="358"/>
        <v>#REF!</v>
      </c>
      <c r="AH209" s="9"/>
      <c r="AI209" s="9"/>
      <c r="AJ209" s="9"/>
    </row>
    <row r="210" spans="1:36" ht="12.75" hidden="1" customHeight="1" outlineLevel="2" x14ac:dyDescent="0.25">
      <c r="A210" s="9"/>
      <c r="B210" s="9"/>
      <c r="C210" s="84" t="s">
        <v>254</v>
      </c>
      <c r="D210" s="9"/>
      <c r="E210" s="9"/>
      <c r="F210" s="254"/>
      <c r="G210" s="253" t="str">
        <f t="shared" ref="G210:I210" si="359">IFERROR(G209/F209-1,"--")</f>
        <v>--</v>
      </c>
      <c r="H210" s="253" t="str">
        <f t="shared" si="359"/>
        <v>--</v>
      </c>
      <c r="I210" s="253" t="str">
        <f t="shared" si="359"/>
        <v>--</v>
      </c>
      <c r="J210" s="132"/>
      <c r="K210" s="253" t="str">
        <f>IFERROR(K209/I209-1,"--")</f>
        <v>--</v>
      </c>
      <c r="L210" s="253" t="str">
        <f t="shared" ref="L210:N210" si="360">IFERROR(L209/K209-1,"--")</f>
        <v>--</v>
      </c>
      <c r="M210" s="253" t="str">
        <f t="shared" si="360"/>
        <v>--</v>
      </c>
      <c r="N210" s="253" t="str">
        <f t="shared" si="360"/>
        <v>--</v>
      </c>
      <c r="O210" s="245" t="str">
        <f>IFERROR(O209/J209-1,"--")</f>
        <v>--</v>
      </c>
      <c r="P210" s="253" t="str">
        <f>IFERROR(P209/N209-1,"--")</f>
        <v>--</v>
      </c>
      <c r="Q210" s="253" t="str">
        <f t="shared" ref="Q210:S210" si="361">IFERROR(Q209/P209-1,"--")</f>
        <v>--</v>
      </c>
      <c r="R210" s="253" t="str">
        <f t="shared" si="361"/>
        <v>--</v>
      </c>
      <c r="S210" s="253" t="str">
        <f t="shared" si="361"/>
        <v>--</v>
      </c>
      <c r="T210" s="245" t="str">
        <f>IFERROR(T209/O209-1,"--")</f>
        <v>--</v>
      </c>
      <c r="U210" s="253" t="str">
        <f>IFERROR(U209/S209-1,"--")</f>
        <v>--</v>
      </c>
      <c r="V210" s="244">
        <f>IF(Case_Scenario="Bull",V211,IF(Case_Scenario="Base",V212,IF(Case_Scenario="bear",V213,"N/A")))</f>
        <v>0.05</v>
      </c>
      <c r="W210" s="244">
        <f>IF(Case_Scenario="Bull",W211,IF(Case_Scenario="Base",W212,IF(Case_Scenario="bear",W213,"N/A")))</f>
        <v>0.05</v>
      </c>
      <c r="X210" s="244">
        <f>IF(Case_Scenario="Bull",X211,IF(Case_Scenario="Base",X212,IF(Case_Scenario="bear",X213,"N/A")))</f>
        <v>0.05</v>
      </c>
      <c r="Y210" s="245"/>
      <c r="Z210" s="244">
        <f>IF(Case_Scenario="Bull",Z211,IF(Case_Scenario="Base",Z212,IF(Case_Scenario="bear",Z213,"N/A")))</f>
        <v>0.05</v>
      </c>
      <c r="AA210" s="244">
        <f>IF(Case_Scenario="Bull",AA211,IF(Case_Scenario="Base",AA212,IF(Case_Scenario="bear",AA213,"N/A")))</f>
        <v>0.05</v>
      </c>
      <c r="AB210" s="244">
        <f>IF(Case_Scenario="Bull",AB211,IF(Case_Scenario="Base",AB212,IF(Case_Scenario="bear",AB213,"N/A")))</f>
        <v>0.05</v>
      </c>
      <c r="AC210" s="244">
        <f>IF(Case_Scenario="Bull",AC211,IF(Case_Scenario="Base",AC212,IF(Case_Scenario="bear",AC213,"N/A")))</f>
        <v>0.05</v>
      </c>
      <c r="AD210" s="245"/>
      <c r="AE210" s="245">
        <f>IF(Case_Scenario="Bull",AE211,IF(Case_Scenario="Base",AE212,IF(Case_Scenario="bear",AE213,"N/A")))</f>
        <v>0.05</v>
      </c>
      <c r="AF210" s="245">
        <f>IF(Case_Scenario="Bull",AF211,IF(Case_Scenario="Base",AF212,IF(Case_Scenario="bear",AF213,"N/A")))</f>
        <v>0.05</v>
      </c>
      <c r="AG210" s="245">
        <f>IF(Case_Scenario="Bull",AG211,IF(Case_Scenario="Base",AG212,IF(Case_Scenario="bear",AG213,"N/A")))</f>
        <v>0.05</v>
      </c>
      <c r="AH210" s="9"/>
      <c r="AI210" s="9"/>
      <c r="AJ210" s="9"/>
    </row>
    <row r="211" spans="1:36" ht="12.75" hidden="1" customHeight="1" outlineLevel="2" x14ac:dyDescent="0.25">
      <c r="A211" s="9"/>
      <c r="B211" s="9"/>
      <c r="C211" s="103" t="s">
        <v>246</v>
      </c>
      <c r="D211" s="9"/>
      <c r="E211" s="9"/>
      <c r="F211" s="254"/>
      <c r="G211" s="254"/>
      <c r="H211" s="254"/>
      <c r="I211" s="254"/>
      <c r="J211" s="132"/>
      <c r="K211" s="254"/>
      <c r="L211" s="254"/>
      <c r="M211" s="254"/>
      <c r="N211" s="254"/>
      <c r="O211" s="132"/>
      <c r="P211" s="254"/>
      <c r="Q211" s="254"/>
      <c r="R211" s="254"/>
      <c r="S211" s="254"/>
      <c r="T211" s="132"/>
      <c r="U211" s="254"/>
      <c r="V211" s="255">
        <v>0.1</v>
      </c>
      <c r="W211" s="255">
        <v>0.1</v>
      </c>
      <c r="X211" s="255">
        <v>0.1</v>
      </c>
      <c r="Y211" s="256"/>
      <c r="Z211" s="255">
        <v>0.1</v>
      </c>
      <c r="AA211" s="255">
        <v>0.1</v>
      </c>
      <c r="AB211" s="255">
        <v>0.1</v>
      </c>
      <c r="AC211" s="255">
        <v>0.1</v>
      </c>
      <c r="AD211" s="256"/>
      <c r="AE211" s="256">
        <v>0.1</v>
      </c>
      <c r="AF211" s="256">
        <v>0.1</v>
      </c>
      <c r="AG211" s="256">
        <v>0.1</v>
      </c>
      <c r="AH211" s="9"/>
      <c r="AI211" s="9"/>
      <c r="AJ211" s="9"/>
    </row>
    <row r="212" spans="1:36" ht="12.75" hidden="1" customHeight="1" outlineLevel="2" x14ac:dyDescent="0.25">
      <c r="A212" s="9"/>
      <c r="B212" s="9"/>
      <c r="C212" s="103" t="s">
        <v>247</v>
      </c>
      <c r="D212" s="9"/>
      <c r="E212" s="9"/>
      <c r="F212" s="254"/>
      <c r="G212" s="254"/>
      <c r="H212" s="254"/>
      <c r="I212" s="254"/>
      <c r="J212" s="132"/>
      <c r="K212" s="254"/>
      <c r="L212" s="254"/>
      <c r="M212" s="254"/>
      <c r="N212" s="254"/>
      <c r="O212" s="132"/>
      <c r="P212" s="254"/>
      <c r="Q212" s="254"/>
      <c r="R212" s="254"/>
      <c r="S212" s="254"/>
      <c r="T212" s="132"/>
      <c r="U212" s="254"/>
      <c r="V212" s="255">
        <v>0.05</v>
      </c>
      <c r="W212" s="255">
        <v>0.05</v>
      </c>
      <c r="X212" s="255">
        <v>0.05</v>
      </c>
      <c r="Y212" s="256"/>
      <c r="Z212" s="255">
        <v>0.05</v>
      </c>
      <c r="AA212" s="255">
        <v>0.05</v>
      </c>
      <c r="AB212" s="255">
        <v>0.05</v>
      </c>
      <c r="AC212" s="255">
        <v>0.05</v>
      </c>
      <c r="AD212" s="256"/>
      <c r="AE212" s="256">
        <v>0.05</v>
      </c>
      <c r="AF212" s="256">
        <v>0.05</v>
      </c>
      <c r="AG212" s="256">
        <v>0.05</v>
      </c>
      <c r="AH212" s="9"/>
      <c r="AI212" s="9"/>
      <c r="AJ212" s="9"/>
    </row>
    <row r="213" spans="1:36" ht="12.75" hidden="1" customHeight="1" outlineLevel="2" x14ac:dyDescent="0.25">
      <c r="A213" s="9"/>
      <c r="B213" s="9"/>
      <c r="C213" s="103" t="s">
        <v>248</v>
      </c>
      <c r="D213" s="9"/>
      <c r="E213" s="9"/>
      <c r="F213" s="254"/>
      <c r="G213" s="254"/>
      <c r="H213" s="254"/>
      <c r="I213" s="254"/>
      <c r="J213" s="132"/>
      <c r="K213" s="254"/>
      <c r="L213" s="254"/>
      <c r="M213" s="254"/>
      <c r="N213" s="254"/>
      <c r="O213" s="132"/>
      <c r="P213" s="254"/>
      <c r="Q213" s="254"/>
      <c r="R213" s="254"/>
      <c r="S213" s="254"/>
      <c r="T213" s="132"/>
      <c r="U213" s="254"/>
      <c r="V213" s="255">
        <v>0</v>
      </c>
      <c r="W213" s="255">
        <v>0</v>
      </c>
      <c r="X213" s="255">
        <v>0</v>
      </c>
      <c r="Y213" s="256"/>
      <c r="Z213" s="255">
        <v>0</v>
      </c>
      <c r="AA213" s="255">
        <v>0</v>
      </c>
      <c r="AB213" s="255">
        <v>0</v>
      </c>
      <c r="AC213" s="255">
        <v>0</v>
      </c>
      <c r="AD213" s="256"/>
      <c r="AE213" s="256">
        <v>0</v>
      </c>
      <c r="AF213" s="256">
        <v>0</v>
      </c>
      <c r="AG213" s="256">
        <v>0</v>
      </c>
      <c r="AH213" s="9"/>
      <c r="AI213" s="9"/>
      <c r="AJ213" s="9"/>
    </row>
    <row r="214" spans="1:36" ht="12.75" hidden="1" customHeight="1" outlineLevel="2" x14ac:dyDescent="0.25">
      <c r="A214" s="9"/>
      <c r="B214" s="9"/>
      <c r="C214" s="103" t="s">
        <v>255</v>
      </c>
      <c r="D214" s="9"/>
      <c r="E214" s="9"/>
      <c r="F214" s="274" t="e">
        <f t="shared" ref="F214:T214" si="362">F209/F207</f>
        <v>#REF!</v>
      </c>
      <c r="G214" s="274" t="e">
        <f t="shared" si="362"/>
        <v>#REF!</v>
      </c>
      <c r="H214" s="274" t="e">
        <f t="shared" si="362"/>
        <v>#REF!</v>
      </c>
      <c r="I214" s="274" t="e">
        <f t="shared" si="362"/>
        <v>#REF!</v>
      </c>
      <c r="J214" s="275" t="e">
        <f t="shared" si="362"/>
        <v>#REF!</v>
      </c>
      <c r="K214" s="274" t="e">
        <f t="shared" si="362"/>
        <v>#REF!</v>
      </c>
      <c r="L214" s="274" t="e">
        <f t="shared" si="362"/>
        <v>#REF!</v>
      </c>
      <c r="M214" s="274" t="e">
        <f t="shared" si="362"/>
        <v>#REF!</v>
      </c>
      <c r="N214" s="274" t="e">
        <f t="shared" si="362"/>
        <v>#REF!</v>
      </c>
      <c r="O214" s="275" t="e">
        <f t="shared" si="362"/>
        <v>#REF!</v>
      </c>
      <c r="P214" s="274" t="e">
        <f t="shared" si="362"/>
        <v>#REF!</v>
      </c>
      <c r="Q214" s="274" t="e">
        <f t="shared" si="362"/>
        <v>#REF!</v>
      </c>
      <c r="R214" s="274" t="e">
        <f t="shared" si="362"/>
        <v>#REF!</v>
      </c>
      <c r="S214" s="274" t="e">
        <f t="shared" si="362"/>
        <v>#REF!</v>
      </c>
      <c r="T214" s="275" t="e">
        <f t="shared" si="362"/>
        <v>#REF!</v>
      </c>
      <c r="U214" s="274" t="e">
        <f t="shared" ref="U214" si="363">U209/U207</f>
        <v>#REF!</v>
      </c>
      <c r="V214" s="269">
        <f>IF(Case_Scenario="Bull",V215,IF(Case_Scenario="Base",V216,IF(Case_Scenario="bear",V217,"N/A")))</f>
        <v>1.25</v>
      </c>
      <c r="W214" s="269">
        <f>IF(Case_Scenario="Bull",W215,IF(Case_Scenario="Base",W216,IF(Case_Scenario="bear",W217,"N/A")))</f>
        <v>1.25</v>
      </c>
      <c r="X214" s="269">
        <f>IF(Case_Scenario="Bull",X215,IF(Case_Scenario="Base",X216,IF(Case_Scenario="bear",X217,"N/A")))</f>
        <v>1.25</v>
      </c>
      <c r="Y214" s="268" t="e">
        <f>AVERAGE(U214:X214)</f>
        <v>#REF!</v>
      </c>
      <c r="Z214" s="269">
        <f>IF(Case_Scenario="Bull",Z215,IF(Case_Scenario="Base",Z216,IF(Case_Scenario="bear",Z217,"N/A")))</f>
        <v>1.25</v>
      </c>
      <c r="AA214" s="269">
        <f>IF(Case_Scenario="Bull",AA215,IF(Case_Scenario="Base",AA216,IF(Case_Scenario="bear",AA217,"N/A")))</f>
        <v>1.25</v>
      </c>
      <c r="AB214" s="269">
        <f>IF(Case_Scenario="Bull",AB215,IF(Case_Scenario="Base",AB216,IF(Case_Scenario="bear",AB217,"N/A")))</f>
        <v>1.25</v>
      </c>
      <c r="AC214" s="269">
        <f>IF(Case_Scenario="Bull",AC215,IF(Case_Scenario="Base",AC216,IF(Case_Scenario="bear",AC217,"N/A")))</f>
        <v>1.25</v>
      </c>
      <c r="AD214" s="268">
        <f>AVERAGE(Z214:AC214)</f>
        <v>1.25</v>
      </c>
      <c r="AE214" s="268">
        <f>IF(Case_Scenario="Bull",AE215,IF(Case_Scenario="Base",AE216,IF(Case_Scenario="bear",AE217,"N/A")))</f>
        <v>1.25</v>
      </c>
      <c r="AF214" s="268">
        <f>IF(Case_Scenario="Bull",AF215,IF(Case_Scenario="Base",AF216,IF(Case_Scenario="bear",AF217,"N/A")))</f>
        <v>1.25</v>
      </c>
      <c r="AG214" s="268">
        <f>IF(Case_Scenario="Bull",AG215,IF(Case_Scenario="Base",AG216,IF(Case_Scenario="bear",AG217,"N/A")))</f>
        <v>1.25</v>
      </c>
      <c r="AH214" s="9"/>
      <c r="AI214" s="9"/>
      <c r="AJ214" s="9"/>
    </row>
    <row r="215" spans="1:36" ht="12.75" hidden="1" customHeight="1" outlineLevel="2" x14ac:dyDescent="0.25">
      <c r="A215" s="9"/>
      <c r="B215" s="9"/>
      <c r="C215" s="103" t="s">
        <v>246</v>
      </c>
      <c r="D215" s="9"/>
      <c r="E215" s="9"/>
      <c r="F215" s="254"/>
      <c r="G215" s="253"/>
      <c r="H215" s="253"/>
      <c r="I215" s="253"/>
      <c r="J215" s="132"/>
      <c r="K215" s="253"/>
      <c r="L215" s="253"/>
      <c r="M215" s="253"/>
      <c r="N215" s="253"/>
      <c r="O215" s="245"/>
      <c r="P215" s="253"/>
      <c r="Q215" s="253"/>
      <c r="R215" s="253"/>
      <c r="S215" s="253"/>
      <c r="T215" s="245"/>
      <c r="U215" s="253"/>
      <c r="V215" s="272">
        <v>1</v>
      </c>
      <c r="W215" s="272">
        <v>1</v>
      </c>
      <c r="X215" s="272">
        <v>1</v>
      </c>
      <c r="Y215" s="273"/>
      <c r="Z215" s="272">
        <v>1</v>
      </c>
      <c r="AA215" s="272">
        <v>1</v>
      </c>
      <c r="AB215" s="272">
        <v>1</v>
      </c>
      <c r="AC215" s="272">
        <v>1</v>
      </c>
      <c r="AD215" s="273"/>
      <c r="AE215" s="273">
        <v>1</v>
      </c>
      <c r="AF215" s="273">
        <v>1</v>
      </c>
      <c r="AG215" s="273">
        <v>1</v>
      </c>
      <c r="AH215" s="9"/>
      <c r="AI215" s="9"/>
      <c r="AJ215" s="9"/>
    </row>
    <row r="216" spans="1:36" ht="12.75" hidden="1" customHeight="1" outlineLevel="2" x14ac:dyDescent="0.25">
      <c r="A216" s="9"/>
      <c r="B216" s="9"/>
      <c r="C216" s="103" t="s">
        <v>247</v>
      </c>
      <c r="D216" s="9"/>
      <c r="E216" s="9"/>
      <c r="F216" s="254"/>
      <c r="G216" s="254"/>
      <c r="H216" s="254"/>
      <c r="I216" s="254"/>
      <c r="J216" s="132"/>
      <c r="K216" s="254"/>
      <c r="L216" s="254"/>
      <c r="M216" s="254"/>
      <c r="N216" s="254"/>
      <c r="O216" s="132"/>
      <c r="P216" s="254"/>
      <c r="Q216" s="254"/>
      <c r="R216" s="254"/>
      <c r="S216" s="254"/>
      <c r="T216" s="132"/>
      <c r="U216" s="254"/>
      <c r="V216" s="272">
        <v>1.25</v>
      </c>
      <c r="W216" s="272">
        <v>1.25</v>
      </c>
      <c r="X216" s="272">
        <v>1.25</v>
      </c>
      <c r="Y216" s="273"/>
      <c r="Z216" s="272">
        <v>1.25</v>
      </c>
      <c r="AA216" s="272">
        <v>1.25</v>
      </c>
      <c r="AB216" s="272">
        <v>1.25</v>
      </c>
      <c r="AC216" s="272">
        <v>1.25</v>
      </c>
      <c r="AD216" s="273"/>
      <c r="AE216" s="273">
        <v>1.25</v>
      </c>
      <c r="AF216" s="273">
        <v>1.25</v>
      </c>
      <c r="AG216" s="273">
        <v>1.25</v>
      </c>
      <c r="AH216" s="9"/>
      <c r="AI216" s="9"/>
      <c r="AJ216" s="9"/>
    </row>
    <row r="217" spans="1:36" ht="12.75" hidden="1" customHeight="1" outlineLevel="2" x14ac:dyDescent="0.25">
      <c r="A217" s="9"/>
      <c r="B217" s="9"/>
      <c r="C217" s="103" t="s">
        <v>248</v>
      </c>
      <c r="D217" s="9"/>
      <c r="E217" s="9"/>
      <c r="F217" s="254"/>
      <c r="G217" s="254"/>
      <c r="H217" s="254"/>
      <c r="I217" s="254"/>
      <c r="J217" s="132"/>
      <c r="K217" s="254"/>
      <c r="L217" s="254"/>
      <c r="M217" s="254"/>
      <c r="N217" s="254"/>
      <c r="O217" s="132"/>
      <c r="P217" s="254"/>
      <c r="Q217" s="254"/>
      <c r="R217" s="254"/>
      <c r="S217" s="254"/>
      <c r="T217" s="132"/>
      <c r="U217" s="254"/>
      <c r="V217" s="272">
        <v>1.5</v>
      </c>
      <c r="W217" s="272">
        <v>1.5</v>
      </c>
      <c r="X217" s="272">
        <v>1.5</v>
      </c>
      <c r="Y217" s="273"/>
      <c r="Z217" s="272">
        <v>1.5</v>
      </c>
      <c r="AA217" s="272">
        <v>1.5</v>
      </c>
      <c r="AB217" s="272">
        <v>1.5</v>
      </c>
      <c r="AC217" s="272">
        <v>1.5</v>
      </c>
      <c r="AD217" s="273"/>
      <c r="AE217" s="273">
        <v>1.5</v>
      </c>
      <c r="AF217" s="273">
        <v>1.5</v>
      </c>
      <c r="AG217" s="273">
        <v>1.5</v>
      </c>
      <c r="AH217" s="9"/>
      <c r="AI217" s="9"/>
      <c r="AJ217" s="9"/>
    </row>
    <row r="218" spans="1:36" ht="12.75" hidden="1" customHeight="1" outlineLevel="1" collapsed="1" x14ac:dyDescent="0.25">
      <c r="A218" s="9"/>
      <c r="B218" s="9"/>
      <c r="C218" s="9"/>
      <c r="D218" s="9"/>
      <c r="E218" s="9"/>
      <c r="F218" s="250"/>
      <c r="G218" s="250"/>
      <c r="H218" s="250"/>
      <c r="I218" s="250"/>
      <c r="J218" s="9"/>
      <c r="K218" s="250"/>
      <c r="L218" s="250"/>
      <c r="M218" s="250"/>
      <c r="N218" s="250"/>
      <c r="O218" s="9"/>
      <c r="P218" s="250"/>
      <c r="Q218" s="250"/>
      <c r="R218" s="250"/>
      <c r="S218" s="250"/>
      <c r="T218" s="9"/>
      <c r="U218" s="250"/>
      <c r="V218" s="276"/>
      <c r="W218" s="276"/>
      <c r="X218" s="276"/>
      <c r="Y218" s="277"/>
      <c r="Z218" s="276"/>
      <c r="AA218" s="276"/>
      <c r="AB218" s="276"/>
      <c r="AC218" s="276"/>
      <c r="AD218" s="277"/>
      <c r="AE218" s="277"/>
      <c r="AF218" s="277"/>
      <c r="AG218" s="277"/>
      <c r="AH218" s="9"/>
      <c r="AI218" s="9"/>
      <c r="AJ218" s="9"/>
    </row>
    <row r="219" spans="1:36" ht="12.75" customHeight="1" collapsed="1" x14ac:dyDescent="0.25">
      <c r="A219" s="205" t="s">
        <v>0</v>
      </c>
      <c r="B219" s="205" t="s">
        <v>0</v>
      </c>
      <c r="C219" s="50" t="s">
        <v>256</v>
      </c>
      <c r="D219" s="12"/>
      <c r="E219" s="12"/>
      <c r="F219" s="248"/>
      <c r="G219" s="248"/>
      <c r="H219" s="248"/>
      <c r="I219" s="248"/>
      <c r="J219" s="248"/>
      <c r="K219" s="248"/>
      <c r="L219" s="248"/>
      <c r="M219" s="248"/>
      <c r="N219" s="248"/>
      <c r="O219" s="248"/>
      <c r="P219" s="248"/>
      <c r="Q219" s="248"/>
      <c r="R219" s="248"/>
      <c r="S219" s="248"/>
      <c r="T219" s="248"/>
      <c r="U219" s="248"/>
      <c r="V219" s="248"/>
      <c r="W219" s="248"/>
      <c r="X219" s="248"/>
      <c r="Y219" s="248"/>
      <c r="Z219" s="248"/>
      <c r="AA219" s="248"/>
      <c r="AB219" s="248"/>
      <c r="AC219" s="248"/>
      <c r="AD219" s="248"/>
      <c r="AE219" s="248"/>
      <c r="AF219" s="248"/>
      <c r="AG219" s="249"/>
      <c r="AH219" s="217" t="s">
        <v>0</v>
      </c>
      <c r="AI219" s="9"/>
      <c r="AJ219" s="9"/>
    </row>
    <row r="220" spans="1:36" ht="12.75" customHeight="1" x14ac:dyDescent="0.25">
      <c r="A220" s="9"/>
      <c r="B220" s="9"/>
      <c r="C220" s="103"/>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row>
    <row r="221" spans="1:36" ht="12.75" customHeight="1" x14ac:dyDescent="0.25">
      <c r="A221" s="9"/>
      <c r="B221" s="9"/>
      <c r="C221" s="84"/>
      <c r="D221" s="9"/>
      <c r="E221" s="9"/>
      <c r="F221" s="9"/>
      <c r="G221" s="9"/>
      <c r="H221" s="9"/>
      <c r="I221" s="9"/>
      <c r="J221" s="9"/>
      <c r="K221" s="9"/>
      <c r="L221" s="9"/>
      <c r="M221" s="9"/>
      <c r="N221" s="9"/>
      <c r="O221" s="9"/>
      <c r="P221" s="9"/>
      <c r="Q221" s="9"/>
      <c r="R221" s="9"/>
      <c r="S221" s="9"/>
      <c r="T221" s="9"/>
      <c r="U221" s="9"/>
      <c r="V221" s="832"/>
      <c r="W221" s="9"/>
      <c r="X221" s="9"/>
      <c r="Y221" s="9"/>
      <c r="Z221" s="9"/>
      <c r="AA221" s="9"/>
      <c r="AB221" s="9"/>
      <c r="AC221" s="9"/>
      <c r="AD221" s="9"/>
      <c r="AE221" s="9"/>
      <c r="AF221" s="9"/>
      <c r="AG221" s="9"/>
      <c r="AH221" s="9"/>
      <c r="AI221" s="9"/>
      <c r="AJ221" s="9"/>
    </row>
    <row r="222" spans="1:36" ht="12.75" customHeight="1" x14ac:dyDescent="0.25">
      <c r="A222" s="205" t="s">
        <v>0</v>
      </c>
      <c r="B222" s="205" t="s">
        <v>0</v>
      </c>
      <c r="C222" s="103"/>
      <c r="D222" s="9"/>
      <c r="E222" s="9"/>
      <c r="F222" s="9"/>
      <c r="G222" s="9"/>
      <c r="H222" s="9"/>
      <c r="I222" s="9"/>
      <c r="J222" s="9"/>
      <c r="K222" s="9"/>
      <c r="L222" s="9"/>
      <c r="M222" s="9"/>
      <c r="N222" s="9"/>
      <c r="O222" s="9"/>
      <c r="P222" s="9"/>
      <c r="Q222" s="9"/>
      <c r="R222" s="9"/>
      <c r="S222" s="9"/>
      <c r="T222" s="9"/>
      <c r="U222" s="9"/>
      <c r="V222" s="9"/>
      <c r="W222" s="832"/>
      <c r="X222" s="9"/>
      <c r="Y222" s="9"/>
      <c r="Z222" s="9"/>
      <c r="AA222" s="9"/>
      <c r="AB222" s="9"/>
      <c r="AC222" s="9"/>
      <c r="AD222" s="9"/>
      <c r="AE222" s="9"/>
      <c r="AF222" s="9"/>
      <c r="AG222" s="9"/>
      <c r="AH222" s="9"/>
      <c r="AI222" s="9"/>
      <c r="AJ222" s="9"/>
    </row>
    <row r="223" spans="1:36" ht="12.75" customHeight="1" x14ac:dyDescent="0.25">
      <c r="A223" s="9"/>
      <c r="B223" s="9"/>
      <c r="C223" s="103"/>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row>
    <row r="224" spans="1:36" ht="12.75" customHeight="1" x14ac:dyDescent="0.25">
      <c r="A224" s="9"/>
      <c r="B224" s="9"/>
      <c r="C224" s="103"/>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row>
    <row r="225" spans="1:36" ht="12.75" customHeight="1" x14ac:dyDescent="0.25">
      <c r="A225" s="9"/>
      <c r="B225" s="9"/>
      <c r="C225" s="103"/>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row>
    <row r="226" spans="1:36" ht="12.75" customHeight="1" x14ac:dyDescent="0.25">
      <c r="A226" s="9"/>
      <c r="B226" s="9"/>
      <c r="C226" s="103"/>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row>
    <row r="227" spans="1:36" ht="12.75" customHeight="1" x14ac:dyDescent="0.25">
      <c r="A227" s="9"/>
      <c r="B227" s="9"/>
      <c r="C227" s="103"/>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row>
    <row r="228" spans="1:36" ht="12.75" customHeight="1" x14ac:dyDescent="0.25">
      <c r="A228" s="9"/>
      <c r="B228" s="9"/>
      <c r="C228" s="103"/>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row>
    <row r="229" spans="1:36" ht="12.7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row>
    <row r="230" spans="1:36" ht="12.7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row>
    <row r="231" spans="1:36" ht="12.7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row>
    <row r="232" spans="1:36" ht="12.7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row>
    <row r="233" spans="1:36" ht="12.7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row>
    <row r="234" spans="1:36" ht="12.7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row>
    <row r="235" spans="1:36" ht="12.7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row>
    <row r="236" spans="1:36" ht="12.7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row>
    <row r="237" spans="1:36" ht="12.7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row>
    <row r="238" spans="1:36" ht="12.7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row>
    <row r="239" spans="1:36" ht="12.7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row>
    <row r="240" spans="1:36" ht="12.7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row>
    <row r="241" spans="1:36" ht="12.7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row>
    <row r="242" spans="1:36" ht="12.7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row>
    <row r="243" spans="1:36" ht="12.7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row>
    <row r="244" spans="1:36" ht="12.7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row>
    <row r="245" spans="1:36" ht="12.7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row>
    <row r="246" spans="1:36" ht="12.7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row>
    <row r="247" spans="1:36" ht="12.7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row>
    <row r="248" spans="1:36" ht="12.7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row>
    <row r="249" spans="1:36" ht="12.7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row>
    <row r="250" spans="1:36" ht="12.7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row>
    <row r="251" spans="1:36" ht="12.7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row>
    <row r="252" spans="1:36" ht="12.7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row>
    <row r="253" spans="1:36" ht="12.7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row>
    <row r="254" spans="1:36" ht="12.7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row>
    <row r="255" spans="1:36" ht="12.7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row>
    <row r="256" spans="1:36" ht="12.7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row>
    <row r="257" spans="1:36" ht="12.7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row>
    <row r="258" spans="1:36" ht="12.7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row>
    <row r="259" spans="1:36" ht="12.7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row>
    <row r="260" spans="1:36" ht="12.7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row>
    <row r="261" spans="1:36" ht="12.7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row>
    <row r="262" spans="1:36" ht="12.7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row>
    <row r="263" spans="1:36" ht="12.7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row>
    <row r="264" spans="1:36" ht="12.7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row>
    <row r="265" spans="1:36" ht="12.7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row>
    <row r="266" spans="1:36" ht="12.7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row>
    <row r="267" spans="1:36" ht="12.7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row>
    <row r="268" spans="1:36" ht="12.7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row>
    <row r="269" spans="1:36" ht="12.7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row>
    <row r="270" spans="1:36" ht="12.7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row>
    <row r="271" spans="1:36" ht="12.7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row>
    <row r="272" spans="1:36" ht="12.7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row>
    <row r="273" spans="1:36" ht="12.7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row>
    <row r="274" spans="1:36" ht="12.7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row>
    <row r="275" spans="1:36" ht="12.7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row>
    <row r="276" spans="1:36" ht="12.7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row>
    <row r="277" spans="1:36" ht="12.7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row>
    <row r="278" spans="1:36" ht="12.7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row>
    <row r="279" spans="1:36" ht="12.7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row>
    <row r="280" spans="1:36" ht="12.7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row>
    <row r="281" spans="1:36" ht="12.7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row>
    <row r="282" spans="1:36" ht="12.7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row>
    <row r="283" spans="1:36" ht="12.7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row>
    <row r="284" spans="1:36" ht="12.7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row>
    <row r="285" spans="1:36" ht="12.7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row>
    <row r="286" spans="1:36" ht="12.7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row>
    <row r="287" spans="1:36" ht="12.7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row>
    <row r="288" spans="1:36" ht="12.7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row>
    <row r="289" spans="1:36" ht="12.7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row>
    <row r="290" spans="1:36" ht="12.7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row>
    <row r="291" spans="1:36" ht="12.7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row>
    <row r="292" spans="1:36" ht="12.7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row>
    <row r="293" spans="1:36" ht="12.7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row>
    <row r="294" spans="1:36" ht="12.7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row>
    <row r="295" spans="1:36" ht="12.7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row>
    <row r="296" spans="1:36" ht="12.7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row>
    <row r="297" spans="1:36" ht="12.7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row>
    <row r="298" spans="1:36" ht="12.7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row>
    <row r="299" spans="1:36" ht="12.7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row>
    <row r="300" spans="1:36" ht="12.7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row>
    <row r="301" spans="1:36" ht="12.7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row>
    <row r="302" spans="1:36" ht="12.7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row>
    <row r="303" spans="1:36" ht="12.7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row>
    <row r="304" spans="1:36" ht="12.7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row>
    <row r="305" spans="1:36" ht="12.7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row>
    <row r="306" spans="1:36" ht="12.7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row>
    <row r="307" spans="1:36" ht="12.7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row>
    <row r="308" spans="1:36" ht="12.7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row>
    <row r="309" spans="1:36" ht="12.7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row>
    <row r="310" spans="1:36" ht="12.7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row>
    <row r="311" spans="1:36" ht="12.7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row>
    <row r="312" spans="1:36" ht="12.7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row>
    <row r="313" spans="1:36" ht="12.7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row>
    <row r="314" spans="1:36" ht="12.7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row>
    <row r="315" spans="1:36" ht="12.7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row>
    <row r="316" spans="1:36" ht="12.7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row>
    <row r="317" spans="1:36" ht="12.7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row>
    <row r="318" spans="1:36" ht="12.7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row>
    <row r="319" spans="1:36" ht="12.7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row>
    <row r="320" spans="1:36" ht="12.7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row>
    <row r="321" spans="1:36" ht="12.7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row>
    <row r="322" spans="1:36" ht="12.7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row>
    <row r="323" spans="1:36" ht="12.7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row>
    <row r="324" spans="1:36" ht="12.7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row>
    <row r="325" spans="1:36" ht="12.7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row>
    <row r="326" spans="1:36" ht="12.7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row>
    <row r="327" spans="1:36" ht="12.7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row>
    <row r="328" spans="1:36" ht="12.7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row>
    <row r="329" spans="1:36" ht="12.7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row>
    <row r="330" spans="1:36" ht="12.7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row>
    <row r="331" spans="1:36" ht="12.7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row>
    <row r="332" spans="1:36" ht="12.7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row>
    <row r="333" spans="1:36" ht="12.7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row>
    <row r="334" spans="1:36" ht="12.7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row>
    <row r="335" spans="1:36" ht="12.7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row>
    <row r="336" spans="1:36" ht="12.7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row>
    <row r="337" spans="1:36" ht="12.7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row>
    <row r="338" spans="1:36" ht="12.7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row>
    <row r="339" spans="1:36" ht="12.7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row>
    <row r="340" spans="1:36" ht="12.7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row>
    <row r="341" spans="1:36" ht="12.7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row>
    <row r="342" spans="1:36" ht="12.7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row>
    <row r="343" spans="1:36" ht="12.7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row>
    <row r="344" spans="1:36" ht="12.7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row>
    <row r="345" spans="1:36" ht="12.7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row>
    <row r="346" spans="1:36" ht="12.7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row>
    <row r="347" spans="1:36" ht="12.7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row>
    <row r="348" spans="1:36" ht="12.7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row>
    <row r="349" spans="1:36" ht="12.7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row>
    <row r="350" spans="1:36" ht="12.7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row>
    <row r="351" spans="1:36" ht="12.7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row>
    <row r="352" spans="1:36" ht="12.7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row>
    <row r="353" spans="1:36" ht="12.7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row>
    <row r="354" spans="1:36" ht="12.7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row>
    <row r="355" spans="1:36" ht="12.7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row>
    <row r="356" spans="1:36" ht="12.7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row>
    <row r="357" spans="1:36" ht="12.7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row>
    <row r="358" spans="1:36" ht="12.7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row>
    <row r="359" spans="1:36" ht="12.7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row>
    <row r="360" spans="1:36" ht="12.7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row>
    <row r="361" spans="1:36" ht="12.7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row>
    <row r="362" spans="1:36" ht="12.7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row>
    <row r="363" spans="1:36" ht="12.7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row>
    <row r="364" spans="1:36" ht="12.7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row>
    <row r="365" spans="1:36" ht="12.7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row>
    <row r="366" spans="1:36" ht="12.7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row>
    <row r="367" spans="1:36" ht="12.7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row>
    <row r="368" spans="1:36" ht="12.7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row>
    <row r="369" spans="1:36" ht="12.7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row>
    <row r="370" spans="1:36" ht="12.7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row>
    <row r="371" spans="1:36" ht="12.7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row>
    <row r="372" spans="1:36" ht="12.7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row>
    <row r="373" spans="1:36" ht="12.7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row>
    <row r="374" spans="1:36" ht="12.7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row>
    <row r="375" spans="1:36" ht="12.7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row>
    <row r="376" spans="1:36" ht="12.7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row>
    <row r="377" spans="1:36" ht="12.7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row>
    <row r="378" spans="1:36" ht="12.7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row>
    <row r="379" spans="1:36" ht="12.7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row>
    <row r="380" spans="1:36" ht="12.7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row>
    <row r="381" spans="1:36" ht="12.7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row>
    <row r="382" spans="1:36" ht="12.7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row>
    <row r="383" spans="1:36" ht="12.7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row>
    <row r="384" spans="1:36" ht="12.7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row>
    <row r="385" spans="1:36" ht="12.7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row>
    <row r="386" spans="1:36" ht="12.7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row>
    <row r="387" spans="1:36" ht="12.7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row>
    <row r="388" spans="1:36" ht="12.7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row>
    <row r="389" spans="1:36" ht="12.7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row>
    <row r="390" spans="1:36" ht="12.7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row>
    <row r="391" spans="1:36" ht="12.7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row>
    <row r="392" spans="1:36" ht="12.7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row>
    <row r="393" spans="1:36" ht="12.7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row>
    <row r="394" spans="1:36" ht="12.7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row>
    <row r="395" spans="1:36" ht="12.7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row>
    <row r="396" spans="1:36" ht="12.7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row>
    <row r="397" spans="1:36" ht="12.7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row>
    <row r="398" spans="1:36" ht="12.7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row>
    <row r="399" spans="1:36" ht="12.7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row>
    <row r="400" spans="1:36" ht="12.7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row>
    <row r="401" spans="1:36" ht="12.7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row>
    <row r="402" spans="1:36" ht="12.7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row>
    <row r="403" spans="1:36" ht="12.7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row>
    <row r="404" spans="1:36" ht="12.7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row>
    <row r="405" spans="1:36" ht="12.7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row>
    <row r="406" spans="1:36" ht="12.7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row>
    <row r="407" spans="1:36" ht="12.7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row>
    <row r="408" spans="1:36" ht="12.7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row>
    <row r="409" spans="1:36" ht="12.7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row>
    <row r="410" spans="1:36" ht="12.7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row>
    <row r="411" spans="1:36" ht="12.7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row>
    <row r="412" spans="1:36" ht="12.7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row>
    <row r="413" spans="1:36" ht="12.7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row>
    <row r="414" spans="1:36" ht="12.7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row>
    <row r="415" spans="1:36" ht="12.7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row>
    <row r="416" spans="1:36" ht="12.7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row>
    <row r="417" spans="1:36" ht="12.7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row>
    <row r="418" spans="1:36" ht="12.7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row>
    <row r="419" spans="1:36" ht="12.7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row>
    <row r="420" spans="1:36" ht="12.7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row>
    <row r="421" spans="1:36" ht="12.7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row>
    <row r="422" spans="1:36" ht="12.7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row>
    <row r="423" spans="1:36" ht="12.7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row>
    <row r="424" spans="1:36" ht="12.7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row>
    <row r="425" spans="1:36" ht="12.7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row>
    <row r="426" spans="1:36" ht="12.7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row>
    <row r="427" spans="1:36" ht="12.7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row>
    <row r="428" spans="1:36" ht="12.7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row>
    <row r="429" spans="1:36" ht="12.7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row>
    <row r="430" spans="1:36" ht="12.7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row>
    <row r="431" spans="1:36" ht="12.7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row>
    <row r="432" spans="1:36" ht="12.7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row>
    <row r="433" spans="1:36" ht="12.7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row>
    <row r="434" spans="1:36" ht="12.7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row>
    <row r="435" spans="1:36" ht="12.7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row>
    <row r="436" spans="1:36" ht="12.7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row>
    <row r="437" spans="1:36" ht="12.7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row>
    <row r="438" spans="1:36" ht="12.7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row>
    <row r="439" spans="1:36" ht="12.7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row>
    <row r="440" spans="1:36" ht="12.7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row>
    <row r="441" spans="1:36" ht="12.7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row>
    <row r="442" spans="1:36" ht="12.7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row>
    <row r="443" spans="1:36" ht="12.7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row>
    <row r="444" spans="1:36" ht="12.7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row>
    <row r="445" spans="1:36" ht="12.7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row>
    <row r="446" spans="1:36" ht="12.7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row>
    <row r="447" spans="1:36" ht="12.7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row>
    <row r="448" spans="1:36" ht="12.7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row>
    <row r="449" spans="1:36" ht="12.7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row>
    <row r="450" spans="1:36" ht="12.7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row>
    <row r="451" spans="1:36" ht="12.7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row>
    <row r="452" spans="1:36" ht="12.7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row>
    <row r="453" spans="1:36" ht="12.7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row>
    <row r="454" spans="1:36" ht="12.7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row>
    <row r="455" spans="1:36" ht="12.7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row>
    <row r="456" spans="1:36" ht="12.7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row>
    <row r="457" spans="1:36" ht="12.7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row>
    <row r="458" spans="1:36" ht="12.7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row>
    <row r="459" spans="1:36" ht="12.7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row>
    <row r="460" spans="1:36" ht="12.7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row>
    <row r="461" spans="1:36" ht="12.7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row>
    <row r="462" spans="1:36" ht="12.7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row>
    <row r="463" spans="1:36" ht="12.7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row>
    <row r="464" spans="1:36" ht="12.7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row>
    <row r="465" spans="1:36" ht="12.7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row>
    <row r="466" spans="1:36" ht="12.7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row>
    <row r="467" spans="1:36" ht="12.7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row>
    <row r="468" spans="1:36" ht="12.7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row>
    <row r="469" spans="1:36" ht="12.7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row>
    <row r="470" spans="1:36" ht="12.7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row>
    <row r="471" spans="1:36" ht="12.7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row>
    <row r="472" spans="1:36" ht="12.7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row>
    <row r="473" spans="1:36" ht="12.7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row>
    <row r="474" spans="1:36" ht="12.7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row>
    <row r="475" spans="1:36" ht="12.7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row>
    <row r="476" spans="1:36" ht="12.7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row>
    <row r="477" spans="1:36" ht="12.7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row>
    <row r="478" spans="1:36" ht="12.7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row>
    <row r="479" spans="1:36" ht="12.7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row>
    <row r="480" spans="1:36" ht="12.7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row>
    <row r="481" spans="1:36" ht="12.7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row>
    <row r="482" spans="1:36" ht="12.7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row>
    <row r="483" spans="1:36" ht="12.7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row>
    <row r="484" spans="1:36" ht="12.7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row>
    <row r="485" spans="1:36" ht="12.7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row>
    <row r="486" spans="1:36" ht="12.7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row>
    <row r="487" spans="1:36" ht="12.7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row>
    <row r="488" spans="1:36" ht="12.7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row>
    <row r="489" spans="1:36" ht="12.7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row>
    <row r="490" spans="1:36" ht="12.7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row>
    <row r="491" spans="1:36" ht="12.7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row>
    <row r="492" spans="1:36" ht="12.7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row>
    <row r="493" spans="1:36" ht="12.7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row>
    <row r="494" spans="1:36" ht="12.7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row>
    <row r="495" spans="1:36" ht="12.7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row>
    <row r="496" spans="1:36" ht="12.7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row>
    <row r="497" spans="1:36" ht="12.7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row>
    <row r="498" spans="1:36" ht="12.7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row>
    <row r="499" spans="1:36" ht="12.7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row>
    <row r="500" spans="1:36" ht="12.7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row>
    <row r="501" spans="1:36" ht="12.7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row>
    <row r="502" spans="1:36" ht="12.7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row>
    <row r="503" spans="1:36" ht="12.7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row>
    <row r="504" spans="1:36" ht="12.7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row>
    <row r="505" spans="1:36" ht="12.7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row>
    <row r="506" spans="1:36" ht="12.7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row>
    <row r="507" spans="1:36" ht="12.7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row>
    <row r="508" spans="1:36" ht="12.7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row>
    <row r="509" spans="1:36" ht="12.7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row>
    <row r="510" spans="1:36" ht="12.7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row>
    <row r="511" spans="1:36" ht="12.7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row>
    <row r="512" spans="1:36" ht="12.7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row>
    <row r="513" spans="1:36" ht="12.7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row>
    <row r="514" spans="1:36" ht="12.7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row>
    <row r="515" spans="1:36" ht="12.7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row>
    <row r="516" spans="1:36" ht="12.7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row>
    <row r="517" spans="1:36" ht="12.7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row>
    <row r="518" spans="1:36" ht="12.7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row>
    <row r="519" spans="1:36" ht="12.7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row>
    <row r="520" spans="1:36" ht="12.7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row>
    <row r="521" spans="1:36" ht="12.7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row>
    <row r="522" spans="1:36" ht="12.7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row>
    <row r="523" spans="1:36" ht="12.7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row>
    <row r="524" spans="1:36" ht="12.7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row>
    <row r="525" spans="1:36" ht="12.7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row>
    <row r="526" spans="1:36" ht="12.7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row>
    <row r="527" spans="1:36" ht="12.7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row>
    <row r="528" spans="1:36" ht="12.7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row>
    <row r="529" spans="1:36" ht="12.7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row>
    <row r="530" spans="1:36" ht="12.7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row>
    <row r="531" spans="1:36" ht="12.7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row>
    <row r="532" spans="1:36" ht="12.7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row>
    <row r="533" spans="1:36" ht="12.7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row>
    <row r="534" spans="1:36" ht="12.7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row>
    <row r="535" spans="1:36" ht="12.7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row>
    <row r="536" spans="1:36" ht="12.7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row>
    <row r="537" spans="1:36" ht="12.7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row>
    <row r="538" spans="1:36" ht="12.7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row>
    <row r="539" spans="1:36" ht="12.7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row>
    <row r="540" spans="1:36" ht="12.7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row>
    <row r="541" spans="1:36" ht="12.7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row>
    <row r="542" spans="1:36" ht="12.7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row>
    <row r="543" spans="1:36" ht="12.7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row>
    <row r="544" spans="1:36" ht="12.7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row>
    <row r="545" spans="1:36" ht="12.7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row>
    <row r="546" spans="1:36" ht="12.7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row>
    <row r="547" spans="1:36" ht="12.7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row>
    <row r="548" spans="1:36" ht="12.7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row>
    <row r="549" spans="1:36" ht="12.7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row>
    <row r="550" spans="1:36" ht="12.7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row>
    <row r="551" spans="1:36" ht="12.7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row>
    <row r="552" spans="1:36" ht="12.7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row>
    <row r="553" spans="1:36" ht="12.7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row>
    <row r="554" spans="1:36" ht="12.7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row>
    <row r="555" spans="1:36" ht="12.7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row>
    <row r="556" spans="1:36" ht="12.7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row>
    <row r="557" spans="1:36" ht="12.7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row>
    <row r="558" spans="1:36" ht="12.7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row>
    <row r="559" spans="1:36" ht="12.7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row>
    <row r="560" spans="1:36" ht="12.7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row>
    <row r="561" spans="1:36" ht="12.7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row>
    <row r="562" spans="1:36" ht="12.7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row>
    <row r="563" spans="1:36" ht="12.7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row>
    <row r="564" spans="1:36" ht="12.7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row>
    <row r="565" spans="1:36" ht="12.7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row>
    <row r="566" spans="1:36" ht="12.7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row>
    <row r="567" spans="1:36" ht="12.7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row>
    <row r="568" spans="1:36" ht="12.7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row>
    <row r="569" spans="1:36" ht="12.7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row>
    <row r="570" spans="1:36" ht="12.7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row>
    <row r="571" spans="1:36" ht="12.7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row>
    <row r="572" spans="1:36" ht="12.7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row>
    <row r="573" spans="1:36" ht="12.7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row>
    <row r="574" spans="1:36" ht="12.7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row>
    <row r="575" spans="1:36" ht="12.7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row>
    <row r="576" spans="1:36" ht="12.7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row>
    <row r="577" spans="1:36" ht="12.7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row>
    <row r="578" spans="1:36" ht="12.7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row>
    <row r="579" spans="1:36" ht="12.7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row>
    <row r="580" spans="1:36" ht="12.7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row>
    <row r="581" spans="1:36" ht="12.7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row>
    <row r="582" spans="1:36" ht="12.7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row>
    <row r="583" spans="1:36" ht="12.7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row>
    <row r="584" spans="1:36" ht="12.7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row>
    <row r="585" spans="1:36" ht="12.7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row>
    <row r="586" spans="1:36" ht="12.7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row>
    <row r="587" spans="1:36" ht="12.7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row>
    <row r="588" spans="1:36" ht="12.7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row>
    <row r="589" spans="1:36" ht="12.7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row>
    <row r="590" spans="1:36" ht="12.7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row>
    <row r="591" spans="1:36" ht="12.7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row>
    <row r="592" spans="1:36" ht="12.7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row>
    <row r="593" spans="1:36" ht="12.7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row>
    <row r="594" spans="1:36" ht="12.7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row>
    <row r="595" spans="1:36" ht="12.7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row>
    <row r="596" spans="1:36" ht="12.7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row>
    <row r="597" spans="1:36" ht="12.7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row>
    <row r="598" spans="1:36" ht="12.7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row>
    <row r="599" spans="1:36" ht="12.7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row>
    <row r="600" spans="1:36" ht="12.7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row>
    <row r="601" spans="1:36" ht="12.7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row>
    <row r="602" spans="1:36" ht="12.7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row>
    <row r="603" spans="1:36" ht="12.7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row>
    <row r="604" spans="1:36" ht="12.7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row>
    <row r="605" spans="1:36" ht="12.7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row>
    <row r="606" spans="1:36" ht="12.7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row>
    <row r="607" spans="1:36" ht="12.7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row>
    <row r="608" spans="1:36" ht="12.7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row>
    <row r="609" spans="1:36" ht="12.7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row>
    <row r="610" spans="1:36" ht="12.7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row>
    <row r="611" spans="1:36" ht="12.7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row>
    <row r="612" spans="1:36" ht="12.7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row>
    <row r="613" spans="1:36" ht="12.7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row>
    <row r="614" spans="1:36" ht="12.7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row>
    <row r="615" spans="1:36" ht="12.7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row>
    <row r="616" spans="1:36" ht="12.7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row>
    <row r="617" spans="1:36" ht="12.7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row>
    <row r="618" spans="1:36" ht="12.7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row>
    <row r="619" spans="1:36" ht="12.7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row>
    <row r="620" spans="1:36" ht="12.7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row>
    <row r="621" spans="1:36" ht="12.7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row>
    <row r="622" spans="1:36" ht="12.7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row>
    <row r="623" spans="1:36" ht="12.7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row>
    <row r="624" spans="1:36" ht="12.7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row>
    <row r="625" spans="1:36" ht="12.7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row>
    <row r="626" spans="1:36" ht="12.7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row>
    <row r="627" spans="1:36" ht="12.7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row>
    <row r="628" spans="1:36" ht="12.7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row>
    <row r="629" spans="1:36" ht="12.7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row>
    <row r="630" spans="1:36" ht="12.7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row>
    <row r="631" spans="1:36" ht="12.7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row>
    <row r="632" spans="1:36" ht="12.7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row>
    <row r="633" spans="1:36" ht="12.7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row>
    <row r="634" spans="1:36" ht="12.7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row>
    <row r="635" spans="1:36" ht="12.7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row>
    <row r="636" spans="1:36" ht="12.7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row>
    <row r="637" spans="1:36" ht="12.7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row>
    <row r="638" spans="1:36" ht="12.7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row>
    <row r="639" spans="1:36" ht="12.7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row>
    <row r="640" spans="1:36" ht="12.7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row>
    <row r="641" spans="1:36" ht="12.7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row>
    <row r="642" spans="1:36" ht="12.7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row>
    <row r="643" spans="1:36" ht="12.7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row>
    <row r="644" spans="1:36" ht="12.7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row>
    <row r="645" spans="1:36" ht="12.7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row>
    <row r="646" spans="1:36" ht="12.7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row>
    <row r="647" spans="1:36" ht="12.7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row>
    <row r="648" spans="1:36" ht="12.7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row>
    <row r="649" spans="1:36" ht="12.7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row>
    <row r="650" spans="1:36" ht="12.7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row>
    <row r="651" spans="1:36" ht="12.7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row>
    <row r="652" spans="1:36" ht="12.7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row>
    <row r="653" spans="1:36" ht="12.7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row>
    <row r="654" spans="1:36" ht="12.7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row>
    <row r="655" spans="1:36" ht="12.7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row>
    <row r="656" spans="1:36" ht="12.7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row>
    <row r="657" spans="1:36" ht="12.7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row>
    <row r="658" spans="1:36" ht="12.7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row>
    <row r="659" spans="1:36" ht="12.7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row>
    <row r="660" spans="1:36" ht="12.7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row>
    <row r="661" spans="1:36" ht="12.7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row>
    <row r="662" spans="1:36" ht="12.7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row>
    <row r="663" spans="1:36" ht="12.7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row>
    <row r="664" spans="1:36" ht="12.7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row>
    <row r="665" spans="1:36" ht="12.7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row>
    <row r="666" spans="1:36" ht="12.7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row>
    <row r="667" spans="1:36" ht="12.7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row>
    <row r="668" spans="1:36" ht="12.7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row>
    <row r="669" spans="1:36" ht="12.7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row>
    <row r="670" spans="1:36" ht="12.7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row>
    <row r="671" spans="1:36" ht="12.7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row>
    <row r="672" spans="1:36" ht="12.7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row>
    <row r="673" spans="1:36" ht="12.7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row>
    <row r="674" spans="1:36" ht="12.7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row>
    <row r="675" spans="1:36" ht="12.7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row>
    <row r="676" spans="1:36" ht="12.7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row>
    <row r="677" spans="1:36" ht="12.7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row>
    <row r="678" spans="1:36" ht="12.7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row>
    <row r="679" spans="1:36" ht="12.7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row>
    <row r="680" spans="1:36" ht="12.7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row>
    <row r="681" spans="1:36" ht="12.7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row>
    <row r="682" spans="1:36" ht="12.7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row>
    <row r="683" spans="1:36" ht="12.7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row>
    <row r="684" spans="1:36" ht="12.7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row>
    <row r="685" spans="1:36" ht="12.7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row>
    <row r="686" spans="1:36" ht="12.7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row>
    <row r="687" spans="1:36" ht="12.7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row>
    <row r="688" spans="1:36" ht="12.7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row>
    <row r="689" spans="1:36" ht="12.7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row>
    <row r="690" spans="1:36" ht="12.7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row>
    <row r="691" spans="1:36" ht="12.7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row>
    <row r="692" spans="1:36" ht="12.7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row>
    <row r="693" spans="1:36" ht="12.7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row>
    <row r="694" spans="1:36" ht="12.7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row>
    <row r="695" spans="1:36" ht="12.7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row>
    <row r="696" spans="1:36" ht="12.7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row>
    <row r="697" spans="1:36" ht="12.7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row>
    <row r="698" spans="1:36" ht="12.7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row>
    <row r="699" spans="1:36" ht="12.7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row>
    <row r="700" spans="1:36" ht="12.7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row>
    <row r="701" spans="1:36" ht="12.7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row>
    <row r="702" spans="1:36" ht="12.7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row>
    <row r="703" spans="1:36" ht="12.7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row>
    <row r="704" spans="1:36" ht="12.7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row>
    <row r="705" spans="1:36" ht="12.7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row>
    <row r="706" spans="1:36" ht="12.7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row>
    <row r="707" spans="1:36" ht="12.7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row>
    <row r="708" spans="1:36" ht="12.7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row>
    <row r="709" spans="1:36" ht="12.7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row>
    <row r="710" spans="1:36" ht="12.7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row>
    <row r="711" spans="1:36" ht="12.7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row>
    <row r="712" spans="1:36" ht="12.7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row>
    <row r="713" spans="1:36" ht="12.7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row>
    <row r="714" spans="1:36" ht="12.7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row>
    <row r="715" spans="1:36" ht="12.7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row>
    <row r="716" spans="1:36" ht="12.7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row>
    <row r="717" spans="1:36" ht="12.7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row>
    <row r="718" spans="1:36" ht="12.7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row>
    <row r="719" spans="1:36" ht="12.7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row>
    <row r="720" spans="1:36" ht="12.7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row>
    <row r="721" spans="1:36" ht="12.7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row>
    <row r="722" spans="1:36" ht="12.7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row>
    <row r="723" spans="1:36" ht="12.7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row>
    <row r="724" spans="1:36" ht="12.7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row>
    <row r="725" spans="1:36" ht="12.7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row>
    <row r="726" spans="1:36" ht="12.7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row>
    <row r="727" spans="1:36" ht="12.7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row>
    <row r="728" spans="1:36" ht="12.7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row>
    <row r="729" spans="1:36" ht="12.7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row>
    <row r="730" spans="1:36" ht="12.7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row>
    <row r="731" spans="1:36" ht="12.7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row>
    <row r="732" spans="1:36" ht="12.7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row>
    <row r="733" spans="1:36" ht="12.7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row>
    <row r="734" spans="1:36" ht="12.7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row>
    <row r="735" spans="1:36" ht="12.7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row>
    <row r="736" spans="1:36" ht="12.7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row>
    <row r="737" spans="1:36" ht="12.7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row>
    <row r="738" spans="1:36" ht="12.7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row>
    <row r="739" spans="1:36" ht="12.7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row>
    <row r="740" spans="1:36" ht="12.7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row>
    <row r="741" spans="1:36" ht="12.7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row>
    <row r="742" spans="1:36" ht="12.7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row>
    <row r="743" spans="1:36" ht="12.7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row>
    <row r="744" spans="1:36" ht="12.7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row>
    <row r="745" spans="1:36" ht="12.7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row>
    <row r="746" spans="1:36" ht="12.7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row>
    <row r="747" spans="1:36" ht="12.7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row>
    <row r="748" spans="1:36" ht="12.7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row>
    <row r="749" spans="1:36" ht="12.7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row>
    <row r="750" spans="1:36" ht="12.7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row>
    <row r="751" spans="1:36" ht="12.7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row>
    <row r="752" spans="1:36" ht="12.7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row>
    <row r="753" spans="1:36" ht="12.7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row>
    <row r="754" spans="1:36" ht="12.7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row>
    <row r="755" spans="1:36" ht="12.7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row>
    <row r="756" spans="1:36" ht="12.7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row>
    <row r="757" spans="1:36" ht="12.7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row>
    <row r="758" spans="1:36" ht="12.7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row>
    <row r="759" spans="1:36" ht="12.7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row>
    <row r="760" spans="1:36" ht="12.7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row>
    <row r="761" spans="1:36" ht="12.7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row>
    <row r="762" spans="1:36" ht="12.7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row>
    <row r="763" spans="1:36" ht="12.7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row>
    <row r="764" spans="1:36" ht="12.7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row>
    <row r="765" spans="1:36" ht="12.7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row>
    <row r="766" spans="1:36" ht="12.7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row>
    <row r="767" spans="1:36" ht="12.7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row>
    <row r="768" spans="1:36" ht="12.7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row>
    <row r="769" spans="1:36" ht="12.7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row>
    <row r="770" spans="1:36" ht="12.7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row>
    <row r="771" spans="1:36" ht="12.7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row>
    <row r="772" spans="1:36" ht="12.7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row>
    <row r="773" spans="1:36" ht="12.7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row>
    <row r="774" spans="1:36" ht="12.7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row>
    <row r="775" spans="1:36" ht="12.7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row>
    <row r="776" spans="1:36" ht="12.7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row>
    <row r="777" spans="1:36" ht="12.7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row>
    <row r="778" spans="1:36" ht="12.7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row>
    <row r="779" spans="1:36" ht="12.7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row>
    <row r="780" spans="1:36" ht="12.7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row>
    <row r="781" spans="1:36" ht="12.7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row>
    <row r="782" spans="1:36" ht="12.7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row>
    <row r="783" spans="1:36" ht="12.7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row>
    <row r="784" spans="1:36" ht="12.7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row>
    <row r="785" spans="1:36" ht="12.7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row>
    <row r="786" spans="1:36" ht="12.7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row>
    <row r="787" spans="1:36" ht="12.7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row>
    <row r="788" spans="1:36" ht="12.7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row>
    <row r="789" spans="1:36" ht="12.7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row>
    <row r="790" spans="1:36" ht="12.7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row>
    <row r="791" spans="1:36" ht="12.7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row>
    <row r="792" spans="1:36" ht="12.7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row>
    <row r="793" spans="1:36" ht="12.7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row>
    <row r="794" spans="1:36" ht="12.7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row>
    <row r="795" spans="1:36" ht="12.7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row>
    <row r="796" spans="1:36" ht="12.7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row>
    <row r="797" spans="1:36" ht="12.7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row>
    <row r="798" spans="1:36" ht="12.7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row>
    <row r="799" spans="1:36" ht="12.7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row>
    <row r="800" spans="1:36" ht="12.7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row>
    <row r="801" spans="1:36" ht="12.7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row>
    <row r="802" spans="1:36" ht="12.7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row>
    <row r="803" spans="1:36" ht="12.7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row>
    <row r="804" spans="1:36" ht="12.7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row>
    <row r="805" spans="1:36" ht="12.7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row>
    <row r="806" spans="1:36" ht="12.7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row>
    <row r="807" spans="1:36" ht="12.7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row>
    <row r="808" spans="1:36" ht="12.7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row>
    <row r="809" spans="1:36" ht="12.7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row>
    <row r="810" spans="1:36" ht="12.7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row>
    <row r="811" spans="1:36" ht="12.7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row>
    <row r="812" spans="1:36" ht="12.7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row>
    <row r="813" spans="1:36" ht="12.7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row>
    <row r="814" spans="1:36" ht="12.7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row>
    <row r="815" spans="1:36" ht="12.7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row>
    <row r="816" spans="1:36" ht="12.7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row>
    <row r="817" spans="1:36" ht="12.7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row>
    <row r="818" spans="1:36" ht="12.7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row>
    <row r="819" spans="1:36" ht="12.7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row>
    <row r="820" spans="1:36" ht="12.7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row>
    <row r="821" spans="1:36" ht="12.7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row>
    <row r="822" spans="1:36" ht="12.7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row>
    <row r="823" spans="1:36" ht="12.7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row>
    <row r="824" spans="1:36" ht="12.7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row>
    <row r="825" spans="1:36" ht="12.7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row>
    <row r="826" spans="1:36" ht="12.7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row>
    <row r="827" spans="1:36" ht="12.7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row>
    <row r="828" spans="1:36" ht="12.7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row>
    <row r="829" spans="1:36" ht="12.7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row>
    <row r="830" spans="1:36" ht="12.7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row>
    <row r="831" spans="1:36" ht="12.7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row>
    <row r="832" spans="1:36" ht="12.7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row>
    <row r="833" spans="1:36" ht="12.7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row>
    <row r="834" spans="1:36" ht="12.7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row>
    <row r="835" spans="1:36" ht="12.7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row>
    <row r="836" spans="1:36" ht="12.7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row>
    <row r="837" spans="1:36" ht="12.7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row>
    <row r="838" spans="1:36" ht="12.7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row>
    <row r="839" spans="1:36" ht="12.7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row>
    <row r="840" spans="1:36" ht="12.7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row>
    <row r="841" spans="1:36" ht="12.7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row>
    <row r="842" spans="1:36" ht="12.7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row>
    <row r="843" spans="1:36" ht="12.7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row>
    <row r="844" spans="1:36" ht="12.7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row>
    <row r="845" spans="1:36" ht="12.7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row>
    <row r="846" spans="1:36" ht="12.7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row>
    <row r="847" spans="1:36" ht="12.7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row>
    <row r="848" spans="1:36" ht="12.7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row>
    <row r="849" spans="1:36" ht="12.7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row>
    <row r="850" spans="1:36" ht="12.7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row>
    <row r="851" spans="1:36" ht="12.7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row>
    <row r="852" spans="1:36" ht="12.7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row>
    <row r="853" spans="1:36" ht="12.7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row>
    <row r="854" spans="1:36" ht="12.7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row>
    <row r="855" spans="1:36" ht="12.7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row>
    <row r="856" spans="1:36" ht="12.7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row>
    <row r="857" spans="1:36" ht="12.7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row>
    <row r="858" spans="1:36" ht="12.7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row>
    <row r="859" spans="1:36" ht="12.7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row>
    <row r="860" spans="1:36" ht="12.7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row>
    <row r="861" spans="1:36" ht="12.7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row>
    <row r="862" spans="1:36" ht="12.7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row>
    <row r="863" spans="1:36" ht="12.7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row>
    <row r="864" spans="1:36" ht="12.7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row>
    <row r="865" spans="1:36" ht="12.7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row>
    <row r="866" spans="1:36" ht="12.7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row>
    <row r="867" spans="1:36" ht="12.7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row>
    <row r="868" spans="1:36" ht="12.7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row>
    <row r="869" spans="1:36" ht="12.7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row>
    <row r="870" spans="1:36" ht="12.7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row>
    <row r="871" spans="1:36" ht="12.7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row>
    <row r="872" spans="1:36" ht="12.7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row>
    <row r="873" spans="1:36" ht="12.7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row>
    <row r="874" spans="1:36" ht="12.7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row>
    <row r="875" spans="1:36" ht="12.7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row>
    <row r="876" spans="1:36" ht="12.7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row>
    <row r="877" spans="1:36" ht="12.7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row>
    <row r="878" spans="1:36" ht="12.7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row>
    <row r="879" spans="1:36" ht="12.7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row>
    <row r="880" spans="1:36" ht="12.7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row>
    <row r="881" spans="1:36" ht="12.7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row>
    <row r="882" spans="1:36" ht="12.7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row>
    <row r="883" spans="1:36" ht="12.7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row>
    <row r="884" spans="1:36" ht="12.7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row>
    <row r="885" spans="1:36" ht="12.7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row>
    <row r="886" spans="1:36" ht="12.7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row>
    <row r="887" spans="1:36" ht="12.7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row>
    <row r="888" spans="1:36" ht="12.7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row>
    <row r="889" spans="1:36" ht="12.7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row>
    <row r="890" spans="1:36" ht="12.7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row>
    <row r="891" spans="1:36" ht="12.7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row>
    <row r="892" spans="1:36" ht="12.7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row>
    <row r="893" spans="1:36" ht="12.7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row>
    <row r="894" spans="1:36" ht="12.7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row>
    <row r="895" spans="1:36" ht="12.7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row>
    <row r="896" spans="1:36" ht="12.7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row>
    <row r="897" spans="1:36" ht="12.7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row>
    <row r="898" spans="1:36" ht="12.7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row>
    <row r="899" spans="1:36" ht="12.7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row>
    <row r="900" spans="1:36" ht="12.7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row>
    <row r="901" spans="1:36" ht="12.7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row>
    <row r="902" spans="1:36" ht="12.7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row>
    <row r="903" spans="1:36" ht="12.7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row>
    <row r="904" spans="1:36" ht="12.7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row>
    <row r="905" spans="1:36" ht="12.7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row>
    <row r="906" spans="1:36" ht="12.7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row>
    <row r="907" spans="1:36" ht="12.7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row>
    <row r="908" spans="1:36" ht="12.7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row>
    <row r="909" spans="1:36" ht="12.7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row>
    <row r="910" spans="1:36" ht="12.7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row>
    <row r="911" spans="1:36" ht="12.7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row>
    <row r="912" spans="1:36" ht="12.7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row>
    <row r="913" spans="1:36" ht="12.7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row>
    <row r="914" spans="1:36" ht="12.7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row>
    <row r="915" spans="1:36" ht="12.7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row>
    <row r="916" spans="1:36" ht="12.7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row>
    <row r="917" spans="1:36" ht="12.7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row>
    <row r="918" spans="1:36" ht="12.7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row>
    <row r="919" spans="1:36" ht="12.7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row>
    <row r="920" spans="1:36" ht="12.7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row>
    <row r="921" spans="1:36" ht="12.7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row>
    <row r="922" spans="1:36" ht="12.7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row>
    <row r="923" spans="1:36" ht="12.7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row>
    <row r="924" spans="1:36" ht="12.7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row>
    <row r="925" spans="1:36" ht="12.7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row>
    <row r="926" spans="1:36" ht="12.7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row>
    <row r="927" spans="1:36" ht="12.7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row>
    <row r="928" spans="1:36" ht="12.7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row>
    <row r="929" spans="1:36" ht="12.7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row>
    <row r="930" spans="1:36" ht="12.7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row>
    <row r="931" spans="1:36" ht="12.7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row>
    <row r="932" spans="1:36" ht="12.7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row>
    <row r="933" spans="1:36" ht="12.7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row>
    <row r="934" spans="1:36" ht="12.7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row>
    <row r="935" spans="1:36" ht="12.7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row>
    <row r="936" spans="1:36" ht="12.7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row>
    <row r="937" spans="1:36" ht="12.7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row>
    <row r="938" spans="1:36" ht="12.7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row>
    <row r="939" spans="1:36" ht="12.7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row>
    <row r="940" spans="1:36" ht="12.7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row>
    <row r="941" spans="1:36" ht="12.7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row>
    <row r="942" spans="1:36" ht="12.7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row>
    <row r="943" spans="1:36" ht="12.7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row>
    <row r="944" spans="1:36" ht="12.7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row>
    <row r="945" spans="1:36" ht="12.7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row>
    <row r="946" spans="1:36" ht="12.7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row>
    <row r="947" spans="1:36" ht="12.7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row>
    <row r="948" spans="1:36" ht="12.7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row>
    <row r="949" spans="1:36" ht="12.7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row>
    <row r="950" spans="1:36" ht="12.7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row>
    <row r="951" spans="1:36" ht="12.7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row>
    <row r="952" spans="1:36" ht="12.7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row>
    <row r="953" spans="1:36" ht="12.7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row>
    <row r="954" spans="1:36" ht="12.7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row>
    <row r="955" spans="1:36" ht="12.7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row>
    <row r="956" spans="1:36" ht="12.7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row>
    <row r="957" spans="1:36" ht="12.7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row>
    <row r="958" spans="1:36" ht="12.7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row>
    <row r="959" spans="1:36" ht="12.7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row>
    <row r="960" spans="1:36" ht="12.7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row>
    <row r="961" spans="1:36" ht="12.7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row>
    <row r="962" spans="1:36" ht="12.7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row>
    <row r="963" spans="1:36" ht="12.7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row>
    <row r="964" spans="1:36" ht="12.7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row>
    <row r="965" spans="1:36" ht="12.7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row>
    <row r="966" spans="1:36" ht="12.7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row>
    <row r="967" spans="1:36" ht="12.7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row>
    <row r="968" spans="1:36" ht="12.7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row>
    <row r="969" spans="1:36" ht="12.7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row>
    <row r="970" spans="1:36" ht="12.7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row>
    <row r="971" spans="1:36" ht="12.7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row>
    <row r="972" spans="1:36" ht="12.7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row>
    <row r="973" spans="1:36" ht="12.7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row>
    <row r="974" spans="1:36" ht="12.7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row>
    <row r="975" spans="1:36" ht="12.7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row>
    <row r="976" spans="1:36" ht="12.7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row>
    <row r="977" spans="1:36" ht="12.7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row>
    <row r="978" spans="1:36" ht="12.7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row>
    <row r="979" spans="1:36" ht="12.7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row>
    <row r="980" spans="1:36" ht="12.7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row>
    <row r="981" spans="1:36" ht="12.7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row>
    <row r="982" spans="1:36" ht="12.7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row>
  </sheetData>
  <dataConsolidate/>
  <mergeCells count="1">
    <mergeCell ref="AI27:AJ27"/>
  </mergeCells>
  <conditionalFormatting sqref="F30:AG47">
    <cfRule type="expression" dxfId="147" priority="1">
      <formula>$C$22="Report"</formula>
    </cfRule>
  </conditionalFormatting>
  <dataValidations count="4">
    <dataValidation type="list" allowBlank="1" showErrorMessage="1" sqref="D9 D11 D13 D15 D17 D19:D20" xr:uid="{00000000-0002-0000-0600-000000000000}">
      <formula1>"Segment,Activity-Based,Backlog"</formula1>
    </dataValidation>
    <dataValidation type="list" allowBlank="1" showErrorMessage="1" sqref="C22" xr:uid="{00000000-0002-0000-0600-000001000000}">
      <formula1>"Working,Report"</formula1>
    </dataValidation>
    <dataValidation type="list" allowBlank="1" showErrorMessage="1" sqref="C25" xr:uid="{00000000-0002-0000-0600-000002000000}">
      <formula1>"Quarterly,Annual"</formula1>
    </dataValidation>
    <dataValidation type="list" allowBlank="1" showErrorMessage="1" sqref="C7" xr:uid="{00000000-0002-0000-0600-000003000000}">
      <formula1>"Segment,Activity-Based,Backlog,Mixed"</formula1>
    </dataValidation>
  </dataValidations>
  <pageMargins left="0.7" right="0.7" top="0.75" bottom="0.75" header="0" footer="0"/>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355F"/>
  </sheetPr>
  <dimension ref="A1:AO1000"/>
  <sheetViews>
    <sheetView showGridLines="0" zoomScale="80" zoomScaleNormal="80" workbookViewId="0">
      <pane xSplit="4" ySplit="2" topLeftCell="E3" activePane="bottomRight" state="frozen"/>
      <selection activeCell="M47" sqref="M47"/>
      <selection pane="topRight" activeCell="M47" sqref="M47"/>
      <selection pane="bottomLeft" activeCell="M47" sqref="M47"/>
      <selection pane="bottomRight"/>
    </sheetView>
  </sheetViews>
  <sheetFormatPr defaultColWidth="14.42578125" defaultRowHeight="15" customHeight="1" outlineLevelRow="1" outlineLevelCol="1" x14ac:dyDescent="0.25"/>
  <cols>
    <col min="1" max="2" width="1.7109375" customWidth="1"/>
    <col min="3" max="3" width="51.28515625" customWidth="1"/>
    <col min="4" max="5" width="1.7109375" customWidth="1"/>
    <col min="6" max="9" width="13.140625" hidden="1" customWidth="1" outlineLevel="1"/>
    <col min="10" max="10" width="13.140625" customWidth="1" collapsed="1"/>
    <col min="11" max="14" width="13.140625" hidden="1" customWidth="1" outlineLevel="1"/>
    <col min="15" max="15" width="13.140625" customWidth="1" collapsed="1"/>
    <col min="16" max="19" width="13.140625" hidden="1" customWidth="1" outlineLevel="1"/>
    <col min="20" max="20" width="13.140625" customWidth="1" collapsed="1"/>
    <col min="21" max="24" width="13.140625" hidden="1" customWidth="1" outlineLevel="1"/>
    <col min="25" max="25" width="13.140625" customWidth="1" collapsed="1"/>
    <col min="26" max="29" width="13.140625" hidden="1" customWidth="1" outlineLevel="1"/>
    <col min="30" max="30" width="13.140625" customWidth="1" collapsed="1"/>
    <col min="31" max="33" width="13.140625" customWidth="1"/>
    <col min="34" max="34" width="1.7109375" customWidth="1"/>
    <col min="35" max="37" width="12.7109375" customWidth="1"/>
  </cols>
  <sheetData>
    <row r="1" spans="1:37" ht="13.5" customHeight="1" x14ac:dyDescent="0.35">
      <c r="A1" s="278"/>
      <c r="B1" s="4"/>
      <c r="C1" s="5" t="str">
        <f ca="1">Company_Name&amp;" - "&amp;MID(CELL("filename",A1),FIND("]",CELL("filename",A1))+1,255)&amp;": "&amp;Case_Scenario&amp;" Case"</f>
        <v>American Express Company - Model: Base Case</v>
      </c>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spans="1:37" ht="13.5" customHeight="1" x14ac:dyDescent="0.25">
      <c r="A2" s="279"/>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spans="1:37" ht="13.5" customHeight="1" x14ac:dyDescent="0.25">
      <c r="A3" s="280"/>
      <c r="B3" s="2"/>
      <c r="C3" s="243"/>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row>
    <row r="4" spans="1:37" ht="13.5" customHeight="1" x14ac:dyDescent="0.25">
      <c r="A4" s="279"/>
      <c r="B4" s="2"/>
      <c r="C4" s="207" t="s">
        <v>1</v>
      </c>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row>
    <row r="5" spans="1:37" ht="13.5" customHeight="1" x14ac:dyDescent="0.25">
      <c r="A5" s="279"/>
      <c r="B5" s="2"/>
      <c r="C5" s="208" t="s">
        <v>1154</v>
      </c>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row>
    <row r="6" spans="1:37" ht="13.5" customHeight="1" x14ac:dyDescent="0.25">
      <c r="A6" s="279"/>
      <c r="B6" s="2"/>
      <c r="C6" s="9"/>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row>
    <row r="7" spans="1:37" ht="13.5" customHeight="1" x14ac:dyDescent="0.25">
      <c r="A7" s="279"/>
      <c r="B7" s="2"/>
      <c r="C7" s="207" t="s">
        <v>257</v>
      </c>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row>
    <row r="8" spans="1:37" ht="13.5" customHeight="1" x14ac:dyDescent="0.25">
      <c r="A8" s="205"/>
      <c r="B8" s="9"/>
      <c r="C8" s="208" t="s">
        <v>258</v>
      </c>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row>
    <row r="9" spans="1:37" ht="13.5" customHeight="1" x14ac:dyDescent="0.25">
      <c r="A9" s="205"/>
      <c r="B9" s="9"/>
      <c r="C9" s="281"/>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row>
    <row r="10" spans="1:37" ht="13.5" customHeight="1" x14ac:dyDescent="0.25">
      <c r="A10" s="205" t="s">
        <v>0</v>
      </c>
      <c r="B10" s="37"/>
      <c r="C10" s="141" t="s">
        <v>259</v>
      </c>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row>
    <row r="11" spans="1:37" ht="13.5" hidden="1" customHeight="1" outlineLevel="1" x14ac:dyDescent="0.25">
      <c r="A11" s="205"/>
      <c r="B11" s="9"/>
      <c r="C11" s="282" t="str">
        <f>$C$25</f>
        <v>Income Statement</v>
      </c>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row>
    <row r="12" spans="1:37" ht="13.5" hidden="1" customHeight="1" outlineLevel="1" x14ac:dyDescent="0.25">
      <c r="A12" s="205"/>
      <c r="B12" s="9"/>
      <c r="C12" s="283" t="str">
        <f>$C$73</f>
        <v>Cash Flow Statement</v>
      </c>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row>
    <row r="13" spans="1:37" ht="13.5" hidden="1" customHeight="1" outlineLevel="1" x14ac:dyDescent="0.25">
      <c r="A13" s="205"/>
      <c r="B13" s="9"/>
      <c r="C13" s="283" t="str">
        <f>$C$118</f>
        <v>Balance Sheet</v>
      </c>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row>
    <row r="14" spans="1:37" ht="13.5" hidden="1" customHeight="1" outlineLevel="1" x14ac:dyDescent="0.25">
      <c r="A14" s="205"/>
      <c r="B14" s="9"/>
      <c r="C14" s="283" t="str">
        <f>$C$160</f>
        <v>Working Capital Schedule</v>
      </c>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row>
    <row r="15" spans="1:37" ht="13.5" hidden="1" customHeight="1" outlineLevel="1" x14ac:dyDescent="0.25">
      <c r="A15" s="205"/>
      <c r="B15" s="9"/>
      <c r="C15" s="283" t="str">
        <f>$C$190</f>
        <v>PP&amp;E / Depreciation Schedule</v>
      </c>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row>
    <row r="16" spans="1:37" ht="13.5" hidden="1" customHeight="1" outlineLevel="1" x14ac:dyDescent="0.25">
      <c r="A16" s="205"/>
      <c r="B16" s="9"/>
      <c r="C16" s="283" t="str">
        <f>$C$204</f>
        <v>Amortization Schedule</v>
      </c>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row>
    <row r="17" spans="1:41" ht="13.5" hidden="1" customHeight="1" outlineLevel="1" x14ac:dyDescent="0.25">
      <c r="A17" s="205"/>
      <c r="B17" s="9"/>
      <c r="C17" s="283" t="str">
        <f>$C$216</f>
        <v>Other Long-Term Items Schedule</v>
      </c>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row>
    <row r="18" spans="1:41" ht="13.5" hidden="1" customHeight="1" outlineLevel="1" x14ac:dyDescent="0.25">
      <c r="A18" s="205"/>
      <c r="B18" s="9"/>
      <c r="C18" s="283" t="str">
        <f>$C$234</f>
        <v>Shareholder's Equity Schedule</v>
      </c>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row>
    <row r="19" spans="1:41" ht="13.5" hidden="1" customHeight="1" outlineLevel="1" x14ac:dyDescent="0.25">
      <c r="A19" s="205"/>
      <c r="B19" s="9"/>
      <c r="C19" s="283" t="str">
        <f>$C$275</f>
        <v>Shares Outstanding Schedule</v>
      </c>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row>
    <row r="20" spans="1:41" ht="13.5" hidden="1" customHeight="1" outlineLevel="1" x14ac:dyDescent="0.25">
      <c r="A20" s="205"/>
      <c r="B20" s="9"/>
      <c r="C20" s="284" t="str">
        <f>$C$286</f>
        <v>Debt and Interest Schedule</v>
      </c>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row>
    <row r="21" spans="1:41" ht="13.5" customHeight="1" collapsed="1" x14ac:dyDescent="0.25">
      <c r="A21" s="205"/>
      <c r="B21" s="9"/>
      <c r="C21" s="103"/>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row>
    <row r="22" spans="1:41" ht="13.5" customHeight="1" x14ac:dyDescent="0.25">
      <c r="A22" s="205"/>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row>
    <row r="23" spans="1:41" ht="13.5" hidden="1" customHeight="1" outlineLevel="1" x14ac:dyDescent="0.25">
      <c r="A23" s="205"/>
      <c r="B23" s="9"/>
      <c r="C23" s="9"/>
      <c r="D23" s="9"/>
      <c r="E23" s="9"/>
      <c r="F23" s="126"/>
      <c r="G23" s="126"/>
      <c r="H23" s="9"/>
      <c r="I23" s="9"/>
      <c r="J23" s="9">
        <v>1</v>
      </c>
      <c r="K23" s="9"/>
      <c r="L23" s="9"/>
      <c r="M23" s="9"/>
      <c r="N23" s="9"/>
      <c r="O23" s="9">
        <v>2</v>
      </c>
      <c r="P23" s="9"/>
      <c r="Q23" s="9"/>
      <c r="R23" s="9"/>
      <c r="S23" s="832"/>
      <c r="T23" s="9">
        <v>3</v>
      </c>
      <c r="U23" s="9"/>
      <c r="V23" s="9"/>
      <c r="W23" s="9"/>
      <c r="X23" s="9"/>
      <c r="Y23" s="9">
        <v>4</v>
      </c>
      <c r="Z23" s="9"/>
      <c r="AA23" s="9"/>
      <c r="AB23" s="9"/>
      <c r="AC23" s="9"/>
      <c r="AD23" s="9">
        <v>5</v>
      </c>
      <c r="AE23" s="9">
        <v>6</v>
      </c>
      <c r="AF23" s="9">
        <v>7</v>
      </c>
      <c r="AG23" s="9">
        <v>8</v>
      </c>
      <c r="AH23" s="9"/>
      <c r="AI23" s="9"/>
      <c r="AJ23" s="9"/>
      <c r="AK23" s="9"/>
    </row>
    <row r="24" spans="1:41" ht="13.5" hidden="1" customHeight="1" outlineLevel="1" x14ac:dyDescent="0.25">
      <c r="A24" s="205"/>
      <c r="B24" s="9"/>
      <c r="C24" s="9"/>
      <c r="D24" s="9"/>
      <c r="E24" s="9"/>
      <c r="F24" s="9">
        <f t="shared" ref="F24:I24" si="0">G24</f>
        <v>2023</v>
      </c>
      <c r="G24" s="9">
        <f t="shared" si="0"/>
        <v>2023</v>
      </c>
      <c r="H24" s="9">
        <f t="shared" si="0"/>
        <v>2023</v>
      </c>
      <c r="I24" s="9">
        <f t="shared" si="0"/>
        <v>2023</v>
      </c>
      <c r="J24" s="9">
        <f>O24-1</f>
        <v>2023</v>
      </c>
      <c r="K24" s="9">
        <f t="shared" ref="K24:N24" si="1">L24</f>
        <v>2024</v>
      </c>
      <c r="L24" s="9">
        <f t="shared" si="1"/>
        <v>2024</v>
      </c>
      <c r="M24" s="9">
        <f t="shared" si="1"/>
        <v>2024</v>
      </c>
      <c r="N24" s="9">
        <f t="shared" si="1"/>
        <v>2024</v>
      </c>
      <c r="O24" s="9">
        <f>T24-1</f>
        <v>2024</v>
      </c>
      <c r="P24" s="9">
        <f t="shared" ref="P24:U24" si="2">Q24</f>
        <v>2025</v>
      </c>
      <c r="Q24" s="9">
        <f t="shared" si="2"/>
        <v>2025</v>
      </c>
      <c r="R24" s="9">
        <f t="shared" si="2"/>
        <v>2025</v>
      </c>
      <c r="S24" s="9">
        <f t="shared" si="2"/>
        <v>2025</v>
      </c>
      <c r="T24" s="9">
        <f>YEAR(Last_FYE)</f>
        <v>2025</v>
      </c>
      <c r="U24" s="9">
        <f t="shared" si="2"/>
        <v>2026</v>
      </c>
      <c r="V24" s="9">
        <f t="shared" ref="V24" si="3">W24</f>
        <v>2026</v>
      </c>
      <c r="W24" s="9">
        <f t="shared" ref="W24" si="4">X24</f>
        <v>2026</v>
      </c>
      <c r="X24" s="9">
        <f t="shared" ref="X24" si="5">Y24</f>
        <v>2026</v>
      </c>
      <c r="Y24" s="9">
        <f>T24+1</f>
        <v>2026</v>
      </c>
      <c r="Z24" s="9">
        <f t="shared" ref="Z24:AC24" si="6">AA24</f>
        <v>2027</v>
      </c>
      <c r="AA24" s="9">
        <f t="shared" si="6"/>
        <v>2027</v>
      </c>
      <c r="AB24" s="9">
        <f t="shared" si="6"/>
        <v>2027</v>
      </c>
      <c r="AC24" s="9">
        <f t="shared" si="6"/>
        <v>2027</v>
      </c>
      <c r="AD24" s="9">
        <f>Y24+1</f>
        <v>2027</v>
      </c>
      <c r="AE24" s="9">
        <f t="shared" ref="AE24:AG24" si="7">AD24+1</f>
        <v>2028</v>
      </c>
      <c r="AF24" s="9">
        <f t="shared" si="7"/>
        <v>2029</v>
      </c>
      <c r="AG24" s="9">
        <f t="shared" si="7"/>
        <v>2030</v>
      </c>
      <c r="AH24" s="9"/>
      <c r="AI24" s="9"/>
      <c r="AJ24" s="9"/>
      <c r="AK24" s="9"/>
    </row>
    <row r="25" spans="1:41" ht="13.5" customHeight="1" collapsed="1" x14ac:dyDescent="0.25">
      <c r="A25" s="205" t="s">
        <v>0</v>
      </c>
      <c r="B25" s="9"/>
      <c r="C25" s="285" t="s">
        <v>260</v>
      </c>
      <c r="D25" s="141"/>
      <c r="E25" s="141"/>
      <c r="F25" s="141" t="str">
        <f>"1Q"&amp;RIGHT(F24,2)</f>
        <v>1Q23</v>
      </c>
      <c r="G25" s="141" t="str">
        <f>"2Q"&amp;RIGHT(G24,2)</f>
        <v>2Q23</v>
      </c>
      <c r="H25" s="141" t="str">
        <f>"3Q"&amp;RIGHT(H24,2)</f>
        <v>3Q23</v>
      </c>
      <c r="I25" s="141" t="str">
        <f>"4Q"&amp;RIGHT(I24,2)</f>
        <v>4Q23</v>
      </c>
      <c r="J25" s="141">
        <f>J24</f>
        <v>2023</v>
      </c>
      <c r="K25" s="141" t="str">
        <f>"1Q"&amp;RIGHT(K24,2)</f>
        <v>1Q24</v>
      </c>
      <c r="L25" s="141" t="str">
        <f>"2Q"&amp;RIGHT(L24,2)</f>
        <v>2Q24</v>
      </c>
      <c r="M25" s="141" t="str">
        <f>"3Q"&amp;RIGHT(M24,2)</f>
        <v>3Q24</v>
      </c>
      <c r="N25" s="141" t="str">
        <f>"4Q"&amp;RIGHT(N24,2)</f>
        <v>4Q24</v>
      </c>
      <c r="O25" s="141">
        <f>O24</f>
        <v>2024</v>
      </c>
      <c r="P25" s="141" t="str">
        <f>"1Q"&amp;RIGHT(P24,2)</f>
        <v>1Q25</v>
      </c>
      <c r="Q25" s="141" t="str">
        <f>"2Q"&amp;RIGHT(Q24,2)</f>
        <v>2Q25</v>
      </c>
      <c r="R25" s="141" t="str">
        <f>"3Q"&amp;RIGHT(R24,2)</f>
        <v>3Q25</v>
      </c>
      <c r="S25" s="141" t="str">
        <f>"4Q"&amp;RIGHT(S24,2)</f>
        <v>4Q25</v>
      </c>
      <c r="T25" s="141">
        <f>T24</f>
        <v>2025</v>
      </c>
      <c r="U25" s="141" t="str">
        <f>"1Q"&amp;RIGHT(U24,2)</f>
        <v>1Q26</v>
      </c>
      <c r="V25" s="141" t="str">
        <f>"2Q"&amp;RIGHT(V24,2)&amp;"e"</f>
        <v>2Q26e</v>
      </c>
      <c r="W25" s="141" t="str">
        <f>"3Q"&amp;RIGHT(W24,2)&amp;"e"</f>
        <v>3Q26e</v>
      </c>
      <c r="X25" s="141" t="str">
        <f>"4Q"&amp;RIGHT(X24,2)&amp;"e"</f>
        <v>4Q26e</v>
      </c>
      <c r="Y25" s="141" t="str">
        <f>Y24&amp;"e"</f>
        <v>2026e</v>
      </c>
      <c r="Z25" s="141" t="str">
        <f>"1Q"&amp;RIGHT(Z24,2)&amp;"e"</f>
        <v>1Q27e</v>
      </c>
      <c r="AA25" s="141" t="str">
        <f>"2Q"&amp;RIGHT(AA24,2)&amp;"e"</f>
        <v>2Q27e</v>
      </c>
      <c r="AB25" s="141" t="str">
        <f>"3Q"&amp;RIGHT(AB24,2)&amp;"e"</f>
        <v>3Q27e</v>
      </c>
      <c r="AC25" s="141" t="str">
        <f>"4Q"&amp;RIGHT(AC24,2)&amp;"e"</f>
        <v>4Q27e</v>
      </c>
      <c r="AD25" s="141" t="str">
        <f t="shared" ref="AD25:AG25" si="8">AD24&amp;"e"</f>
        <v>2027e</v>
      </c>
      <c r="AE25" s="141" t="str">
        <f t="shared" si="8"/>
        <v>2028e</v>
      </c>
      <c r="AF25" s="141" t="str">
        <f t="shared" si="8"/>
        <v>2029e</v>
      </c>
      <c r="AG25" s="287" t="str">
        <f t="shared" si="8"/>
        <v>2030e</v>
      </c>
      <c r="AH25" s="205" t="s">
        <v>0</v>
      </c>
      <c r="AI25" s="9"/>
      <c r="AJ25" s="9"/>
      <c r="AK25" s="9"/>
    </row>
    <row r="26" spans="1:41" ht="13.5" customHeight="1" x14ac:dyDescent="0.25">
      <c r="A26" s="205"/>
      <c r="B26" s="9"/>
      <c r="C26" s="214" t="s">
        <v>261</v>
      </c>
      <c r="D26" s="145"/>
      <c r="E26" s="145"/>
      <c r="F26" s="145">
        <v>91</v>
      </c>
      <c r="G26" s="145">
        <v>91</v>
      </c>
      <c r="H26" s="145">
        <v>92</v>
      </c>
      <c r="I26" s="145">
        <v>92</v>
      </c>
      <c r="J26" s="145">
        <f>SUM(F26:I26)</f>
        <v>366</v>
      </c>
      <c r="K26" s="145">
        <v>90</v>
      </c>
      <c r="L26" s="145">
        <v>91</v>
      </c>
      <c r="M26" s="145">
        <v>92</v>
      </c>
      <c r="N26" s="145">
        <v>92</v>
      </c>
      <c r="O26" s="145">
        <f>SUM(K26:N26)</f>
        <v>365</v>
      </c>
      <c r="P26" s="145">
        <v>90</v>
      </c>
      <c r="Q26" s="145">
        <v>91</v>
      </c>
      <c r="R26" s="145">
        <v>92</v>
      </c>
      <c r="S26" s="145">
        <v>92</v>
      </c>
      <c r="T26" s="145">
        <f>SUM(P26:S26)</f>
        <v>365</v>
      </c>
      <c r="U26" s="145">
        <v>90</v>
      </c>
      <c r="V26" s="145">
        <v>91</v>
      </c>
      <c r="W26" s="145">
        <v>92</v>
      </c>
      <c r="X26" s="145">
        <v>92</v>
      </c>
      <c r="Y26" s="145">
        <f>SUM(U26:X26)</f>
        <v>365</v>
      </c>
      <c r="Z26" s="145">
        <v>91</v>
      </c>
      <c r="AA26" s="145">
        <v>91</v>
      </c>
      <c r="AB26" s="145">
        <v>92</v>
      </c>
      <c r="AC26" s="145">
        <v>92</v>
      </c>
      <c r="AD26" s="145">
        <f>SUM(Z26:AC26)</f>
        <v>366</v>
      </c>
      <c r="AE26" s="145">
        <v>365</v>
      </c>
      <c r="AF26" s="145">
        <v>365</v>
      </c>
      <c r="AG26" s="146">
        <v>365</v>
      </c>
      <c r="AH26" s="9"/>
      <c r="AI26" s="9"/>
      <c r="AJ26" s="9"/>
      <c r="AK26" s="9"/>
    </row>
    <row r="27" spans="1:41" ht="13.5" customHeight="1" x14ac:dyDescent="0.25">
      <c r="A27" s="205"/>
      <c r="B27" s="9"/>
      <c r="C27" s="103"/>
      <c r="D27" s="9"/>
      <c r="E27" s="9"/>
      <c r="F27" s="250"/>
      <c r="G27" s="250"/>
      <c r="H27" s="250"/>
      <c r="I27" s="250"/>
      <c r="J27" s="9"/>
      <c r="K27" s="250"/>
      <c r="L27" s="250"/>
      <c r="M27" s="250"/>
      <c r="N27" s="250"/>
      <c r="O27" s="9"/>
      <c r="P27" s="250"/>
      <c r="Q27" s="250"/>
      <c r="R27" s="250"/>
      <c r="S27" s="250"/>
      <c r="T27" s="9"/>
      <c r="U27" s="250"/>
      <c r="V27" s="251"/>
      <c r="W27" s="251"/>
      <c r="X27" s="251"/>
      <c r="Y27" s="9"/>
      <c r="Z27" s="251"/>
      <c r="AA27" s="251"/>
      <c r="AB27" s="251"/>
      <c r="AC27" s="251"/>
      <c r="AD27" s="9"/>
      <c r="AE27" s="9"/>
      <c r="AF27" s="9"/>
      <c r="AG27" s="9"/>
      <c r="AH27" s="9"/>
      <c r="AI27" s="9"/>
      <c r="AJ27" s="9"/>
      <c r="AK27" s="9"/>
    </row>
    <row r="28" spans="1:41" ht="13.5" customHeight="1" x14ac:dyDescent="0.25">
      <c r="A28" s="205"/>
      <c r="B28" s="9"/>
      <c r="C28" s="103" t="s">
        <v>262</v>
      </c>
      <c r="D28" s="9"/>
      <c r="E28" s="9"/>
      <c r="F28" s="288">
        <f>'Segment Analysis'!F7</f>
        <v>15714</v>
      </c>
      <c r="G28" s="288">
        <f>'Segment Analysis'!G7</f>
        <v>16724</v>
      </c>
      <c r="H28" s="288">
        <f>'Segment Analysis'!H7</f>
        <v>17179</v>
      </c>
      <c r="I28" s="288">
        <f>'Segment Analysis'!I7</f>
        <v>17747</v>
      </c>
      <c r="J28" s="222">
        <f>SUM(F28:I28)</f>
        <v>67364</v>
      </c>
      <c r="K28" s="288">
        <f>'Segment Analysis'!K7</f>
        <v>17807</v>
      </c>
      <c r="L28" s="288">
        <f>'Segment Analysis'!L7</f>
        <v>18397</v>
      </c>
      <c r="M28" s="288">
        <f>'Segment Analysis'!M7</f>
        <v>18779</v>
      </c>
      <c r="N28" s="288">
        <f>'Segment Analysis'!N7</f>
        <v>19218</v>
      </c>
      <c r="O28" s="222">
        <f t="shared" ref="O28" si="9">SUM(K28:N28)</f>
        <v>74201</v>
      </c>
      <c r="P28" s="288">
        <f>'Segment Analysis'!P7</f>
        <v>18933</v>
      </c>
      <c r="Q28" s="288">
        <f>'Segment Analysis'!Q7</f>
        <v>19933</v>
      </c>
      <c r="R28" s="288">
        <f>'Segment Analysis'!R7</f>
        <v>20557</v>
      </c>
      <c r="S28" s="288">
        <f>'Segment Analysis'!S7</f>
        <v>21040</v>
      </c>
      <c r="T28" s="222">
        <f t="shared" ref="T28" si="10">SUM(P28:S28)</f>
        <v>80463</v>
      </c>
      <c r="U28" s="288">
        <f>'Segment Analysis'!U7</f>
        <v>20880</v>
      </c>
      <c r="V28" s="221">
        <f>'Segment Analysis'!V7</f>
        <v>21729.203000000001</v>
      </c>
      <c r="W28" s="221">
        <f>'Segment Analysis'!W7</f>
        <v>22323.43895</v>
      </c>
      <c r="X28" s="221">
        <f>'Segment Analysis'!X7</f>
        <v>23124.4003792</v>
      </c>
      <c r="Y28" s="222">
        <f t="shared" ref="Y28" si="11">SUM(U28:X28)</f>
        <v>88057.042329200005</v>
      </c>
      <c r="Z28" s="221">
        <f>'Segment Analysis'!Z7</f>
        <v>23062.491167255997</v>
      </c>
      <c r="AA28" s="221">
        <f>'Segment Analysis'!AA7</f>
        <v>24123.962710826741</v>
      </c>
      <c r="AB28" s="221">
        <f>'Segment Analysis'!AB7</f>
        <v>24704.224590130412</v>
      </c>
      <c r="AC28" s="221">
        <f>'Segment Analysis'!AC7</f>
        <v>25658.825330628726</v>
      </c>
      <c r="AD28" s="222">
        <f t="shared" ref="AD28" si="12">SUM(Z28:AC28)</f>
        <v>97549.503798841877</v>
      </c>
      <c r="AE28" s="222">
        <f>'Segment Analysis'!AE7</f>
        <v>104638.90724681984</v>
      </c>
      <c r="AF28" s="222">
        <f>'Segment Analysis'!AF7</f>
        <v>111964.7825308442</v>
      </c>
      <c r="AG28" s="222">
        <f>'Segment Analysis'!AG7</f>
        <v>118840.28275763517</v>
      </c>
      <c r="AH28" s="9"/>
      <c r="AI28" s="126"/>
      <c r="AJ28" s="126"/>
      <c r="AK28" s="126"/>
      <c r="AL28" s="126"/>
    </row>
    <row r="29" spans="1:41" ht="13.5" customHeight="1" x14ac:dyDescent="0.25">
      <c r="A29" s="205"/>
      <c r="B29" s="9"/>
      <c r="C29" s="855" t="s">
        <v>115</v>
      </c>
      <c r="D29" s="9"/>
      <c r="E29" s="9"/>
      <c r="F29" s="836">
        <v>-1433</v>
      </c>
      <c r="G29" s="836">
        <v>-1670</v>
      </c>
      <c r="H29" s="836">
        <v>-1798</v>
      </c>
      <c r="I29" s="836">
        <f>-6849-SUM(F29:H29)</f>
        <v>-1948</v>
      </c>
      <c r="J29" s="837">
        <f t="shared" ref="J29" si="13">SUM(F29:I29)</f>
        <v>-6849</v>
      </c>
      <c r="K29" s="836">
        <v>-2006</v>
      </c>
      <c r="L29" s="836">
        <v>-2064</v>
      </c>
      <c r="M29" s="836">
        <v>-2143</v>
      </c>
      <c r="N29" s="836">
        <f>-8252-SUM(K29:M29)</f>
        <v>-2039</v>
      </c>
      <c r="O29" s="837">
        <f t="shared" ref="O29" si="14">SUM(K29:N29)</f>
        <v>-8252</v>
      </c>
      <c r="P29" s="836">
        <v>-1966</v>
      </c>
      <c r="Q29" s="836">
        <v>-2077</v>
      </c>
      <c r="R29" s="836">
        <v>-2131</v>
      </c>
      <c r="S29" s="836">
        <f>-8234-SUM(P29:R29)</f>
        <v>-2060</v>
      </c>
      <c r="T29" s="222">
        <f>SUM(P29:S29)</f>
        <v>-8234</v>
      </c>
      <c r="U29" s="836">
        <v>-1973</v>
      </c>
      <c r="V29" s="854">
        <f>-('Revenue Build'!V37*(1-Drivers!V7))</f>
        <v>-2044.2564000000004</v>
      </c>
      <c r="W29" s="854">
        <f>-('Revenue Build'!W37*(1-Drivers!W7))</f>
        <v>-1931.5170000000001</v>
      </c>
      <c r="X29" s="854">
        <f>-('Revenue Build'!X37*(1-Drivers!X7))</f>
        <v>-1942.378704</v>
      </c>
      <c r="Y29" s="222">
        <f>SUM(U29:X29)</f>
        <v>-7891.1521039999998</v>
      </c>
      <c r="Z29" s="854">
        <f>-('Revenue Build'!Z37*(1-Drivers!Z7))</f>
        <v>-1732.5324332999999</v>
      </c>
      <c r="AA29" s="854">
        <f>-('Revenue Build'!AA37*(1-Drivers!AA7))</f>
        <v>-1728.8594645414039</v>
      </c>
      <c r="AB29" s="854">
        <f>-('Revenue Build'!AB37*(1-Drivers!AB7))</f>
        <v>-1757.7321175423481</v>
      </c>
      <c r="AC29" s="854">
        <f>-('Revenue Build'!AC37*(1-Drivers!AC7))</f>
        <v>-1728.1376482163798</v>
      </c>
      <c r="AD29" s="222">
        <f>SUM(Z29:AC29)</f>
        <v>-6947.2616636001312</v>
      </c>
      <c r="AE29" s="222">
        <f>-('Revenue Build'!AE37*(1-Drivers!AE7))</f>
        <v>-6542.4378277107453</v>
      </c>
      <c r="AF29" s="222">
        <f>-('Revenue Build'!AF37*(1-Drivers!AF7))</f>
        <v>-6619.7575474927817</v>
      </c>
      <c r="AG29" s="222">
        <f>-('Revenue Build'!AG37*(1-Drivers!AG7))</f>
        <v>-6714.3255124569641</v>
      </c>
      <c r="AH29" s="9"/>
      <c r="AI29" s="126"/>
      <c r="AJ29" s="126"/>
      <c r="AK29" s="126"/>
      <c r="AL29" s="126"/>
    </row>
    <row r="30" spans="1:41" ht="13.5" customHeight="1" x14ac:dyDescent="0.25">
      <c r="A30" s="205"/>
      <c r="B30" s="9"/>
      <c r="C30" s="827" t="s">
        <v>847</v>
      </c>
      <c r="D30" s="9"/>
      <c r="E30" s="9"/>
      <c r="F30" s="853">
        <f>SUM(F28:F29)</f>
        <v>14281</v>
      </c>
      <c r="G30" s="853">
        <f t="shared" ref="G30:I30" si="15">SUM(G28:G29)</f>
        <v>15054</v>
      </c>
      <c r="H30" s="853">
        <f t="shared" si="15"/>
        <v>15381</v>
      </c>
      <c r="I30" s="853">
        <f t="shared" si="15"/>
        <v>15799</v>
      </c>
      <c r="J30" s="222">
        <f>SUM(F30:I30)</f>
        <v>60515</v>
      </c>
      <c r="K30" s="853">
        <f t="shared" ref="K30" si="16">SUM(K28:K29)</f>
        <v>15801</v>
      </c>
      <c r="L30" s="853">
        <f t="shared" ref="L30" si="17">SUM(L28:L29)</f>
        <v>16333</v>
      </c>
      <c r="M30" s="853">
        <f t="shared" ref="M30" si="18">SUM(M28:M29)</f>
        <v>16636</v>
      </c>
      <c r="N30" s="853">
        <f t="shared" ref="N30" si="19">SUM(N28:N29)</f>
        <v>17179</v>
      </c>
      <c r="O30" s="222">
        <f>SUM(K30:N30)</f>
        <v>65949</v>
      </c>
      <c r="P30" s="853">
        <f t="shared" ref="P30" si="20">SUM(P28:P29)</f>
        <v>16967</v>
      </c>
      <c r="Q30" s="853">
        <f t="shared" ref="Q30" si="21">SUM(Q28:Q29)</f>
        <v>17856</v>
      </c>
      <c r="R30" s="853">
        <f t="shared" ref="R30" si="22">SUM(R28:R29)</f>
        <v>18426</v>
      </c>
      <c r="S30" s="853">
        <f t="shared" ref="S30:U30" si="23">SUM(S28:S29)</f>
        <v>18980</v>
      </c>
      <c r="T30" s="222">
        <f t="shared" si="23"/>
        <v>72229</v>
      </c>
      <c r="U30" s="853">
        <f t="shared" si="23"/>
        <v>18907</v>
      </c>
      <c r="V30" s="854">
        <f t="shared" ref="V30:X30" si="24">SUM(V28:V29)</f>
        <v>19684.946599999999</v>
      </c>
      <c r="W30" s="854">
        <f t="shared" si="24"/>
        <v>20391.92195</v>
      </c>
      <c r="X30" s="854">
        <f t="shared" si="24"/>
        <v>21182.021675200001</v>
      </c>
      <c r="Y30" s="222">
        <f>SUM(U30:X30)</f>
        <v>80165.890225199997</v>
      </c>
      <c r="Z30" s="854">
        <f t="shared" ref="Z30" si="25">SUM(Z28:Z29)</f>
        <v>21329.958733955998</v>
      </c>
      <c r="AA30" s="854">
        <f t="shared" ref="AA30" si="26">SUM(AA28:AA29)</f>
        <v>22395.103246285336</v>
      </c>
      <c r="AB30" s="854">
        <f t="shared" ref="AB30" si="27">SUM(AB28:AB29)</f>
        <v>22946.492472588063</v>
      </c>
      <c r="AC30" s="854">
        <f t="shared" ref="AC30" si="28">SUM(AC28:AC29)</f>
        <v>23930.687682412346</v>
      </c>
      <c r="AD30" s="222">
        <f>SUM(Z30:AC30)</f>
        <v>90602.242135241744</v>
      </c>
      <c r="AE30" s="222">
        <f t="shared" ref="AE30" si="29">SUM(AE28:AE29)</f>
        <v>98096.469419109097</v>
      </c>
      <c r="AF30" s="222">
        <f t="shared" ref="AF30" si="30">SUM(AF28:AF29)</f>
        <v>105345.02498335141</v>
      </c>
      <c r="AG30" s="222">
        <f t="shared" ref="AG30" si="31">SUM(AG28:AG29)</f>
        <v>112125.9572451782</v>
      </c>
      <c r="AH30" s="9"/>
      <c r="AI30" s="126"/>
      <c r="AJ30" s="158"/>
      <c r="AK30" s="158"/>
      <c r="AL30" s="158"/>
      <c r="AM30" s="158"/>
      <c r="AN30" s="158"/>
      <c r="AO30" s="158"/>
    </row>
    <row r="31" spans="1:41" ht="13.5" customHeight="1" x14ac:dyDescent="0.25">
      <c r="A31" s="205"/>
      <c r="B31" s="9"/>
      <c r="C31" s="855" t="s">
        <v>835</v>
      </c>
      <c r="D31" s="9"/>
      <c r="E31" s="9"/>
      <c r="F31" s="831">
        <v>-1055</v>
      </c>
      <c r="G31" s="831">
        <v>-1198</v>
      </c>
      <c r="H31" s="831">
        <v>-1233</v>
      </c>
      <c r="I31" s="831">
        <f>-4923-SUM(F31:H31)</f>
        <v>-1437</v>
      </c>
      <c r="J31" s="834">
        <f>SUM(F31:I31)</f>
        <v>-4923</v>
      </c>
      <c r="K31" s="831">
        <v>-1269</v>
      </c>
      <c r="L31" s="831">
        <v>-1268</v>
      </c>
      <c r="M31" s="831">
        <v>-1356</v>
      </c>
      <c r="N31" s="831">
        <f>-5185-SUM(K31:M31)</f>
        <v>-1292</v>
      </c>
      <c r="O31" s="834">
        <f t="shared" ref="O31" si="32">SUM(K31:N31)</f>
        <v>-5185</v>
      </c>
      <c r="P31" s="831">
        <v>-1150</v>
      </c>
      <c r="Q31" s="831">
        <v>-1405</v>
      </c>
      <c r="R31" s="831">
        <v>-1287</v>
      </c>
      <c r="S31" s="831">
        <f>-5256-SUM(P31:R31)</f>
        <v>-1414</v>
      </c>
      <c r="T31" s="834">
        <f t="shared" ref="T31" si="33">SUM(P31:S31)</f>
        <v>-5256</v>
      </c>
      <c r="U31" s="831">
        <v>-1251</v>
      </c>
      <c r="V31" s="835">
        <f>Drivers!V50*Model!V28</f>
        <v>-1434.1273980000001</v>
      </c>
      <c r="W31" s="835">
        <f>Drivers!W50*Model!W28</f>
        <v>-1384.0532149000001</v>
      </c>
      <c r="X31" s="835">
        <f>Drivers!X50*Model!X28</f>
        <v>-1503.0860246480001</v>
      </c>
      <c r="Y31" s="834">
        <f t="shared" ref="Y31" si="34">SUM(U31:X31)</f>
        <v>-5572.2666375480003</v>
      </c>
      <c r="Z31" s="835">
        <f>Drivers!Z50*Model!Z28</f>
        <v>-1429.8744523698717</v>
      </c>
      <c r="AA31" s="835">
        <f>Drivers!AA50*Model!AA28</f>
        <v>-1568.0575762037383</v>
      </c>
      <c r="AB31" s="835">
        <f>Drivers!AB50*Model!AB28</f>
        <v>-1605.7745983584769</v>
      </c>
      <c r="AC31" s="835">
        <f>Drivers!AC50*Model!AC28</f>
        <v>-1642.1648211602385</v>
      </c>
      <c r="AD31" s="834">
        <f>SUM(Z31:AC31)</f>
        <v>-6245.8714480923263</v>
      </c>
      <c r="AE31" s="834">
        <f>Drivers!AE50*Model!AE28</f>
        <v>-6592.2511565496497</v>
      </c>
      <c r="AF31" s="834">
        <f>Drivers!AF50*Model!AF28</f>
        <v>-7053.7812994431843</v>
      </c>
      <c r="AG31" s="834">
        <f>Drivers!AG50*Model!AG28</f>
        <v>-7486.9378137310159</v>
      </c>
      <c r="AH31" s="9"/>
      <c r="AI31" s="9"/>
      <c r="AJ31" s="832"/>
      <c r="AK31" s="9"/>
    </row>
    <row r="32" spans="1:41" ht="13.5" customHeight="1" x14ac:dyDescent="0.25">
      <c r="A32" s="205"/>
      <c r="B32" s="9"/>
      <c r="C32" s="103" t="s">
        <v>263</v>
      </c>
      <c r="D32" s="9"/>
      <c r="E32" s="9"/>
      <c r="F32" s="288">
        <f>F30+F31</f>
        <v>13226</v>
      </c>
      <c r="G32" s="288">
        <f t="shared" ref="G32:I32" si="35">G30+G31</f>
        <v>13856</v>
      </c>
      <c r="H32" s="288">
        <f t="shared" si="35"/>
        <v>14148</v>
      </c>
      <c r="I32" s="288">
        <f t="shared" si="35"/>
        <v>14362</v>
      </c>
      <c r="J32" s="222">
        <f>J30+J31</f>
        <v>55592</v>
      </c>
      <c r="K32" s="288">
        <f>K30+K31</f>
        <v>14532</v>
      </c>
      <c r="L32" s="288">
        <f t="shared" ref="L32" si="36">L30+L31</f>
        <v>15065</v>
      </c>
      <c r="M32" s="288">
        <f t="shared" ref="M32" si="37">M30+M31</f>
        <v>15280</v>
      </c>
      <c r="N32" s="288">
        <f t="shared" ref="N32" si="38">N30+N31</f>
        <v>15887</v>
      </c>
      <c r="O32" s="222">
        <f>O30+O31</f>
        <v>60764</v>
      </c>
      <c r="P32" s="288">
        <f>P30+P31</f>
        <v>15817</v>
      </c>
      <c r="Q32" s="288">
        <f t="shared" ref="Q32" si="39">Q30+Q31</f>
        <v>16451</v>
      </c>
      <c r="R32" s="288">
        <f t="shared" ref="R32" si="40">R30+R31</f>
        <v>17139</v>
      </c>
      <c r="S32" s="288">
        <f t="shared" ref="S32" si="41">S30+S31</f>
        <v>17566</v>
      </c>
      <c r="T32" s="222">
        <f>T30+T31</f>
        <v>66973</v>
      </c>
      <c r="U32" s="288">
        <f>U30+U31</f>
        <v>17656</v>
      </c>
      <c r="V32" s="221">
        <f t="shared" ref="V32" si="42">V30+V31</f>
        <v>18250.819201999999</v>
      </c>
      <c r="W32" s="221">
        <f t="shared" ref="W32" si="43">W30+W31</f>
        <v>19007.868735100001</v>
      </c>
      <c r="X32" s="221">
        <f t="shared" ref="X32" si="44">X30+X31</f>
        <v>19678.935650552001</v>
      </c>
      <c r="Y32" s="222">
        <f>SUM(U32:X32)</f>
        <v>74593.623587651993</v>
      </c>
      <c r="Z32" s="221">
        <f t="shared" ref="Z32" si="45">Z30+Z31</f>
        <v>19900.084281586125</v>
      </c>
      <c r="AA32" s="221">
        <f t="shared" ref="AA32" si="46">AA30+AA31</f>
        <v>20827.045670081599</v>
      </c>
      <c r="AB32" s="221">
        <f t="shared" ref="AB32" si="47">AB30+AB31</f>
        <v>21340.717874229587</v>
      </c>
      <c r="AC32" s="221">
        <f t="shared" ref="AC32" si="48">AC30+AC31</f>
        <v>22288.52286125211</v>
      </c>
      <c r="AD32" s="222">
        <f>SUM(Z32:AC32)</f>
        <v>84356.370687149421</v>
      </c>
      <c r="AE32" s="222">
        <f>SUM(AE30:AE31)</f>
        <v>91504.218262559443</v>
      </c>
      <c r="AF32" s="222">
        <f t="shared" ref="AF32:AG32" si="49">SUM(AF30:AF31)</f>
        <v>98291.243683908222</v>
      </c>
      <c r="AG32" s="222">
        <f t="shared" si="49"/>
        <v>104639.01943144719</v>
      </c>
      <c r="AH32" s="9"/>
      <c r="AI32" s="9"/>
      <c r="AJ32" s="9"/>
      <c r="AK32" s="9"/>
    </row>
    <row r="33" spans="1:37" ht="13.5" customHeight="1" x14ac:dyDescent="0.25">
      <c r="A33" s="205"/>
      <c r="B33" s="9"/>
      <c r="C33" s="103"/>
      <c r="D33" s="9"/>
      <c r="E33" s="9"/>
      <c r="F33" s="292"/>
      <c r="G33" s="250"/>
      <c r="H33" s="250"/>
      <c r="I33" s="250"/>
      <c r="J33" s="9"/>
      <c r="K33" s="292"/>
      <c r="L33" s="250"/>
      <c r="M33" s="250"/>
      <c r="N33" s="250"/>
      <c r="O33" s="9"/>
      <c r="P33" s="292"/>
      <c r="Q33" s="250"/>
      <c r="R33" s="250"/>
      <c r="S33" s="250"/>
      <c r="T33" s="9"/>
      <c r="U33" s="292"/>
      <c r="V33" s="251"/>
      <c r="W33" s="251"/>
      <c r="X33" s="251"/>
      <c r="Y33" s="222"/>
      <c r="Z33" s="251"/>
      <c r="AA33" s="251"/>
      <c r="AB33" s="251"/>
      <c r="AC33" s="251"/>
      <c r="AD33" s="9"/>
      <c r="AE33" s="9"/>
      <c r="AF33" s="9"/>
      <c r="AG33" s="9"/>
      <c r="AH33" s="9"/>
      <c r="AI33" s="9"/>
      <c r="AJ33" s="9"/>
      <c r="AK33" s="9"/>
    </row>
    <row r="34" spans="1:37" ht="13.5" customHeight="1" x14ac:dyDescent="0.25">
      <c r="A34" s="205"/>
      <c r="B34" s="9"/>
      <c r="C34" s="103" t="s">
        <v>264</v>
      </c>
      <c r="D34" s="9"/>
      <c r="E34" s="9"/>
      <c r="F34" s="293">
        <f>-1341-2014</f>
        <v>-3355</v>
      </c>
      <c r="G34" s="293">
        <f>-1408-1875</f>
        <v>-3283</v>
      </c>
      <c r="H34" s="293">
        <f>-1236-2047</f>
        <v>-3283</v>
      </c>
      <c r="I34" s="293">
        <f>(-5213-8067)-SUM(F34:H34)</f>
        <v>-3359</v>
      </c>
      <c r="J34" s="126">
        <f t="shared" ref="J34:J39" si="50">SUM(F34:I34)</f>
        <v>-13280</v>
      </c>
      <c r="K34" s="293">
        <f>-1476-2098</f>
        <v>-3574</v>
      </c>
      <c r="L34" s="293">
        <f>-1480-1949</f>
        <v>-3429</v>
      </c>
      <c r="M34" s="293">
        <f>-1470-2049</f>
        <v>-3519</v>
      </c>
      <c r="N34" s="293">
        <f>(-6040-8198)-SUM(K34:M34)</f>
        <v>-3716</v>
      </c>
      <c r="O34" s="126">
        <f t="shared" ref="O34:O39" si="51">SUM(K34:N34)</f>
        <v>-14238</v>
      </c>
      <c r="P34" s="293">
        <f>-1486-2120</f>
        <v>-3606</v>
      </c>
      <c r="Q34" s="293">
        <f>-1555-2152</f>
        <v>-3707</v>
      </c>
      <c r="R34" s="293">
        <f>-1599-2239</f>
        <v>-3838</v>
      </c>
      <c r="S34" s="293">
        <f>(-6252-9016)-SUM(P34:R34)</f>
        <v>-4117</v>
      </c>
      <c r="T34" s="126">
        <f t="shared" ref="T34:T39" si="52">SUM(P34:S34)</f>
        <v>-15268</v>
      </c>
      <c r="U34" s="293">
        <f>-1480-2482</f>
        <v>-3962</v>
      </c>
      <c r="V34" s="294">
        <f t="shared" ref="V34:X36" si="53">V67*V$28</f>
        <v>-4019.9025550000001</v>
      </c>
      <c r="W34" s="294">
        <f t="shared" si="53"/>
        <v>-4152.1596447000002</v>
      </c>
      <c r="X34" s="294">
        <f t="shared" si="53"/>
        <v>-4278.0140701520004</v>
      </c>
      <c r="Y34" s="126">
        <f t="shared" ref="Y34:Y39" si="54">SUM(U34:X34)</f>
        <v>-16412.076269852001</v>
      </c>
      <c r="Z34" s="294">
        <f t="shared" ref="Z34:AC36" si="55">Z67*Z$28</f>
        <v>-4312.6858482768712</v>
      </c>
      <c r="AA34" s="294">
        <f t="shared" si="55"/>
        <v>-4487.0570642137736</v>
      </c>
      <c r="AB34" s="294">
        <f t="shared" si="55"/>
        <v>-4545.5773245839955</v>
      </c>
      <c r="AC34" s="294">
        <f t="shared" si="55"/>
        <v>-4669.9062101744285</v>
      </c>
      <c r="AD34" s="126">
        <f t="shared" ref="AD34:AD39" si="56">SUM(Z34:AC34)</f>
        <v>-18015.226447249068</v>
      </c>
      <c r="AE34" s="126">
        <f t="shared" ref="AE34:AG36" si="57">AE67*AE$28</f>
        <v>-19044.281118921212</v>
      </c>
      <c r="AF34" s="126">
        <f t="shared" si="57"/>
        <v>-20265.625638082798</v>
      </c>
      <c r="AG34" s="126">
        <f t="shared" si="57"/>
        <v>-21510.091179131967</v>
      </c>
      <c r="AH34" s="9"/>
      <c r="AI34" s="9"/>
      <c r="AJ34" s="9"/>
      <c r="AK34" s="9"/>
    </row>
    <row r="35" spans="1:37" ht="13.5" customHeight="1" x14ac:dyDescent="0.25">
      <c r="A35" s="205"/>
      <c r="B35" s="9"/>
      <c r="C35" s="827" t="s">
        <v>833</v>
      </c>
      <c r="D35" s="9"/>
      <c r="E35" s="9"/>
      <c r="F35" s="293">
        <f>-3766-1393-983</f>
        <v>-6142</v>
      </c>
      <c r="G35" s="293">
        <f>-3956-1388-949</f>
        <v>-6293</v>
      </c>
      <c r="H35" s="293">
        <f>-3794-1393-973</f>
        <v>-6160</v>
      </c>
      <c r="I35" s="293">
        <f>(-15367-5657-3968)-SUM(F35:H35)</f>
        <v>-6397</v>
      </c>
      <c r="J35" s="837">
        <f t="shared" ref="J35" si="58">SUM(F35:I35)</f>
        <v>-24992</v>
      </c>
      <c r="K35" s="293">
        <f>-3774-1392-1171</f>
        <v>-6337</v>
      </c>
      <c r="L35" s="293">
        <f>-4227-1427-1154</f>
        <v>-6808</v>
      </c>
      <c r="M35" s="293">
        <f>-4168-1430-1179</f>
        <v>-6777</v>
      </c>
      <c r="N35" s="293">
        <f>(-16599-5886-4782)-SUM(K35:M35)</f>
        <v>-7345</v>
      </c>
      <c r="O35" s="837">
        <f>SUM(K35:N35)</f>
        <v>-27267</v>
      </c>
      <c r="P35" s="293">
        <f>-4378-1529-1328</f>
        <v>-7235</v>
      </c>
      <c r="Q35" s="293">
        <f>-4618-1589-1301</f>
        <v>-7508</v>
      </c>
      <c r="R35" s="293">
        <f>-4608-1611-1477</f>
        <v>-7696</v>
      </c>
      <c r="S35" s="293">
        <f>(-18409-6457-6057)-SUM(P35:R35)</f>
        <v>-8484</v>
      </c>
      <c r="T35" s="837">
        <f>SUM(P35:S35)</f>
        <v>-30923</v>
      </c>
      <c r="U35" s="293">
        <f>-4891-1591-1975</f>
        <v>-8457</v>
      </c>
      <c r="V35" s="294">
        <f t="shared" si="53"/>
        <v>-8604.7643880000014</v>
      </c>
      <c r="W35" s="294">
        <f t="shared" si="53"/>
        <v>-8862.4052631499999</v>
      </c>
      <c r="X35" s="294">
        <f t="shared" si="53"/>
        <v>-9087.8893490255996</v>
      </c>
      <c r="Y35" s="837">
        <f t="shared" ref="Y35" si="59">SUM(U35:X35)</f>
        <v>-35012.059000175606</v>
      </c>
      <c r="Z35" s="294">
        <f t="shared" si="55"/>
        <v>-9086.621519898863</v>
      </c>
      <c r="AA35" s="294">
        <f t="shared" si="55"/>
        <v>-9408.3454572224291</v>
      </c>
      <c r="AB35" s="294">
        <f t="shared" si="55"/>
        <v>-9585.2391409705997</v>
      </c>
      <c r="AC35" s="294">
        <f t="shared" si="55"/>
        <v>-9955.6242282839466</v>
      </c>
      <c r="AD35" s="837">
        <f t="shared" ref="AD35" si="60">SUM(Z35:AC35)</f>
        <v>-38035.830346375842</v>
      </c>
      <c r="AE35" s="837">
        <f t="shared" si="57"/>
        <v>-40704.53491901292</v>
      </c>
      <c r="AF35" s="837">
        <f t="shared" si="57"/>
        <v>-43498.318013232973</v>
      </c>
      <c r="AG35" s="837">
        <f t="shared" si="57"/>
        <v>-46110.029709962444</v>
      </c>
      <c r="AH35" s="9"/>
      <c r="AI35" s="9"/>
      <c r="AJ35" s="832"/>
      <c r="AK35" s="9"/>
    </row>
    <row r="36" spans="1:37" ht="13.5" customHeight="1" x14ac:dyDescent="0.25">
      <c r="A36" s="205"/>
      <c r="B36" s="9"/>
      <c r="C36" s="827" t="s">
        <v>837</v>
      </c>
      <c r="D36" s="9"/>
      <c r="E36" s="9"/>
      <c r="F36" s="293">
        <v>0</v>
      </c>
      <c r="G36" s="293">
        <v>0</v>
      </c>
      <c r="H36" s="293">
        <v>0</v>
      </c>
      <c r="I36" s="293">
        <v>0</v>
      </c>
      <c r="J36" s="126">
        <f t="shared" si="50"/>
        <v>0</v>
      </c>
      <c r="K36" s="293">
        <v>0</v>
      </c>
      <c r="L36" s="293">
        <v>0</v>
      </c>
      <c r="M36" s="293">
        <v>0</v>
      </c>
      <c r="N36" s="293">
        <v>0</v>
      </c>
      <c r="O36" s="126">
        <f t="shared" si="51"/>
        <v>0</v>
      </c>
      <c r="P36" s="293">
        <v>0</v>
      </c>
      <c r="Q36" s="293">
        <v>0</v>
      </c>
      <c r="R36" s="293">
        <v>0</v>
      </c>
      <c r="S36" s="293">
        <v>0</v>
      </c>
      <c r="T36" s="126">
        <f t="shared" si="52"/>
        <v>0</v>
      </c>
      <c r="U36" s="293">
        <v>0</v>
      </c>
      <c r="V36" s="294">
        <f t="shared" si="53"/>
        <v>0</v>
      </c>
      <c r="W36" s="294">
        <f t="shared" si="53"/>
        <v>0</v>
      </c>
      <c r="X36" s="294">
        <f t="shared" si="53"/>
        <v>0</v>
      </c>
      <c r="Y36" s="126">
        <f t="shared" si="54"/>
        <v>0</v>
      </c>
      <c r="Z36" s="294">
        <f t="shared" si="55"/>
        <v>0</v>
      </c>
      <c r="AA36" s="294">
        <f t="shared" si="55"/>
        <v>0</v>
      </c>
      <c r="AB36" s="294">
        <f t="shared" si="55"/>
        <v>0</v>
      </c>
      <c r="AC36" s="294">
        <f t="shared" si="55"/>
        <v>0</v>
      </c>
      <c r="AD36" s="126">
        <f t="shared" si="56"/>
        <v>0</v>
      </c>
      <c r="AE36" s="126">
        <f t="shared" si="57"/>
        <v>0</v>
      </c>
      <c r="AF36" s="126">
        <f t="shared" si="57"/>
        <v>0</v>
      </c>
      <c r="AG36" s="126">
        <f t="shared" si="57"/>
        <v>0</v>
      </c>
      <c r="AH36" s="9"/>
      <c r="AI36" s="9"/>
      <c r="AJ36" s="832"/>
      <c r="AK36" s="9"/>
    </row>
    <row r="37" spans="1:37" ht="13.5" customHeight="1" x14ac:dyDescent="0.25">
      <c r="A37" s="205"/>
      <c r="B37" s="9"/>
      <c r="C37" s="103" t="s">
        <v>825</v>
      </c>
      <c r="D37" s="9"/>
      <c r="E37" s="9"/>
      <c r="F37" s="293">
        <f>-1651/4</f>
        <v>-412.75</v>
      </c>
      <c r="G37" s="293">
        <f t="shared" ref="G37:I37" si="61">-1651/4</f>
        <v>-412.75</v>
      </c>
      <c r="H37" s="293">
        <f t="shared" si="61"/>
        <v>-412.75</v>
      </c>
      <c r="I37" s="293">
        <f t="shared" si="61"/>
        <v>-412.75</v>
      </c>
      <c r="J37" s="126">
        <f t="shared" si="50"/>
        <v>-1651</v>
      </c>
      <c r="K37" s="293">
        <v>-419</v>
      </c>
      <c r="L37" s="293">
        <v>-419</v>
      </c>
      <c r="M37" s="293">
        <v>-419</v>
      </c>
      <c r="N37" s="293">
        <v>-419</v>
      </c>
      <c r="O37" s="126">
        <f t="shared" si="51"/>
        <v>-1676</v>
      </c>
      <c r="P37" s="293">
        <v>-444.25</v>
      </c>
      <c r="Q37" s="293">
        <v>-444.25</v>
      </c>
      <c r="R37" s="293">
        <v>-444.25</v>
      </c>
      <c r="S37" s="293">
        <v>-444.25</v>
      </c>
      <c r="T37" s="126">
        <f>SUM(P37:S37)</f>
        <v>-1777</v>
      </c>
      <c r="U37" s="293">
        <v>-468</v>
      </c>
      <c r="V37" s="294">
        <f t="shared" ref="V37:X37" si="62">-V76</f>
        <v>-568.95935114101576</v>
      </c>
      <c r="W37" s="294">
        <f t="shared" si="62"/>
        <v>-573.76780703883969</v>
      </c>
      <c r="X37" s="294">
        <f t="shared" si="62"/>
        <v>-574.28974124429658</v>
      </c>
      <c r="Y37" s="126">
        <f t="shared" si="54"/>
        <v>-2185.0168994241521</v>
      </c>
      <c r="Z37" s="294">
        <f>-Z76</f>
        <v>-574.58995910846386</v>
      </c>
      <c r="AA37" s="294">
        <f t="shared" ref="AA37:AG37" si="63">-AA76</f>
        <v>-578.36971186666483</v>
      </c>
      <c r="AB37" s="294">
        <f t="shared" si="63"/>
        <v>-580.3130817961229</v>
      </c>
      <c r="AC37" s="294">
        <f t="shared" si="63"/>
        <v>-581.30234087905876</v>
      </c>
      <c r="AD37" s="126">
        <f t="shared" si="56"/>
        <v>-2314.57509365031</v>
      </c>
      <c r="AE37" s="842">
        <f t="shared" si="63"/>
        <v>-2352.1884470558657</v>
      </c>
      <c r="AF37" s="842">
        <f t="shared" si="63"/>
        <v>-2344.2727434071144</v>
      </c>
      <c r="AG37" s="842">
        <f t="shared" si="63"/>
        <v>-2557.6407939801302</v>
      </c>
      <c r="AH37" s="9"/>
      <c r="AI37" s="9"/>
      <c r="AJ37" s="9"/>
      <c r="AK37" s="9"/>
    </row>
    <row r="38" spans="1:37" ht="13.5" customHeight="1" x14ac:dyDescent="0.25">
      <c r="A38" s="205"/>
      <c r="B38" s="9"/>
      <c r="C38" s="827" t="s">
        <v>834</v>
      </c>
      <c r="D38" s="9"/>
      <c r="E38" s="9"/>
      <c r="F38" s="289">
        <v>-1562</v>
      </c>
      <c r="G38" s="289">
        <v>-1546</v>
      </c>
      <c r="H38" s="289">
        <v>-1605</v>
      </c>
      <c r="I38" s="289">
        <f>-6807-SUM(F38:H38)</f>
        <v>-2094</v>
      </c>
      <c r="J38" s="290">
        <f t="shared" si="50"/>
        <v>-6807</v>
      </c>
      <c r="K38" s="289">
        <v>-1476</v>
      </c>
      <c r="L38" s="289">
        <v>-1038</v>
      </c>
      <c r="M38" s="289">
        <v>-1780</v>
      </c>
      <c r="N38" s="289">
        <f>-6364-SUM(K38:M38)</f>
        <v>-2070</v>
      </c>
      <c r="O38" s="290">
        <f t="shared" si="51"/>
        <v>-6364</v>
      </c>
      <c r="P38" s="289">
        <v>-1646</v>
      </c>
      <c r="Q38" s="289">
        <v>-1686</v>
      </c>
      <c r="R38" s="289">
        <v>-1780</v>
      </c>
      <c r="S38" s="289">
        <f>-6987-SUM(P38:R38)</f>
        <v>-1875</v>
      </c>
      <c r="T38" s="290">
        <f t="shared" si="52"/>
        <v>-6987</v>
      </c>
      <c r="U38" s="289">
        <v>-1459</v>
      </c>
      <c r="V38" s="291">
        <f>V70*V$28</f>
        <v>-1868.711458</v>
      </c>
      <c r="W38" s="291">
        <f>W70*W$28</f>
        <v>-1852.8454328500002</v>
      </c>
      <c r="X38" s="291">
        <f>X70*X$28</f>
        <v>-1896.2008310944002</v>
      </c>
      <c r="Y38" s="290">
        <f t="shared" si="54"/>
        <v>-7076.7577219444001</v>
      </c>
      <c r="Z38" s="291">
        <f>Z70*Z$28</f>
        <v>-2006.4367315512716</v>
      </c>
      <c r="AA38" s="291">
        <f>AA70*AA$28</f>
        <v>-2122.9087185527533</v>
      </c>
      <c r="AB38" s="291">
        <f>AB70*AB$28</f>
        <v>-2050.4506409808241</v>
      </c>
      <c r="AC38" s="291">
        <f>AC70*AC$28</f>
        <v>-2232.317803764699</v>
      </c>
      <c r="AD38" s="290">
        <f t="shared" si="56"/>
        <v>-8412.1138948495482</v>
      </c>
      <c r="AE38" s="290">
        <f>AE70*AE$28</f>
        <v>-8998.9460232265064</v>
      </c>
      <c r="AF38" s="290">
        <f>AF70*AF$28</f>
        <v>-9628.9712976526007</v>
      </c>
      <c r="AG38" s="290">
        <f>AG70*AG$28</f>
        <v>-10220.264317156623</v>
      </c>
      <c r="AH38" s="9"/>
      <c r="AI38" s="9"/>
      <c r="AJ38" s="9"/>
      <c r="AK38" s="9"/>
    </row>
    <row r="39" spans="1:37" ht="13.5" customHeight="1" x14ac:dyDescent="0.25">
      <c r="A39" s="205"/>
      <c r="B39" s="9"/>
      <c r="C39" s="103" t="s">
        <v>849</v>
      </c>
      <c r="D39" s="9"/>
      <c r="E39" s="9"/>
      <c r="F39" s="288">
        <f>IF($C$37="Depreciation &amp; Amortization (incl. in SG&amp;A)",F32+SUM(F34:F36,F38),F32+SUM(F34:F38))</f>
        <v>2167</v>
      </c>
      <c r="G39" s="288">
        <f>IF($C$37="Depreciation &amp; Amortization (incl. in SG&amp;A)",G32+SUM(G34:G36,G38),G32+SUM(G34:G38))</f>
        <v>2734</v>
      </c>
      <c r="H39" s="288">
        <f>IF($C$37="Depreciation &amp; Amortization (incl. in SG&amp;A)",H32+SUM(H34:H36,H38),H32+SUM(H34:H38))</f>
        <v>3100</v>
      </c>
      <c r="I39" s="288">
        <f>IF($C$37="Depreciation &amp; Amortization (incl. in SG&amp;A)",I32+SUM(I34:I36,I38),I32+SUM(I34:I38))</f>
        <v>2512</v>
      </c>
      <c r="J39" s="222">
        <f t="shared" si="50"/>
        <v>10513</v>
      </c>
      <c r="K39" s="288">
        <f>IF($C$37="Depreciation &amp; Amortization (incl. in SG&amp;A)",K32+SUM(K34:K36,K38),K32+SUM(K34:K38))</f>
        <v>3145</v>
      </c>
      <c r="L39" s="288">
        <f>IF($C$37="Depreciation &amp; Amortization (incl. in SG&amp;A)",L32+SUM(L34:L36,L38),L32+SUM(L34:L38))</f>
        <v>3790</v>
      </c>
      <c r="M39" s="288">
        <f>IF($C$37="Depreciation &amp; Amortization (incl. in SG&amp;A)",M32+SUM(M34:M36,M38),M32+SUM(M34:M38))</f>
        <v>3204</v>
      </c>
      <c r="N39" s="288">
        <f>IF($C$37="Depreciation &amp; Amortization (incl. in SG&amp;A)",N32+SUM(N34:N36,N38),N32+SUM(N34:N38))</f>
        <v>2756</v>
      </c>
      <c r="O39" s="222">
        <f t="shared" si="51"/>
        <v>12895</v>
      </c>
      <c r="P39" s="288">
        <f>IF($C$37="Depreciation &amp; Amortization (incl. in SG&amp;A)",P32+SUM(P34:P36,P38),P32+SUM(P34:P38))</f>
        <v>3330</v>
      </c>
      <c r="Q39" s="288">
        <f>IF($C$37="Depreciation &amp; Amortization (incl. in SG&amp;A)",Q32+SUM(Q34:Q36,Q38),Q32+SUM(Q34:Q38))</f>
        <v>3550</v>
      </c>
      <c r="R39" s="288">
        <f>IF($C$37="Depreciation &amp; Amortization (incl. in SG&amp;A)",R32+SUM(R34:R36,R38),R32+SUM(R34:R38))</f>
        <v>3825</v>
      </c>
      <c r="S39" s="288">
        <f>IF($C$37="Depreciation &amp; Amortization (incl. in SG&amp;A)",S32+SUM(S34:S36,S38),S32+SUM(S34:S38))</f>
        <v>3090</v>
      </c>
      <c r="T39" s="222">
        <f t="shared" si="52"/>
        <v>13795</v>
      </c>
      <c r="U39" s="288">
        <f>IF($C$37="Depreciation &amp; Amortization (incl. in SG&amp;A)",U32+SUM(U34:U36,U38),U32+SUM(U34:U38))</f>
        <v>3778</v>
      </c>
      <c r="V39" s="221">
        <f>IF(Cover!$F$37="Bottom Up",'Segment Analysis'!V33,IF($C$37="Depreciation &amp; Amortization (incl. in SG&amp;A)",V32+SUM(V34:V36,V38),V32+SUM(V34:V38)))</f>
        <v>3757.440800999997</v>
      </c>
      <c r="W39" s="221">
        <f>IF(Cover!$F$37="Bottom Up",'Segment Analysis'!W33,IF($C$37="Depreciation &amp; Amortization (incl. in SG&amp;A)",W32+SUM(W34:W36,W38),W32+SUM(W34:W38)))</f>
        <v>4140.4583944000005</v>
      </c>
      <c r="X39" s="221">
        <f>IF(Cover!$F$37="Bottom Up",'Segment Analysis'!X33,IF($C$37="Depreciation &amp; Amortization (incl. in SG&amp;A)",X32+SUM(X34:X36,X38),X32+SUM(X34:X38)))</f>
        <v>4416.8314002799998</v>
      </c>
      <c r="Y39" s="222">
        <f t="shared" si="54"/>
        <v>16092.730595679997</v>
      </c>
      <c r="Z39" s="221">
        <f>IF(Cover!$F$37="Bottom Up",'Segment Analysis'!Z33,IF($C$37="Depreciation &amp; Amortization (incl. in SG&amp;A)",Z32+SUM(Z34:Z36,Z38),Z32+SUM(Z34:Z38)))</f>
        <v>4494.3401818591192</v>
      </c>
      <c r="AA39" s="221">
        <f>IF(Cover!$F$37="Bottom Up",'Segment Analysis'!AA33,IF($C$37="Depreciation &amp; Amortization (incl. in SG&amp;A)",AA32+SUM(AA34:AA36,AA38),AA32+SUM(AA34:AA38)))</f>
        <v>4808.7344300926434</v>
      </c>
      <c r="AB39" s="221">
        <f>IF(Cover!$F$37="Bottom Up",'Segment Analysis'!AB33,IF($C$37="Depreciation &amp; Amortization (incl. in SG&amp;A)",AB32+SUM(AB34:AB36,AB38),AB32+SUM(AB34:AB38)))</f>
        <v>5159.4507676941685</v>
      </c>
      <c r="AC39" s="221">
        <f>IF(Cover!$F$37="Bottom Up",'Segment Analysis'!AC33,IF($C$37="Depreciation &amp; Amortization (incl. in SG&amp;A)",AC32+SUM(AC34:AC36,AC38),AC32+SUM(AC34:AC38)))</f>
        <v>5430.674619029036</v>
      </c>
      <c r="AD39" s="222">
        <f t="shared" si="56"/>
        <v>19893.199998674965</v>
      </c>
      <c r="AE39" s="222">
        <f>IF(Cover!$F$37="Bottom Up",'Segment Analysis'!AE33,IF($C$37="Depreciation &amp; Amortization (incl. in SG&amp;A)",AE32+SUM(AE34:AE36,AE38),AE32+SUM(AE34:AE38)))</f>
        <v>22756.456201398803</v>
      </c>
      <c r="AF39" s="222">
        <f>IF(Cover!$F$37="Bottom Up",'Segment Analysis'!AF33,IF($C$37="Depreciation &amp; Amortization (incl. in SG&amp;A)",AF32+SUM(AF34:AF36,AF38),AF32+SUM(AF34:AF38)))</f>
        <v>24898.328734939845</v>
      </c>
      <c r="AG39" s="222">
        <f>IF(Cover!$F$37="Bottom Up",'Segment Analysis'!AG33,IF($C$37="Depreciation &amp; Amortization (incl. in SG&amp;A)",AG32+SUM(AG34:AG36,AG38),AG32+SUM(AG34:AG38)))</f>
        <v>26798.634225196161</v>
      </c>
      <c r="AH39" s="9"/>
      <c r="AI39" s="9"/>
      <c r="AJ39" s="9"/>
      <c r="AK39" s="9"/>
    </row>
    <row r="40" spans="1:37" ht="13.5" customHeight="1" x14ac:dyDescent="0.25">
      <c r="A40" s="205"/>
      <c r="B40" s="9"/>
      <c r="C40" s="103"/>
      <c r="D40" s="9"/>
      <c r="E40" s="9"/>
      <c r="F40" s="292"/>
      <c r="G40" s="292"/>
      <c r="H40" s="292"/>
      <c r="I40" s="292"/>
      <c r="J40" s="9"/>
      <c r="K40" s="292"/>
      <c r="L40" s="292"/>
      <c r="M40" s="292"/>
      <c r="N40" s="292"/>
      <c r="O40" s="9"/>
      <c r="P40" s="292"/>
      <c r="Q40" s="292"/>
      <c r="R40" s="292"/>
      <c r="S40" s="292"/>
      <c r="T40" s="9"/>
      <c r="U40" s="292"/>
      <c r="V40" s="856">
        <f>+V39/V28</f>
        <v>0.17292124340685652</v>
      </c>
      <c r="W40" s="856">
        <f>+W39/W28</f>
        <v>0.18547583119580241</v>
      </c>
      <c r="X40" s="856">
        <f>+X39/X28</f>
        <v>0.19100306722992322</v>
      </c>
      <c r="Y40" s="9"/>
      <c r="Z40" s="295"/>
      <c r="AA40" s="295"/>
      <c r="AB40" s="295"/>
      <c r="AC40" s="295"/>
      <c r="AD40" s="9"/>
      <c r="AE40" s="9"/>
      <c r="AF40" s="9"/>
      <c r="AG40" s="9"/>
      <c r="AH40" s="9"/>
      <c r="AI40" s="9"/>
      <c r="AJ40" s="9"/>
      <c r="AK40" s="9"/>
    </row>
    <row r="41" spans="1:37" ht="13.5" hidden="1" customHeight="1" outlineLevel="1" x14ac:dyDescent="0.25">
      <c r="A41" s="205"/>
      <c r="B41" s="9"/>
      <c r="C41" s="103" t="s">
        <v>269</v>
      </c>
      <c r="D41" s="9"/>
      <c r="E41" s="9"/>
      <c r="F41" s="293">
        <v>0</v>
      </c>
      <c r="G41" s="293">
        <v>0</v>
      </c>
      <c r="H41" s="293">
        <v>0</v>
      </c>
      <c r="I41" s="293">
        <v>0</v>
      </c>
      <c r="J41" s="126">
        <f t="shared" ref="J41:J42" si="64">SUM(F41:I41)</f>
        <v>0</v>
      </c>
      <c r="K41" s="293">
        <v>0</v>
      </c>
      <c r="L41" s="293">
        <v>0</v>
      </c>
      <c r="M41" s="293">
        <v>0</v>
      </c>
      <c r="N41" s="293">
        <v>0</v>
      </c>
      <c r="O41" s="126">
        <f t="shared" ref="O41:O42" si="65">SUM(K41:N41)</f>
        <v>0</v>
      </c>
      <c r="P41" s="293">
        <v>0</v>
      </c>
      <c r="Q41" s="293">
        <v>0</v>
      </c>
      <c r="R41" s="293">
        <v>0</v>
      </c>
      <c r="S41" s="293">
        <v>0</v>
      </c>
      <c r="T41" s="126">
        <f t="shared" ref="T41" si="66">SUM(P41:S41)</f>
        <v>0</v>
      </c>
      <c r="U41" s="293">
        <v>0</v>
      </c>
      <c r="V41" s="296">
        <f>Drivers!V67</f>
        <v>0</v>
      </c>
      <c r="W41" s="296">
        <f>Drivers!W67</f>
        <v>0</v>
      </c>
      <c r="X41" s="296">
        <f>Drivers!X67</f>
        <v>0</v>
      </c>
      <c r="Y41" s="126">
        <f t="shared" ref="Y41:Y42" si="67">SUM(U41:X41)</f>
        <v>0</v>
      </c>
      <c r="Z41" s="296">
        <f>Drivers!Z67</f>
        <v>0</v>
      </c>
      <c r="AA41" s="296">
        <f>Drivers!AA67</f>
        <v>0</v>
      </c>
      <c r="AB41" s="296">
        <f>Drivers!AB67</f>
        <v>0</v>
      </c>
      <c r="AC41" s="296">
        <f>Drivers!AC67</f>
        <v>0</v>
      </c>
      <c r="AD41" s="126">
        <f t="shared" ref="AD41:AD42" si="68">SUM(Z41:AC41)</f>
        <v>0</v>
      </c>
      <c r="AE41" s="297">
        <f>Drivers!AE67</f>
        <v>0</v>
      </c>
      <c r="AF41" s="297">
        <f>Drivers!AF67</f>
        <v>0</v>
      </c>
      <c r="AG41" s="297">
        <f>Drivers!AG67</f>
        <v>0</v>
      </c>
      <c r="AH41" s="9"/>
      <c r="AI41" s="9"/>
      <c r="AJ41" s="9"/>
      <c r="AK41" s="9"/>
    </row>
    <row r="42" spans="1:37" ht="13.5" customHeight="1" collapsed="1" x14ac:dyDescent="0.25">
      <c r="A42" s="205"/>
      <c r="B42" s="9"/>
      <c r="C42" s="103" t="s">
        <v>270</v>
      </c>
      <c r="D42" s="9"/>
      <c r="E42" s="9"/>
      <c r="F42" s="288">
        <f>F39+SUM(F41)</f>
        <v>2167</v>
      </c>
      <c r="G42" s="288">
        <f>G39+SUM(G41:G41)</f>
        <v>2734</v>
      </c>
      <c r="H42" s="288">
        <f>H39+SUM(H41:H41)</f>
        <v>3100</v>
      </c>
      <c r="I42" s="288">
        <f>I39+SUM(I41:I41)</f>
        <v>2512</v>
      </c>
      <c r="J42" s="222">
        <f t="shared" si="64"/>
        <v>10513</v>
      </c>
      <c r="K42" s="288">
        <f>K39+SUM(K41:K41)</f>
        <v>3145</v>
      </c>
      <c r="L42" s="288">
        <f>L39+SUM(L41:L41)</f>
        <v>3790</v>
      </c>
      <c r="M42" s="288">
        <f>M39+SUM(M41:M41)</f>
        <v>3204</v>
      </c>
      <c r="N42" s="288">
        <f>N39+SUM(N41:N41)</f>
        <v>2756</v>
      </c>
      <c r="O42" s="222">
        <f t="shared" si="65"/>
        <v>12895</v>
      </c>
      <c r="P42" s="288">
        <f>P39+SUM(P41:P41)</f>
        <v>3330</v>
      </c>
      <c r="Q42" s="288">
        <f>Q39+SUM(Q41:Q41)</f>
        <v>3550</v>
      </c>
      <c r="R42" s="288">
        <f>IF($C$8="On",R39+SUM(R41:R41),IF($C$8="off",R39+SUM(R41:R41),"N/A"))</f>
        <v>3825</v>
      </c>
      <c r="S42" s="288">
        <f>IF($C$8="On",S39+SUM(S41:S41),IF($C$8="off",S39+SUM(S41:S41),"N/A"))</f>
        <v>3090</v>
      </c>
      <c r="T42" s="222">
        <f>T39-T41</f>
        <v>13795</v>
      </c>
      <c r="U42" s="288">
        <f>U39+SUM(U41:U41)</f>
        <v>3778</v>
      </c>
      <c r="V42" s="221">
        <f>IF($C$8="On",V39+SUM(V41:V41),IF($C$8="off",V39+SUM(V41:V41),"N/A"))</f>
        <v>3757.440800999997</v>
      </c>
      <c r="W42" s="221">
        <f>IF($C$8="On",W39+SUM(W41:W41),IF($C$8="off",W39+SUM(W41:W41),"N/A"))</f>
        <v>4140.4583944000005</v>
      </c>
      <c r="X42" s="221">
        <f>IF($C$8="On",X39+SUM(X41:X41),IF($C$8="off",X39+SUM(X41:X41),"N/A"))</f>
        <v>4416.8314002799998</v>
      </c>
      <c r="Y42" s="222">
        <f t="shared" si="67"/>
        <v>16092.730595679997</v>
      </c>
      <c r="Z42" s="221">
        <f>IF($C$8="On",Z39+SUM(Z41:Z41),IF($C$8="off",Z39+SUM(Z41:Z41),"N/A"))</f>
        <v>4494.3401818591192</v>
      </c>
      <c r="AA42" s="221">
        <f>IF($C$8="On",AA39+SUM(AA41:AA41),IF($C$8="off",AA39+SUM(AA41:AA41),"N/A"))</f>
        <v>4808.7344300926434</v>
      </c>
      <c r="AB42" s="221">
        <f>IF($C$8="On",AB39+SUM(AB41:AB41),IF($C$8="off",AB39+SUM(AB41:AB41),"N/A"))</f>
        <v>5159.4507676941685</v>
      </c>
      <c r="AC42" s="221">
        <f>IF($C$8="On",AC39+SUM(AC41:AC41),IF($C$8="off",AC39+SUM(AC41:AC41),"N/A"))</f>
        <v>5430.674619029036</v>
      </c>
      <c r="AD42" s="222">
        <f t="shared" si="68"/>
        <v>19893.199998674965</v>
      </c>
      <c r="AE42" s="222">
        <f>IF($C$8="On",AE39+SUM(AE41:AE41),IF($C$8="off",AE39+SUM(AE41:AE41),"N/A"))</f>
        <v>22756.456201398803</v>
      </c>
      <c r="AF42" s="222">
        <f>IF($C$8="On",AF39+SUM(AF41:AF41),IF($C$8="off",AF39+SUM(AF41:AF41),"N/A"))</f>
        <v>24898.328734939845</v>
      </c>
      <c r="AG42" s="222">
        <f>IF($C$8="On",AG39+SUM(AG41:AG41),IF($C$8="off",AG39+SUM(AG41:AG41),"N/A"))</f>
        <v>26798.634225196161</v>
      </c>
      <c r="AH42" s="9"/>
      <c r="AI42" s="9"/>
      <c r="AJ42" s="9"/>
      <c r="AK42" s="9"/>
    </row>
    <row r="43" spans="1:37" ht="13.5" customHeight="1" x14ac:dyDescent="0.25">
      <c r="A43" s="205"/>
      <c r="B43" s="9"/>
      <c r="C43" s="103"/>
      <c r="D43" s="9"/>
      <c r="E43" s="9"/>
      <c r="F43" s="292"/>
      <c r="G43" s="292"/>
      <c r="H43" s="292"/>
      <c r="I43" s="292"/>
      <c r="J43" s="9"/>
      <c r="K43" s="292"/>
      <c r="L43" s="292"/>
      <c r="M43" s="292"/>
      <c r="N43" s="292"/>
      <c r="O43" s="9"/>
      <c r="P43" s="292"/>
      <c r="Q43" s="292"/>
      <c r="R43" s="292"/>
      <c r="S43" s="292"/>
      <c r="T43" s="9"/>
      <c r="U43" s="292"/>
      <c r="V43" s="295"/>
      <c r="W43" s="295"/>
      <c r="X43" s="295"/>
      <c r="Y43" s="9"/>
      <c r="Z43" s="295"/>
      <c r="AA43" s="295"/>
      <c r="AB43" s="295"/>
      <c r="AC43" s="295"/>
      <c r="AD43" s="9"/>
      <c r="AE43" s="9"/>
      <c r="AF43" s="9"/>
      <c r="AG43" s="9"/>
      <c r="AH43" s="9"/>
      <c r="AI43" s="9"/>
      <c r="AJ43" s="9"/>
      <c r="AK43" s="9"/>
    </row>
    <row r="44" spans="1:37" ht="13.5" customHeight="1" x14ac:dyDescent="0.25">
      <c r="A44" s="205"/>
      <c r="B44" s="9"/>
      <c r="C44" s="827" t="s">
        <v>826</v>
      </c>
      <c r="D44" s="9"/>
      <c r="E44" s="9"/>
      <c r="F44" s="289">
        <v>-351</v>
      </c>
      <c r="G44" s="289">
        <v>-560</v>
      </c>
      <c r="H44" s="289">
        <v>-649</v>
      </c>
      <c r="I44" s="289">
        <f>-2139-SUM(F44:H44)</f>
        <v>-579</v>
      </c>
      <c r="J44" s="290">
        <f t="shared" ref="J44:J45" si="69">SUM(F44:I44)</f>
        <v>-2139</v>
      </c>
      <c r="K44" s="289">
        <v>-708</v>
      </c>
      <c r="L44" s="289">
        <v>-775</v>
      </c>
      <c r="M44" s="289">
        <v>-697</v>
      </c>
      <c r="N44" s="289">
        <f>-2766-SUM(K44:M44)</f>
        <v>-586</v>
      </c>
      <c r="O44" s="290">
        <f t="shared" ref="O44:O45" si="70">SUM(K44:N44)</f>
        <v>-2766</v>
      </c>
      <c r="P44" s="289">
        <v>-746</v>
      </c>
      <c r="Q44" s="289">
        <v>-665</v>
      </c>
      <c r="R44" s="289">
        <v>-923</v>
      </c>
      <c r="S44" s="289">
        <f>-2962-SUM(P44:R44)</f>
        <v>-628</v>
      </c>
      <c r="T44" s="290">
        <f t="shared" ref="T44" si="71">SUM(P44:S44)</f>
        <v>-2962</v>
      </c>
      <c r="U44" s="289">
        <v>-807</v>
      </c>
      <c r="V44" s="291">
        <f>-V71*V42</f>
        <v>-804.09233141399932</v>
      </c>
      <c r="W44" s="291">
        <f>-W71*W42</f>
        <v>-886.0580964016001</v>
      </c>
      <c r="X44" s="291">
        <f>-X71*X42</f>
        <v>-945.20191965991989</v>
      </c>
      <c r="Y44" s="290">
        <f t="shared" ref="Y44:Y45" si="72">SUM(U44:X44)</f>
        <v>-3442.3523474755193</v>
      </c>
      <c r="Z44" s="291">
        <f>-Z71*Z42</f>
        <v>-966.28313909971064</v>
      </c>
      <c r="AA44" s="291">
        <f>-AA71*AA42</f>
        <v>-1033.8779024699184</v>
      </c>
      <c r="AB44" s="291">
        <f>-AB71*AB42</f>
        <v>-1109.2819150542462</v>
      </c>
      <c r="AC44" s="291">
        <f>-AC71*AC42</f>
        <v>-1167.5950430912428</v>
      </c>
      <c r="AD44" s="290">
        <f t="shared" ref="AD44:AD45" si="73">SUM(Z44:AC44)</f>
        <v>-4277.0379997151176</v>
      </c>
      <c r="AE44" s="290">
        <f>-AE71*AE42</f>
        <v>-4915.3945395021419</v>
      </c>
      <c r="AF44" s="290">
        <f>-AF71*AF42</f>
        <v>-5353.1406780120669</v>
      </c>
      <c r="AG44" s="290">
        <f>-AG71*AG42</f>
        <v>-5734.9077241919786</v>
      </c>
      <c r="AH44" s="9"/>
      <c r="AI44" s="9"/>
      <c r="AJ44" s="9"/>
      <c r="AK44" s="9"/>
    </row>
    <row r="45" spans="1:37" ht="13.5" customHeight="1" x14ac:dyDescent="0.25">
      <c r="A45" s="205"/>
      <c r="B45" s="9"/>
      <c r="C45" s="103" t="s">
        <v>271</v>
      </c>
      <c r="D45" s="9"/>
      <c r="E45" s="9"/>
      <c r="F45" s="288">
        <f t="shared" ref="F45:I45" si="74">F42+F44</f>
        <v>1816</v>
      </c>
      <c r="G45" s="288">
        <f t="shared" si="74"/>
        <v>2174</v>
      </c>
      <c r="H45" s="288">
        <f t="shared" si="74"/>
        <v>2451</v>
      </c>
      <c r="I45" s="288">
        <f t="shared" si="74"/>
        <v>1933</v>
      </c>
      <c r="J45" s="222">
        <f t="shared" si="69"/>
        <v>8374</v>
      </c>
      <c r="K45" s="288">
        <f t="shared" ref="K45:N45" si="75">K42+K44</f>
        <v>2437</v>
      </c>
      <c r="L45" s="288">
        <f t="shared" si="75"/>
        <v>3015</v>
      </c>
      <c r="M45" s="288">
        <f t="shared" si="75"/>
        <v>2507</v>
      </c>
      <c r="N45" s="288">
        <f t="shared" si="75"/>
        <v>2170</v>
      </c>
      <c r="O45" s="222">
        <f t="shared" si="70"/>
        <v>10129</v>
      </c>
      <c r="P45" s="288">
        <f t="shared" ref="P45:S45" si="76">P42+P44</f>
        <v>2584</v>
      </c>
      <c r="Q45" s="288">
        <f t="shared" si="76"/>
        <v>2885</v>
      </c>
      <c r="R45" s="288">
        <f t="shared" si="76"/>
        <v>2902</v>
      </c>
      <c r="S45" s="288">
        <f t="shared" si="76"/>
        <v>2462</v>
      </c>
      <c r="T45" s="222">
        <f>T42+T44</f>
        <v>10833</v>
      </c>
      <c r="U45" s="288">
        <f t="shared" ref="U45" si="77">U42+U44</f>
        <v>2971</v>
      </c>
      <c r="V45" s="221">
        <f t="shared" ref="V45:X45" si="78">V42+V44</f>
        <v>2953.3484695859979</v>
      </c>
      <c r="W45" s="221">
        <f t="shared" si="78"/>
        <v>3254.4002979984007</v>
      </c>
      <c r="X45" s="221">
        <f t="shared" si="78"/>
        <v>3471.6294806200799</v>
      </c>
      <c r="Y45" s="222">
        <f t="shared" si="72"/>
        <v>12650.378248204479</v>
      </c>
      <c r="Z45" s="221">
        <f t="shared" ref="Z45:AC45" si="79">Z42+Z44</f>
        <v>3528.0570427594084</v>
      </c>
      <c r="AA45" s="221">
        <f t="shared" si="79"/>
        <v>3774.856527622725</v>
      </c>
      <c r="AB45" s="221">
        <f t="shared" si="79"/>
        <v>4050.1688526399221</v>
      </c>
      <c r="AC45" s="221">
        <f t="shared" si="79"/>
        <v>4263.0795759377934</v>
      </c>
      <c r="AD45" s="222">
        <f t="shared" si="73"/>
        <v>15616.161998959851</v>
      </c>
      <c r="AE45" s="222">
        <f t="shared" ref="AE45:AG45" si="80">AE42+AE44</f>
        <v>17841.06166189666</v>
      </c>
      <c r="AF45" s="222">
        <f t="shared" si="80"/>
        <v>19545.188056927778</v>
      </c>
      <c r="AG45" s="222">
        <f t="shared" si="80"/>
        <v>21063.726501004181</v>
      </c>
      <c r="AH45" s="9"/>
      <c r="AI45" s="9"/>
      <c r="AJ45" s="9"/>
      <c r="AK45" s="9"/>
    </row>
    <row r="46" spans="1:37" ht="13.5" customHeight="1" x14ac:dyDescent="0.25">
      <c r="A46" s="205"/>
      <c r="B46" s="9"/>
      <c r="C46" s="103"/>
      <c r="D46" s="9"/>
      <c r="E46" s="9"/>
      <c r="F46" s="298"/>
      <c r="G46" s="298"/>
      <c r="H46" s="298"/>
      <c r="I46" s="298"/>
      <c r="J46" s="9"/>
      <c r="K46" s="298"/>
      <c r="L46" s="298"/>
      <c r="M46" s="298"/>
      <c r="N46" s="298"/>
      <c r="O46" s="9"/>
      <c r="P46" s="298"/>
      <c r="Q46" s="298"/>
      <c r="R46" s="298"/>
      <c r="S46" s="298"/>
      <c r="T46" s="9"/>
      <c r="U46" s="298"/>
      <c r="V46" s="299"/>
      <c r="W46" s="299"/>
      <c r="X46" s="299"/>
      <c r="Y46" s="9"/>
      <c r="Z46" s="299"/>
      <c r="AA46" s="299"/>
      <c r="AB46" s="299"/>
      <c r="AC46" s="299"/>
      <c r="AD46" s="9"/>
      <c r="AE46" s="9"/>
      <c r="AF46" s="9"/>
      <c r="AG46" s="9"/>
      <c r="AH46" s="9"/>
      <c r="AI46" s="9"/>
      <c r="AJ46" s="9"/>
      <c r="AK46" s="9"/>
    </row>
    <row r="47" spans="1:37" ht="13.5" customHeight="1" x14ac:dyDescent="0.25">
      <c r="A47" s="205"/>
      <c r="B47" s="9"/>
      <c r="C47" s="827" t="s">
        <v>842</v>
      </c>
      <c r="D47" s="9"/>
      <c r="E47" s="9"/>
      <c r="F47" s="293">
        <v>19</v>
      </c>
      <c r="G47" s="293">
        <v>1</v>
      </c>
      <c r="H47" s="293">
        <v>14</v>
      </c>
      <c r="I47" s="293">
        <f>50-SUM(F47:H47)</f>
        <v>16</v>
      </c>
      <c r="J47" s="126">
        <f t="shared" ref="J47:J51" si="81">SUM(F47:I47)</f>
        <v>50</v>
      </c>
      <c r="K47" s="293">
        <v>1</v>
      </c>
      <c r="L47" s="293">
        <v>3</v>
      </c>
      <c r="M47" s="293">
        <v>4</v>
      </c>
      <c r="N47" s="293">
        <f>5-SUM(K47:M47)</f>
        <v>-3</v>
      </c>
      <c r="O47" s="126">
        <f t="shared" ref="O47:O51" si="82">SUM(K47:N47)</f>
        <v>5</v>
      </c>
      <c r="P47" s="293">
        <v>3</v>
      </c>
      <c r="Q47" s="293">
        <v>0</v>
      </c>
      <c r="R47" s="293">
        <v>1</v>
      </c>
      <c r="S47" s="293">
        <f>5-SUM(P47:R47)</f>
        <v>1</v>
      </c>
      <c r="T47" s="126">
        <f t="shared" ref="T47:T51" si="83">SUM(P47:S47)</f>
        <v>5</v>
      </c>
      <c r="U47" s="293">
        <v>-7</v>
      </c>
      <c r="V47" s="300">
        <v>0</v>
      </c>
      <c r="W47" s="300">
        <v>0</v>
      </c>
      <c r="X47" s="300">
        <v>0</v>
      </c>
      <c r="Y47" s="126">
        <f t="shared" ref="Y47:Y51" si="84">SUM(U47:X47)</f>
        <v>-7</v>
      </c>
      <c r="Z47" s="300">
        <v>0</v>
      </c>
      <c r="AA47" s="300">
        <v>0</v>
      </c>
      <c r="AB47" s="300">
        <v>0</v>
      </c>
      <c r="AC47" s="300">
        <v>0</v>
      </c>
      <c r="AD47" s="126">
        <f t="shared" ref="AD47:AD51" si="85">SUM(Z47:AC47)</f>
        <v>0</v>
      </c>
      <c r="AE47" s="301">
        <v>0</v>
      </c>
      <c r="AF47" s="301">
        <v>0</v>
      </c>
      <c r="AG47" s="301">
        <v>0</v>
      </c>
      <c r="AH47" s="9"/>
      <c r="AI47" s="9"/>
      <c r="AJ47" s="9"/>
      <c r="AK47" s="9"/>
    </row>
    <row r="48" spans="1:37" ht="13.5" customHeight="1" x14ac:dyDescent="0.25">
      <c r="A48" s="205"/>
      <c r="B48" s="9"/>
      <c r="C48" s="827" t="s">
        <v>843</v>
      </c>
      <c r="D48" s="9"/>
      <c r="E48" s="9"/>
      <c r="F48" s="293">
        <v>28</v>
      </c>
      <c r="G48" s="293">
        <v>25</v>
      </c>
      <c r="H48" s="293">
        <v>-110</v>
      </c>
      <c r="I48" s="293">
        <f>51-SUM(F48:H48)</f>
        <v>108</v>
      </c>
      <c r="J48" s="126">
        <f t="shared" si="81"/>
        <v>51</v>
      </c>
      <c r="K48" s="293">
        <v>-87</v>
      </c>
      <c r="L48" s="293">
        <v>-49</v>
      </c>
      <c r="M48" s="293">
        <v>1</v>
      </c>
      <c r="N48" s="293">
        <f>-353-SUM(K48:M48)</f>
        <v>-218</v>
      </c>
      <c r="O48" s="126">
        <f t="shared" si="82"/>
        <v>-353</v>
      </c>
      <c r="P48" s="293">
        <v>17</v>
      </c>
      <c r="Q48" s="293">
        <v>115</v>
      </c>
      <c r="R48" s="293">
        <v>-6</v>
      </c>
      <c r="S48" s="293">
        <f>141-SUM(P48:R48)</f>
        <v>15</v>
      </c>
      <c r="T48" s="126">
        <f t="shared" si="83"/>
        <v>141</v>
      </c>
      <c r="U48" s="293">
        <v>-22</v>
      </c>
      <c r="V48" s="300">
        <v>0</v>
      </c>
      <c r="W48" s="300">
        <v>0</v>
      </c>
      <c r="X48" s="300">
        <v>0</v>
      </c>
      <c r="Y48" s="126">
        <f t="shared" si="84"/>
        <v>-22</v>
      </c>
      <c r="Z48" s="300">
        <v>0</v>
      </c>
      <c r="AA48" s="300">
        <v>0</v>
      </c>
      <c r="AB48" s="300">
        <v>0</v>
      </c>
      <c r="AC48" s="300">
        <v>0</v>
      </c>
      <c r="AD48" s="126">
        <f t="shared" si="85"/>
        <v>0</v>
      </c>
      <c r="AE48" s="301">
        <v>0</v>
      </c>
      <c r="AF48" s="301">
        <v>0</v>
      </c>
      <c r="AG48" s="301">
        <v>0</v>
      </c>
      <c r="AH48" s="9"/>
      <c r="AI48" s="9"/>
      <c r="AJ48" s="9"/>
      <c r="AK48" s="9"/>
    </row>
    <row r="49" spans="1:37" ht="13.5" customHeight="1" x14ac:dyDescent="0.25">
      <c r="A49" s="205"/>
      <c r="B49" s="9"/>
      <c r="C49" s="827" t="s">
        <v>844</v>
      </c>
      <c r="D49" s="9"/>
      <c r="E49" s="9"/>
      <c r="F49" s="293">
        <v>57</v>
      </c>
      <c r="G49" s="293">
        <v>-4</v>
      </c>
      <c r="H49" s="293">
        <v>4</v>
      </c>
      <c r="I49" s="293">
        <f>37-SUM(F49:H49)</f>
        <v>-20</v>
      </c>
      <c r="J49" s="126">
        <f t="shared" si="81"/>
        <v>37</v>
      </c>
      <c r="K49" s="293">
        <v>3</v>
      </c>
      <c r="L49" s="293">
        <v>1</v>
      </c>
      <c r="M49" s="293">
        <v>0</v>
      </c>
      <c r="N49" s="293">
        <f>25-SUM(K49:M49)</f>
        <v>21</v>
      </c>
      <c r="O49" s="126">
        <f t="shared" si="82"/>
        <v>25</v>
      </c>
      <c r="P49" s="293">
        <v>9</v>
      </c>
      <c r="Q49" s="293">
        <v>3</v>
      </c>
      <c r="R49" s="293">
        <v>4</v>
      </c>
      <c r="S49" s="293">
        <f>-28-SUM(P49:R49)</f>
        <v>-44</v>
      </c>
      <c r="T49" s="126">
        <f t="shared" si="83"/>
        <v>-28</v>
      </c>
      <c r="U49" s="293">
        <v>-5</v>
      </c>
      <c r="V49" s="300">
        <v>0</v>
      </c>
      <c r="W49" s="300">
        <v>0</v>
      </c>
      <c r="X49" s="300">
        <v>0</v>
      </c>
      <c r="Y49" s="126">
        <f t="shared" si="84"/>
        <v>-5</v>
      </c>
      <c r="Z49" s="300">
        <v>0</v>
      </c>
      <c r="AA49" s="300">
        <v>0</v>
      </c>
      <c r="AB49" s="300">
        <v>0</v>
      </c>
      <c r="AC49" s="300">
        <v>0</v>
      </c>
      <c r="AD49" s="126">
        <f t="shared" si="85"/>
        <v>0</v>
      </c>
      <c r="AE49" s="301">
        <v>0</v>
      </c>
      <c r="AF49" s="301">
        <v>0</v>
      </c>
      <c r="AG49" s="301">
        <v>0</v>
      </c>
      <c r="AH49" s="9"/>
      <c r="AI49" s="9"/>
      <c r="AJ49" s="9"/>
      <c r="AK49" s="9"/>
    </row>
    <row r="50" spans="1:37" ht="13.5" customHeight="1" x14ac:dyDescent="0.25">
      <c r="A50" s="205"/>
      <c r="B50" s="9"/>
      <c r="C50" s="103" t="s">
        <v>845</v>
      </c>
      <c r="D50" s="9"/>
      <c r="E50" s="9"/>
      <c r="F50" s="289">
        <v>0</v>
      </c>
      <c r="G50" s="302">
        <v>0</v>
      </c>
      <c r="H50" s="289">
        <v>0</v>
      </c>
      <c r="I50" s="289">
        <v>0</v>
      </c>
      <c r="J50" s="290">
        <f t="shared" si="81"/>
        <v>0</v>
      </c>
      <c r="K50" s="289">
        <v>0</v>
      </c>
      <c r="L50" s="289">
        <v>0</v>
      </c>
      <c r="M50" s="289">
        <v>0</v>
      </c>
      <c r="N50" s="289">
        <v>0</v>
      </c>
      <c r="O50" s="290">
        <f t="shared" si="82"/>
        <v>0</v>
      </c>
      <c r="P50" s="289">
        <v>0</v>
      </c>
      <c r="Q50" s="289">
        <v>0</v>
      </c>
      <c r="R50" s="289">
        <v>0</v>
      </c>
      <c r="S50" s="289">
        <v>0</v>
      </c>
      <c r="T50" s="290">
        <f t="shared" si="83"/>
        <v>0</v>
      </c>
      <c r="U50" s="289">
        <v>0</v>
      </c>
      <c r="V50" s="303">
        <v>0</v>
      </c>
      <c r="W50" s="303">
        <v>0</v>
      </c>
      <c r="X50" s="303">
        <v>0</v>
      </c>
      <c r="Y50" s="290">
        <f t="shared" si="84"/>
        <v>0</v>
      </c>
      <c r="Z50" s="303">
        <v>0</v>
      </c>
      <c r="AA50" s="303">
        <v>0</v>
      </c>
      <c r="AB50" s="303">
        <v>0</v>
      </c>
      <c r="AC50" s="303">
        <v>0</v>
      </c>
      <c r="AD50" s="290">
        <f t="shared" si="85"/>
        <v>0</v>
      </c>
      <c r="AE50" s="304">
        <v>0</v>
      </c>
      <c r="AF50" s="304">
        <v>0</v>
      </c>
      <c r="AG50" s="304">
        <v>0</v>
      </c>
      <c r="AH50" s="9"/>
      <c r="AI50" s="9"/>
      <c r="AJ50" s="9"/>
      <c r="AK50" s="9"/>
    </row>
    <row r="51" spans="1:37" ht="13.5" customHeight="1" x14ac:dyDescent="0.25">
      <c r="A51" s="205"/>
      <c r="B51" s="9"/>
      <c r="C51" s="103" t="s">
        <v>272</v>
      </c>
      <c r="D51" s="9"/>
      <c r="E51" s="9"/>
      <c r="F51" s="288">
        <f t="shared" ref="F51:I51" si="86">SUM(F45:F50)</f>
        <v>1920</v>
      </c>
      <c r="G51" s="288">
        <f t="shared" si="86"/>
        <v>2196</v>
      </c>
      <c r="H51" s="288">
        <f t="shared" si="86"/>
        <v>2359</v>
      </c>
      <c r="I51" s="288">
        <f t="shared" si="86"/>
        <v>2037</v>
      </c>
      <c r="J51" s="222">
        <f t="shared" si="81"/>
        <v>8512</v>
      </c>
      <c r="K51" s="288">
        <f t="shared" ref="K51:N51" si="87">SUM(K45:K50)</f>
        <v>2354</v>
      </c>
      <c r="L51" s="288">
        <f t="shared" si="87"/>
        <v>2970</v>
      </c>
      <c r="M51" s="288">
        <f t="shared" si="87"/>
        <v>2512</v>
      </c>
      <c r="N51" s="288">
        <f t="shared" si="87"/>
        <v>1970</v>
      </c>
      <c r="O51" s="222">
        <f t="shared" si="82"/>
        <v>9806</v>
      </c>
      <c r="P51" s="288">
        <f t="shared" ref="P51:S51" si="88">SUM(P45:P50)</f>
        <v>2613</v>
      </c>
      <c r="Q51" s="288">
        <f t="shared" si="88"/>
        <v>3003</v>
      </c>
      <c r="R51" s="288">
        <f t="shared" si="88"/>
        <v>2901</v>
      </c>
      <c r="S51" s="288">
        <f t="shared" si="88"/>
        <v>2434</v>
      </c>
      <c r="T51" s="222">
        <f t="shared" si="83"/>
        <v>10951</v>
      </c>
      <c r="U51" s="288">
        <f t="shared" ref="U51" si="89">SUM(U45:U50)</f>
        <v>2937</v>
      </c>
      <c r="V51" s="221">
        <f t="shared" ref="V51:X51" si="90">SUM(V45:V50)</f>
        <v>2953.3484695859979</v>
      </c>
      <c r="W51" s="221">
        <f t="shared" si="90"/>
        <v>3254.4002979984007</v>
      </c>
      <c r="X51" s="221">
        <f t="shared" si="90"/>
        <v>3471.6294806200799</v>
      </c>
      <c r="Y51" s="222">
        <f t="shared" si="84"/>
        <v>12616.378248204479</v>
      </c>
      <c r="Z51" s="221">
        <f t="shared" ref="Z51:AC51" si="91">SUM(Z45:Z50)</f>
        <v>3528.0570427594084</v>
      </c>
      <c r="AA51" s="221">
        <f t="shared" si="91"/>
        <v>3774.856527622725</v>
      </c>
      <c r="AB51" s="221">
        <f t="shared" si="91"/>
        <v>4050.1688526399221</v>
      </c>
      <c r="AC51" s="221">
        <f t="shared" si="91"/>
        <v>4263.0795759377934</v>
      </c>
      <c r="AD51" s="222">
        <f t="shared" si="85"/>
        <v>15616.161998959851</v>
      </c>
      <c r="AE51" s="222">
        <f t="shared" ref="AE51:AG51" si="92">SUM(AE45:AE50)</f>
        <v>17841.06166189666</v>
      </c>
      <c r="AF51" s="222">
        <f t="shared" si="92"/>
        <v>19545.188056927778</v>
      </c>
      <c r="AG51" s="222">
        <f t="shared" si="92"/>
        <v>21063.726501004181</v>
      </c>
      <c r="AH51" s="9"/>
      <c r="AI51" s="9"/>
      <c r="AJ51" s="9"/>
      <c r="AK51" s="9"/>
    </row>
    <row r="52" spans="1:37" ht="13.5" customHeight="1" x14ac:dyDescent="0.25">
      <c r="A52" s="205"/>
      <c r="B52" s="9"/>
      <c r="C52" s="103"/>
      <c r="D52" s="9"/>
      <c r="E52" s="9"/>
      <c r="F52" s="250"/>
      <c r="G52" s="250"/>
      <c r="H52" s="250"/>
      <c r="I52" s="250"/>
      <c r="J52" s="9"/>
      <c r="K52" s="305"/>
      <c r="L52" s="250"/>
      <c r="M52" s="250"/>
      <c r="N52" s="250"/>
      <c r="O52" s="9"/>
      <c r="P52" s="250"/>
      <c r="Q52" s="250"/>
      <c r="R52" s="250"/>
      <c r="S52" s="250"/>
      <c r="T52" s="91"/>
      <c r="U52" s="250"/>
      <c r="V52" s="251"/>
      <c r="W52" s="251"/>
      <c r="X52" s="251"/>
      <c r="Y52" s="9"/>
      <c r="Z52" s="251"/>
      <c r="AA52" s="251"/>
      <c r="AB52" s="251"/>
      <c r="AC52" s="251"/>
      <c r="AD52" s="9"/>
      <c r="AE52" s="9"/>
      <c r="AF52" s="9"/>
      <c r="AG52" s="9"/>
      <c r="AH52" s="9"/>
      <c r="AI52" s="9"/>
      <c r="AJ52" s="9"/>
      <c r="AK52" s="9"/>
    </row>
    <row r="53" spans="1:37" ht="13.5" customHeight="1" x14ac:dyDescent="0.25">
      <c r="A53" s="205"/>
      <c r="B53" s="9"/>
      <c r="C53" s="103" t="s">
        <v>273</v>
      </c>
      <c r="D53" s="9"/>
      <c r="E53" s="9"/>
      <c r="F53" s="305">
        <f>(F45)/F282</f>
        <v>2.4441453566621805</v>
      </c>
      <c r="G53" s="305">
        <f>(G45)/G282</f>
        <v>2.9378378378378378</v>
      </c>
      <c r="H53" s="305">
        <f>(H45)/H282</f>
        <v>3.348360655737705</v>
      </c>
      <c r="I53" s="305">
        <f>(I45)/I282</f>
        <v>2.6299319727891155</v>
      </c>
      <c r="J53" s="91">
        <f>J45/J282</f>
        <v>11.393197278911565</v>
      </c>
      <c r="K53" s="305">
        <f>(K45)/K282</f>
        <v>3.3800277392510401</v>
      </c>
      <c r="L53" s="305">
        <f>(L45)/L282</f>
        <v>4.210893854748603</v>
      </c>
      <c r="M53" s="305">
        <f>(M45)/M282</f>
        <v>3.5409604519774009</v>
      </c>
      <c r="N53" s="305">
        <f>(N45)/N282</f>
        <v>3.047752808988764</v>
      </c>
      <c r="O53" s="91">
        <f>O45/O282</f>
        <v>14.226123595505618</v>
      </c>
      <c r="P53" s="305">
        <f>(P45)/P282</f>
        <v>3.6861626248216832</v>
      </c>
      <c r="Q53" s="305">
        <f>(Q45)/Q282</f>
        <v>4.13323782234957</v>
      </c>
      <c r="R53" s="305">
        <f>(R45)/R282</f>
        <v>4.1936416184971099</v>
      </c>
      <c r="S53" s="305">
        <f>(S45)/S282</f>
        <v>3.5424460431654676</v>
      </c>
      <c r="T53" s="91">
        <f t="shared" ref="T53:AG53" si="93">T45/T282</f>
        <v>15.587050359712229</v>
      </c>
      <c r="U53" s="305">
        <f>(U45)/U282</f>
        <v>4.3372262773722632</v>
      </c>
      <c r="V53" s="306">
        <f t="shared" si="93"/>
        <v>4.3129172311403918</v>
      </c>
      <c r="W53" s="306">
        <f t="shared" si="93"/>
        <v>4.7557778031181046</v>
      </c>
      <c r="X53" s="306">
        <f t="shared" si="93"/>
        <v>5.0766626546249816</v>
      </c>
      <c r="Y53" s="91">
        <f t="shared" si="93"/>
        <v>18.48177865622484</v>
      </c>
      <c r="Z53" s="306">
        <f t="shared" si="93"/>
        <v>5.1626498930654714</v>
      </c>
      <c r="AA53" s="306">
        <f t="shared" si="93"/>
        <v>5.5274833660270577</v>
      </c>
      <c r="AB53" s="306">
        <f t="shared" si="93"/>
        <v>5.9345833814959761</v>
      </c>
      <c r="AC53" s="306">
        <f t="shared" si="93"/>
        <v>6.2507316151535148</v>
      </c>
      <c r="AD53" s="91">
        <f t="shared" si="93"/>
        <v>22.874222011677304</v>
      </c>
      <c r="AE53" s="91">
        <f t="shared" si="93"/>
        <v>26.203129914020284</v>
      </c>
      <c r="AF53" s="91">
        <f t="shared" si="93"/>
        <v>28.782782690982444</v>
      </c>
      <c r="AG53" s="91">
        <f t="shared" si="93"/>
        <v>31.102018975573419</v>
      </c>
      <c r="AH53" s="9"/>
      <c r="AI53" s="9"/>
      <c r="AJ53" s="9"/>
      <c r="AK53" s="9"/>
    </row>
    <row r="54" spans="1:37" ht="13.5" customHeight="1" x14ac:dyDescent="0.25">
      <c r="A54" s="205"/>
      <c r="B54" s="9"/>
      <c r="C54" s="103" t="s">
        <v>274</v>
      </c>
      <c r="D54" s="9"/>
      <c r="E54" s="9"/>
      <c r="F54" s="305">
        <f>(F45)/F284</f>
        <v>2.4408602150537635</v>
      </c>
      <c r="G54" s="305">
        <f>(G45)/G284</f>
        <v>2.9338731443994601</v>
      </c>
      <c r="H54" s="305">
        <f>(H45)/H284</f>
        <v>3.3437926330150067</v>
      </c>
      <c r="I54" s="305">
        <f>(I45)/I284</f>
        <v>2.6263586956521738</v>
      </c>
      <c r="J54" s="91">
        <f>J45/J284</f>
        <v>11.377717391304348</v>
      </c>
      <c r="K54" s="305">
        <f>(K45)/K284</f>
        <v>3.3753462603878117</v>
      </c>
      <c r="L54" s="305">
        <f>(L45)/L284</f>
        <v>4.2050209205020916</v>
      </c>
      <c r="M54" s="305">
        <f>(M45)/M284</f>
        <v>3.535966149506347</v>
      </c>
      <c r="N54" s="305">
        <f>(N45)/N284</f>
        <v>3.0434782608695654</v>
      </c>
      <c r="O54" s="91">
        <f>O45/O284</f>
        <v>14.20617110799439</v>
      </c>
      <c r="P54" s="305">
        <f>(P45)/P284</f>
        <v>3.6809116809116809</v>
      </c>
      <c r="Q54" s="305">
        <f>(Q45)/Q284</f>
        <v>4.1273247496423462</v>
      </c>
      <c r="R54" s="305">
        <f>(R45)/R284</f>
        <v>4.187590187590188</v>
      </c>
      <c r="S54" s="305">
        <f>(S45)/S284</f>
        <v>3.5373563218390807</v>
      </c>
      <c r="T54" s="91">
        <f t="shared" ref="T54:AG54" si="94">T45/T284</f>
        <v>15.564655172413794</v>
      </c>
      <c r="U54" s="305">
        <f>(U45)/U284</f>
        <v>4.3309037900874632</v>
      </c>
      <c r="V54" s="306">
        <f t="shared" si="94"/>
        <v>4.3066280544531699</v>
      </c>
      <c r="W54" s="306">
        <f t="shared" si="94"/>
        <v>4.7488381469658387</v>
      </c>
      <c r="X54" s="306">
        <f t="shared" si="94"/>
        <v>5.0692497463587145</v>
      </c>
      <c r="Y54" s="91">
        <f t="shared" si="94"/>
        <v>18.454816787392641</v>
      </c>
      <c r="Z54" s="306">
        <f t="shared" si="94"/>
        <v>5.1551063616021446</v>
      </c>
      <c r="AA54" s="306">
        <f t="shared" si="94"/>
        <v>5.5194013637032473</v>
      </c>
      <c r="AB54" s="306">
        <f t="shared" si="94"/>
        <v>5.9259003485143333</v>
      </c>
      <c r="AC54" s="306">
        <f t="shared" si="94"/>
        <v>6.2415799115114803</v>
      </c>
      <c r="AD54" s="91">
        <f t="shared" si="94"/>
        <v>22.840765344319639</v>
      </c>
      <c r="AE54" s="91">
        <f t="shared" si="94"/>
        <v>26.164701871155788</v>
      </c>
      <c r="AF54" s="91">
        <f t="shared" si="94"/>
        <v>28.74045869927814</v>
      </c>
      <c r="AG54" s="91">
        <f t="shared" si="94"/>
        <v>31.056162448062864</v>
      </c>
      <c r="AH54" s="9"/>
      <c r="AI54" s="9"/>
      <c r="AJ54" s="9"/>
      <c r="AK54" s="9"/>
    </row>
    <row r="55" spans="1:37" ht="13.5" customHeight="1" x14ac:dyDescent="0.25">
      <c r="A55" s="205"/>
      <c r="B55" s="9"/>
      <c r="C55" s="103"/>
      <c r="D55" s="9"/>
      <c r="E55" s="9"/>
      <c r="F55" s="305"/>
      <c r="G55" s="305"/>
      <c r="H55" s="305"/>
      <c r="I55" s="305"/>
      <c r="J55" s="91"/>
      <c r="K55" s="305"/>
      <c r="L55" s="305"/>
      <c r="M55" s="305"/>
      <c r="N55" s="305"/>
      <c r="O55" s="91"/>
      <c r="P55" s="305"/>
      <c r="Q55" s="305"/>
      <c r="R55" s="305"/>
      <c r="S55" s="305"/>
      <c r="T55" s="91"/>
      <c r="U55" s="305"/>
      <c r="V55" s="306"/>
      <c r="W55" s="306"/>
      <c r="X55" s="306"/>
      <c r="Y55" s="91"/>
      <c r="Z55" s="306"/>
      <c r="AA55" s="306"/>
      <c r="AB55" s="306"/>
      <c r="AC55" s="306"/>
      <c r="AD55" s="91"/>
      <c r="AE55" s="91"/>
      <c r="AF55" s="91"/>
      <c r="AG55" s="91"/>
      <c r="AH55" s="9"/>
      <c r="AI55" s="9"/>
      <c r="AJ55" s="9"/>
      <c r="AK55" s="9"/>
    </row>
    <row r="56" spans="1:37" ht="13.5" customHeight="1" x14ac:dyDescent="0.25">
      <c r="A56" s="205"/>
      <c r="B56" s="9"/>
      <c r="C56" s="103" t="s">
        <v>275</v>
      </c>
      <c r="D56" s="9"/>
      <c r="E56" s="9"/>
      <c r="F56" s="305">
        <f t="shared" ref="F56:AG56" si="95">F51/F282</f>
        <v>2.5841184387617764</v>
      </c>
      <c r="G56" s="305">
        <f t="shared" si="95"/>
        <v>2.9675675675675675</v>
      </c>
      <c r="H56" s="305">
        <f t="shared" si="95"/>
        <v>3.2226775956284155</v>
      </c>
      <c r="I56" s="305">
        <f t="shared" si="95"/>
        <v>2.7714285714285714</v>
      </c>
      <c r="J56" s="91">
        <f t="shared" si="95"/>
        <v>11.580952380952381</v>
      </c>
      <c r="K56" s="305">
        <f t="shared" si="95"/>
        <v>3.2649098474341192</v>
      </c>
      <c r="L56" s="305">
        <f t="shared" si="95"/>
        <v>4.1480446927374306</v>
      </c>
      <c r="M56" s="305">
        <f t="shared" si="95"/>
        <v>3.5480225988700567</v>
      </c>
      <c r="N56" s="305">
        <f t="shared" si="95"/>
        <v>2.7668539325842696</v>
      </c>
      <c r="O56" s="91">
        <f t="shared" si="95"/>
        <v>13.77247191011236</v>
      </c>
      <c r="P56" s="305">
        <f t="shared" si="95"/>
        <v>3.7275320970042798</v>
      </c>
      <c r="Q56" s="305">
        <f t="shared" si="95"/>
        <v>4.3022922636103154</v>
      </c>
      <c r="R56" s="305">
        <f t="shared" si="95"/>
        <v>4.1921965317919074</v>
      </c>
      <c r="S56" s="305">
        <f t="shared" si="95"/>
        <v>3.502158273381295</v>
      </c>
      <c r="T56" s="91">
        <f t="shared" si="95"/>
        <v>15.7568345323741</v>
      </c>
      <c r="U56" s="305">
        <f t="shared" ref="U56" si="96">U51/U282</f>
        <v>4.287591240875912</v>
      </c>
      <c r="V56" s="306">
        <f t="shared" si="95"/>
        <v>4.3129172311403918</v>
      </c>
      <c r="W56" s="306">
        <f t="shared" si="95"/>
        <v>4.7557778031181046</v>
      </c>
      <c r="X56" s="306">
        <f t="shared" si="95"/>
        <v>5.0766626546249816</v>
      </c>
      <c r="Y56" s="91">
        <f t="shared" si="95"/>
        <v>18.432105795699833</v>
      </c>
      <c r="Z56" s="306">
        <f t="shared" si="95"/>
        <v>5.1626498930654714</v>
      </c>
      <c r="AA56" s="306">
        <f t="shared" si="95"/>
        <v>5.5274833660270577</v>
      </c>
      <c r="AB56" s="306">
        <f t="shared" si="95"/>
        <v>5.9345833814959761</v>
      </c>
      <c r="AC56" s="306">
        <f t="shared" si="95"/>
        <v>6.2507316151535148</v>
      </c>
      <c r="AD56" s="91">
        <f t="shared" si="95"/>
        <v>22.874222011677304</v>
      </c>
      <c r="AE56" s="91">
        <f t="shared" si="95"/>
        <v>26.203129914020284</v>
      </c>
      <c r="AF56" s="91">
        <f t="shared" si="95"/>
        <v>28.782782690982444</v>
      </c>
      <c r="AG56" s="91">
        <f t="shared" si="95"/>
        <v>31.102018975573419</v>
      </c>
      <c r="AH56" s="9"/>
      <c r="AI56" s="9"/>
      <c r="AJ56" s="9"/>
      <c r="AK56" s="9"/>
    </row>
    <row r="57" spans="1:37" ht="13.5" customHeight="1" x14ac:dyDescent="0.25">
      <c r="A57" s="205"/>
      <c r="B57" s="9"/>
      <c r="C57" s="103" t="s">
        <v>276</v>
      </c>
      <c r="D57" s="9"/>
      <c r="E57" s="9"/>
      <c r="F57" s="305">
        <f t="shared" ref="F57:AG57" si="97">F51/F284</f>
        <v>2.5806451612903225</v>
      </c>
      <c r="G57" s="305">
        <f t="shared" si="97"/>
        <v>2.9635627530364372</v>
      </c>
      <c r="H57" s="305">
        <f t="shared" si="97"/>
        <v>3.2182810368349251</v>
      </c>
      <c r="I57" s="305">
        <f t="shared" si="97"/>
        <v>2.7676630434782608</v>
      </c>
      <c r="J57" s="91">
        <f t="shared" si="97"/>
        <v>11.565217391304348</v>
      </c>
      <c r="K57" s="305">
        <f t="shared" si="97"/>
        <v>3.2603878116343492</v>
      </c>
      <c r="L57" s="305">
        <f t="shared" si="97"/>
        <v>4.1422594142259417</v>
      </c>
      <c r="M57" s="305">
        <f t="shared" si="97"/>
        <v>3.5430183356840619</v>
      </c>
      <c r="N57" s="305">
        <f t="shared" si="97"/>
        <v>2.7629733520336606</v>
      </c>
      <c r="O57" s="91">
        <f t="shared" si="97"/>
        <v>13.753155680224404</v>
      </c>
      <c r="P57" s="305">
        <f t="shared" si="97"/>
        <v>3.7222222222222223</v>
      </c>
      <c r="Q57" s="305">
        <f t="shared" si="97"/>
        <v>4.296137339055794</v>
      </c>
      <c r="R57" s="305">
        <f t="shared" si="97"/>
        <v>4.1861471861471857</v>
      </c>
      <c r="S57" s="305">
        <f t="shared" si="97"/>
        <v>3.4971264367816093</v>
      </c>
      <c r="T57" s="91">
        <f t="shared" si="97"/>
        <v>15.73419540229885</v>
      </c>
      <c r="U57" s="305">
        <f t="shared" ref="U57" si="98">U51/U284</f>
        <v>4.2813411078717198</v>
      </c>
      <c r="V57" s="306">
        <f t="shared" si="97"/>
        <v>4.3066280544531699</v>
      </c>
      <c r="W57" s="306">
        <f t="shared" si="97"/>
        <v>4.7488381469658387</v>
      </c>
      <c r="X57" s="306">
        <f t="shared" si="97"/>
        <v>5.0692497463587145</v>
      </c>
      <c r="Y57" s="91">
        <f t="shared" si="97"/>
        <v>18.405216391383899</v>
      </c>
      <c r="Z57" s="306">
        <f t="shared" si="97"/>
        <v>5.1551063616021446</v>
      </c>
      <c r="AA57" s="306">
        <f t="shared" si="97"/>
        <v>5.5194013637032473</v>
      </c>
      <c r="AB57" s="306">
        <f t="shared" si="97"/>
        <v>5.9259003485143333</v>
      </c>
      <c r="AC57" s="306">
        <f t="shared" si="97"/>
        <v>6.2415799115114803</v>
      </c>
      <c r="AD57" s="91">
        <f t="shared" si="97"/>
        <v>22.840765344319639</v>
      </c>
      <c r="AE57" s="91">
        <f t="shared" si="97"/>
        <v>26.164701871155788</v>
      </c>
      <c r="AF57" s="91">
        <f t="shared" si="97"/>
        <v>28.74045869927814</v>
      </c>
      <c r="AG57" s="91">
        <f t="shared" si="97"/>
        <v>31.056162448062864</v>
      </c>
      <c r="AH57" s="9"/>
      <c r="AI57" s="9"/>
      <c r="AJ57" s="9"/>
      <c r="AK57" s="9"/>
    </row>
    <row r="58" spans="1:37" ht="13.5" customHeight="1" x14ac:dyDescent="0.25">
      <c r="A58" s="205"/>
      <c r="B58" s="9"/>
      <c r="C58" s="103"/>
      <c r="D58" s="9"/>
      <c r="E58" s="9"/>
      <c r="F58" s="250"/>
      <c r="G58" s="250"/>
      <c r="H58" s="250"/>
      <c r="I58" s="250"/>
      <c r="J58" s="9"/>
      <c r="K58" s="250"/>
      <c r="L58" s="250"/>
      <c r="M58" s="250"/>
      <c r="N58" s="250"/>
      <c r="O58" s="9"/>
      <c r="P58" s="250"/>
      <c r="Q58" s="250"/>
      <c r="R58" s="250"/>
      <c r="S58" s="250"/>
      <c r="T58" s="9"/>
      <c r="U58" s="250"/>
      <c r="V58" s="251"/>
      <c r="W58" s="251"/>
      <c r="X58" s="251"/>
      <c r="Y58" s="9"/>
      <c r="Z58" s="251"/>
      <c r="AA58" s="251"/>
      <c r="AB58" s="251"/>
      <c r="AC58" s="251"/>
      <c r="AD58" s="9"/>
      <c r="AE58" s="9"/>
      <c r="AF58" s="9"/>
      <c r="AG58" s="9"/>
      <c r="AH58" s="9"/>
      <c r="AI58" s="9"/>
      <c r="AJ58" s="9"/>
      <c r="AK58" s="9"/>
    </row>
    <row r="59" spans="1:37" ht="13.5" customHeight="1" x14ac:dyDescent="0.25">
      <c r="A59" s="205"/>
      <c r="B59" s="9"/>
      <c r="C59" s="103" t="str">
        <f>C39</f>
        <v>Operating Income</v>
      </c>
      <c r="D59" s="9"/>
      <c r="E59" s="9"/>
      <c r="F59" s="288">
        <f>F39</f>
        <v>2167</v>
      </c>
      <c r="G59" s="288">
        <f t="shared" ref="G59:X59" si="99">G39</f>
        <v>2734</v>
      </c>
      <c r="H59" s="288">
        <f t="shared" si="99"/>
        <v>3100</v>
      </c>
      <c r="I59" s="288">
        <f t="shared" si="99"/>
        <v>2512</v>
      </c>
      <c r="J59" s="222">
        <f t="shared" ref="J59:J61" si="100">SUM(F59:I59)</f>
        <v>10513</v>
      </c>
      <c r="K59" s="288">
        <f t="shared" si="99"/>
        <v>3145</v>
      </c>
      <c r="L59" s="288">
        <f t="shared" si="99"/>
        <v>3790</v>
      </c>
      <c r="M59" s="288">
        <f t="shared" si="99"/>
        <v>3204</v>
      </c>
      <c r="N59" s="288">
        <f t="shared" si="99"/>
        <v>2756</v>
      </c>
      <c r="O59" s="222">
        <f t="shared" ref="O59:O61" si="101">SUM(K59:N59)</f>
        <v>12895</v>
      </c>
      <c r="P59" s="288">
        <f t="shared" si="99"/>
        <v>3330</v>
      </c>
      <c r="Q59" s="288">
        <f t="shared" si="99"/>
        <v>3550</v>
      </c>
      <c r="R59" s="288">
        <f t="shared" si="99"/>
        <v>3825</v>
      </c>
      <c r="S59" s="288">
        <f t="shared" si="99"/>
        <v>3090</v>
      </c>
      <c r="T59" s="222">
        <f t="shared" ref="T59:T61" si="102">SUM(P59:S59)</f>
        <v>13795</v>
      </c>
      <c r="U59" s="288">
        <f t="shared" ref="U59" si="103">U39</f>
        <v>3778</v>
      </c>
      <c r="V59" s="221">
        <f t="shared" si="99"/>
        <v>3757.440800999997</v>
      </c>
      <c r="W59" s="221">
        <f t="shared" si="99"/>
        <v>4140.4583944000005</v>
      </c>
      <c r="X59" s="221">
        <f t="shared" si="99"/>
        <v>4416.8314002799998</v>
      </c>
      <c r="Y59" s="222">
        <f t="shared" ref="Y59:Y61" si="104">SUM(U59:X59)</f>
        <v>16092.730595679997</v>
      </c>
      <c r="Z59" s="221">
        <f>Z39</f>
        <v>4494.3401818591192</v>
      </c>
      <c r="AA59" s="221">
        <f t="shared" ref="AA59:AC59" si="105">AA39</f>
        <v>4808.7344300926434</v>
      </c>
      <c r="AB59" s="221">
        <f t="shared" si="105"/>
        <v>5159.4507676941685</v>
      </c>
      <c r="AC59" s="221">
        <f t="shared" si="105"/>
        <v>5430.674619029036</v>
      </c>
      <c r="AD59" s="222">
        <f t="shared" ref="AD59:AD61" si="106">SUM(Z59:AC59)</f>
        <v>19893.199998674965</v>
      </c>
      <c r="AE59" s="222">
        <f t="shared" ref="AE59:AG59" si="107">AE39</f>
        <v>22756.456201398803</v>
      </c>
      <c r="AF59" s="222">
        <f t="shared" si="107"/>
        <v>24898.328734939845</v>
      </c>
      <c r="AG59" s="222">
        <f t="shared" si="107"/>
        <v>26798.634225196161</v>
      </c>
      <c r="AH59" s="9"/>
      <c r="AI59" s="9"/>
      <c r="AJ59" s="9"/>
      <c r="AK59" s="9"/>
    </row>
    <row r="60" spans="1:37" ht="13.5" hidden="1" customHeight="1" outlineLevel="1" x14ac:dyDescent="0.25">
      <c r="A60" s="205"/>
      <c r="B60" s="9"/>
      <c r="C60" s="103" t="s">
        <v>265</v>
      </c>
      <c r="D60" s="9"/>
      <c r="E60" s="9"/>
      <c r="F60" s="307">
        <f>-F37</f>
        <v>412.75</v>
      </c>
      <c r="G60" s="307">
        <f>-G37</f>
        <v>412.75</v>
      </c>
      <c r="H60" s="307">
        <f>-H37</f>
        <v>412.75</v>
      </c>
      <c r="I60" s="307">
        <f>-I37</f>
        <v>412.75</v>
      </c>
      <c r="J60" s="290">
        <f t="shared" si="100"/>
        <v>1651</v>
      </c>
      <c r="K60" s="307">
        <f>-K37</f>
        <v>419</v>
      </c>
      <c r="L60" s="307">
        <f>-L37</f>
        <v>419</v>
      </c>
      <c r="M60" s="307">
        <f>-M37</f>
        <v>419</v>
      </c>
      <c r="N60" s="307">
        <f>-N37</f>
        <v>419</v>
      </c>
      <c r="O60" s="290">
        <f t="shared" si="101"/>
        <v>1676</v>
      </c>
      <c r="P60" s="307">
        <f>-P37</f>
        <v>444.25</v>
      </c>
      <c r="Q60" s="307">
        <f>-Q37</f>
        <v>444.25</v>
      </c>
      <c r="R60" s="307">
        <f>-R37</f>
        <v>444.25</v>
      </c>
      <c r="S60" s="307">
        <f>-S37</f>
        <v>444.25</v>
      </c>
      <c r="T60" s="290">
        <f t="shared" si="102"/>
        <v>1777</v>
      </c>
      <c r="U60" s="307">
        <f>-U37</f>
        <v>468</v>
      </c>
      <c r="V60" s="291">
        <f>-V37</f>
        <v>568.95935114101576</v>
      </c>
      <c r="W60" s="291">
        <f>-W37</f>
        <v>573.76780703883969</v>
      </c>
      <c r="X60" s="291">
        <f>-X37</f>
        <v>574.28974124429658</v>
      </c>
      <c r="Y60" s="290">
        <f t="shared" si="104"/>
        <v>2185.0168994241521</v>
      </c>
      <c r="Z60" s="291">
        <f>-Z37</f>
        <v>574.58995910846386</v>
      </c>
      <c r="AA60" s="291">
        <f>-AA37</f>
        <v>578.36971186666483</v>
      </c>
      <c r="AB60" s="291">
        <f>-AB37</f>
        <v>580.3130817961229</v>
      </c>
      <c r="AC60" s="291">
        <f>-AC37</f>
        <v>581.30234087905876</v>
      </c>
      <c r="AD60" s="290">
        <f t="shared" si="106"/>
        <v>2314.57509365031</v>
      </c>
      <c r="AE60" s="290">
        <f>-AE37</f>
        <v>2352.1884470558657</v>
      </c>
      <c r="AF60" s="290">
        <f>-AF37</f>
        <v>2344.2727434071144</v>
      </c>
      <c r="AG60" s="290">
        <f>-AG37</f>
        <v>2557.6407939801302</v>
      </c>
      <c r="AH60" s="9"/>
      <c r="AI60" s="9"/>
      <c r="AJ60" s="9"/>
      <c r="AK60" s="9"/>
    </row>
    <row r="61" spans="1:37" ht="13.5" hidden="1" customHeight="1" outlineLevel="1" x14ac:dyDescent="0.25">
      <c r="A61" s="205"/>
      <c r="B61" s="9"/>
      <c r="C61" s="103" t="s">
        <v>277</v>
      </c>
      <c r="D61" s="9"/>
      <c r="E61" s="9"/>
      <c r="F61" s="288">
        <f t="shared" ref="F61:I61" si="108">SUM(F59:F60)</f>
        <v>2579.75</v>
      </c>
      <c r="G61" s="288">
        <f t="shared" si="108"/>
        <v>3146.75</v>
      </c>
      <c r="H61" s="288">
        <f t="shared" si="108"/>
        <v>3512.75</v>
      </c>
      <c r="I61" s="288">
        <f t="shared" si="108"/>
        <v>2924.75</v>
      </c>
      <c r="J61" s="222">
        <f t="shared" si="100"/>
        <v>12164</v>
      </c>
      <c r="K61" s="288">
        <f t="shared" ref="K61:N61" si="109">SUM(K59:K60)</f>
        <v>3564</v>
      </c>
      <c r="L61" s="288">
        <f t="shared" si="109"/>
        <v>4209</v>
      </c>
      <c r="M61" s="288">
        <f t="shared" si="109"/>
        <v>3623</v>
      </c>
      <c r="N61" s="288">
        <f t="shared" si="109"/>
        <v>3175</v>
      </c>
      <c r="O61" s="222">
        <f t="shared" si="101"/>
        <v>14571</v>
      </c>
      <c r="P61" s="288">
        <f t="shared" ref="P61:S61" si="110">SUM(P59:P60)</f>
        <v>3774.25</v>
      </c>
      <c r="Q61" s="288">
        <f t="shared" si="110"/>
        <v>3994.25</v>
      </c>
      <c r="R61" s="288">
        <f t="shared" si="110"/>
        <v>4269.25</v>
      </c>
      <c r="S61" s="288">
        <f t="shared" si="110"/>
        <v>3534.25</v>
      </c>
      <c r="T61" s="222">
        <f t="shared" si="102"/>
        <v>15572</v>
      </c>
      <c r="U61" s="288">
        <f t="shared" ref="U61" si="111">SUM(U59:U60)</f>
        <v>4246</v>
      </c>
      <c r="V61" s="221">
        <f t="shared" ref="V61:X61" si="112">SUM(V59:V60)</f>
        <v>4326.4001521410128</v>
      </c>
      <c r="W61" s="221">
        <f t="shared" si="112"/>
        <v>4714.2262014388398</v>
      </c>
      <c r="X61" s="221">
        <f t="shared" si="112"/>
        <v>4991.121141524296</v>
      </c>
      <c r="Y61" s="222">
        <f t="shared" si="104"/>
        <v>18277.747495104151</v>
      </c>
      <c r="Z61" s="221">
        <f t="shared" ref="Z61:AC61" si="113">SUM(Z59:Z60)</f>
        <v>5068.9301409675827</v>
      </c>
      <c r="AA61" s="221">
        <f t="shared" si="113"/>
        <v>5387.1041419593084</v>
      </c>
      <c r="AB61" s="221">
        <f t="shared" si="113"/>
        <v>5739.7638494902912</v>
      </c>
      <c r="AC61" s="221">
        <f t="shared" si="113"/>
        <v>6011.9769599080946</v>
      </c>
      <c r="AD61" s="222">
        <f t="shared" si="106"/>
        <v>22207.775092325279</v>
      </c>
      <c r="AE61" s="222">
        <f t="shared" ref="AE61:AG61" si="114">SUM(AE59:AE60)</f>
        <v>25108.644648454669</v>
      </c>
      <c r="AF61" s="222">
        <f t="shared" si="114"/>
        <v>27242.601478346958</v>
      </c>
      <c r="AG61" s="222">
        <f t="shared" si="114"/>
        <v>29356.27501917629</v>
      </c>
      <c r="AH61" s="9"/>
      <c r="AI61" s="9"/>
      <c r="AJ61" s="9"/>
      <c r="AK61" s="9"/>
    </row>
    <row r="62" spans="1:37" ht="13.5" customHeight="1" collapsed="1" x14ac:dyDescent="0.25">
      <c r="A62" s="205"/>
      <c r="B62" s="9"/>
      <c r="C62" s="9"/>
      <c r="D62" s="9"/>
      <c r="E62" s="9"/>
      <c r="F62" s="250"/>
      <c r="G62" s="250"/>
      <c r="H62" s="250"/>
      <c r="I62" s="250"/>
      <c r="J62" s="9"/>
      <c r="K62" s="250"/>
      <c r="L62" s="250"/>
      <c r="M62" s="250"/>
      <c r="N62" s="250"/>
      <c r="O62" s="222"/>
      <c r="P62" s="250"/>
      <c r="Q62" s="250"/>
      <c r="R62" s="250"/>
      <c r="S62" s="250"/>
      <c r="T62" s="9"/>
      <c r="U62" s="250"/>
      <c r="V62" s="251"/>
      <c r="W62" s="251"/>
      <c r="X62" s="251"/>
      <c r="Y62" s="9"/>
      <c r="Z62" s="251"/>
      <c r="AA62" s="251"/>
      <c r="AB62" s="251"/>
      <c r="AC62" s="251"/>
      <c r="AD62" s="9"/>
      <c r="AE62" s="9"/>
      <c r="AF62" s="9"/>
      <c r="AG62" s="9"/>
      <c r="AH62" s="9"/>
      <c r="AI62" s="9"/>
      <c r="AJ62" s="9"/>
      <c r="AK62" s="9"/>
    </row>
    <row r="63" spans="1:37" ht="13.5" customHeight="1" x14ac:dyDescent="0.25">
      <c r="A63" s="205"/>
      <c r="B63" s="37"/>
      <c r="C63" s="285" t="s">
        <v>278</v>
      </c>
      <c r="D63" s="308"/>
      <c r="E63" s="308"/>
      <c r="F63" s="286" t="str">
        <f t="shared" ref="F63:AG63" si="115">F$25</f>
        <v>1Q23</v>
      </c>
      <c r="G63" s="141" t="str">
        <f t="shared" si="115"/>
        <v>2Q23</v>
      </c>
      <c r="H63" s="141" t="str">
        <f t="shared" si="115"/>
        <v>3Q23</v>
      </c>
      <c r="I63" s="141" t="str">
        <f t="shared" si="115"/>
        <v>4Q23</v>
      </c>
      <c r="J63" s="141">
        <f t="shared" si="115"/>
        <v>2023</v>
      </c>
      <c r="K63" s="141" t="str">
        <f t="shared" si="115"/>
        <v>1Q24</v>
      </c>
      <c r="L63" s="141" t="str">
        <f t="shared" si="115"/>
        <v>2Q24</v>
      </c>
      <c r="M63" s="141" t="str">
        <f t="shared" si="115"/>
        <v>3Q24</v>
      </c>
      <c r="N63" s="141" t="str">
        <f t="shared" si="115"/>
        <v>4Q24</v>
      </c>
      <c r="O63" s="141">
        <f t="shared" si="115"/>
        <v>2024</v>
      </c>
      <c r="P63" s="141" t="str">
        <f t="shared" si="115"/>
        <v>1Q25</v>
      </c>
      <c r="Q63" s="141" t="str">
        <f t="shared" si="115"/>
        <v>2Q25</v>
      </c>
      <c r="R63" s="141" t="str">
        <f t="shared" si="115"/>
        <v>3Q25</v>
      </c>
      <c r="S63" s="141" t="str">
        <f t="shared" si="115"/>
        <v>4Q25</v>
      </c>
      <c r="T63" s="141">
        <f t="shared" si="115"/>
        <v>2025</v>
      </c>
      <c r="U63" s="141" t="str">
        <f t="shared" si="115"/>
        <v>1Q26</v>
      </c>
      <c r="V63" s="141" t="str">
        <f t="shared" si="115"/>
        <v>2Q26e</v>
      </c>
      <c r="W63" s="141" t="str">
        <f t="shared" si="115"/>
        <v>3Q26e</v>
      </c>
      <c r="X63" s="141" t="str">
        <f t="shared" si="115"/>
        <v>4Q26e</v>
      </c>
      <c r="Y63" s="141" t="str">
        <f t="shared" si="115"/>
        <v>2026e</v>
      </c>
      <c r="Z63" s="141" t="str">
        <f t="shared" si="115"/>
        <v>1Q27e</v>
      </c>
      <c r="AA63" s="141" t="str">
        <f t="shared" si="115"/>
        <v>2Q27e</v>
      </c>
      <c r="AB63" s="141" t="str">
        <f t="shared" si="115"/>
        <v>3Q27e</v>
      </c>
      <c r="AC63" s="141" t="str">
        <f t="shared" si="115"/>
        <v>4Q27e</v>
      </c>
      <c r="AD63" s="141" t="str">
        <f t="shared" si="115"/>
        <v>2027e</v>
      </c>
      <c r="AE63" s="141" t="str">
        <f t="shared" si="115"/>
        <v>2028e</v>
      </c>
      <c r="AF63" s="141" t="str">
        <f t="shared" si="115"/>
        <v>2029e</v>
      </c>
      <c r="AG63" s="287" t="str">
        <f t="shared" si="115"/>
        <v>2030e</v>
      </c>
      <c r="AH63" s="205" t="s">
        <v>0</v>
      </c>
      <c r="AI63" s="9"/>
      <c r="AJ63" s="9"/>
      <c r="AK63" s="9"/>
    </row>
    <row r="64" spans="1:37" ht="13.5" customHeight="1" x14ac:dyDescent="0.25">
      <c r="A64" s="205" t="s">
        <v>0</v>
      </c>
      <c r="B64" s="9"/>
      <c r="C64" s="309" t="s">
        <v>42</v>
      </c>
      <c r="D64" s="310"/>
      <c r="E64" s="310"/>
      <c r="F64" s="310"/>
      <c r="G64" s="310"/>
      <c r="H64" s="310"/>
      <c r="I64" s="310"/>
      <c r="J64" s="310"/>
      <c r="K64" s="310"/>
      <c r="L64" s="310"/>
      <c r="M64" s="310"/>
      <c r="N64" s="310"/>
      <c r="O64" s="310"/>
      <c r="P64" s="310"/>
      <c r="Q64" s="310"/>
      <c r="R64" s="310"/>
      <c r="S64" s="310"/>
      <c r="T64" s="310"/>
      <c r="U64" s="310"/>
      <c r="V64" s="310"/>
      <c r="W64" s="310"/>
      <c r="X64" s="310"/>
      <c r="Y64" s="310"/>
      <c r="Z64" s="310"/>
      <c r="AA64" s="310"/>
      <c r="AB64" s="310"/>
      <c r="AC64" s="310"/>
      <c r="AD64" s="310"/>
      <c r="AE64" s="310"/>
      <c r="AF64" s="310"/>
      <c r="AG64" s="311"/>
      <c r="AH64" s="9"/>
      <c r="AI64" s="9"/>
      <c r="AJ64" s="9"/>
      <c r="AK64" s="9"/>
    </row>
    <row r="65" spans="1:37" ht="13.5" customHeight="1" x14ac:dyDescent="0.25">
      <c r="A65" s="205"/>
      <c r="B65" s="37"/>
      <c r="C65" s="9"/>
      <c r="D65" s="37"/>
      <c r="E65" s="37"/>
      <c r="F65" s="250"/>
      <c r="G65" s="250"/>
      <c r="H65" s="250"/>
      <c r="I65" s="250"/>
      <c r="J65" s="9"/>
      <c r="K65" s="250"/>
      <c r="L65" s="250"/>
      <c r="M65" s="250"/>
      <c r="N65" s="250"/>
      <c r="O65" s="9"/>
      <c r="P65" s="250"/>
      <c r="Q65" s="250"/>
      <c r="R65" s="250"/>
      <c r="S65" s="250"/>
      <c r="T65" s="9"/>
      <c r="U65" s="250"/>
      <c r="V65" s="251"/>
      <c r="W65" s="251"/>
      <c r="X65" s="251"/>
      <c r="Y65" s="9"/>
      <c r="Z65" s="251"/>
      <c r="AA65" s="251"/>
      <c r="AB65" s="251"/>
      <c r="AC65" s="251"/>
      <c r="AD65" s="9"/>
      <c r="AE65" s="9"/>
      <c r="AF65" s="9"/>
      <c r="AG65" s="9"/>
      <c r="AH65" s="9"/>
      <c r="AI65" s="9"/>
      <c r="AJ65" s="9"/>
      <c r="AK65" s="9"/>
    </row>
    <row r="66" spans="1:37" ht="13.5" customHeight="1" x14ac:dyDescent="0.25">
      <c r="A66" s="205"/>
      <c r="B66" s="37"/>
      <c r="C66" s="9" t="s">
        <v>107</v>
      </c>
      <c r="D66" s="37"/>
      <c r="E66" s="37"/>
      <c r="F66" s="312">
        <f t="shared" ref="F66:T66" si="116">F32/F28</f>
        <v>0.84166984854270077</v>
      </c>
      <c r="G66" s="312">
        <f t="shared" si="116"/>
        <v>0.82850992585505856</v>
      </c>
      <c r="H66" s="312">
        <f t="shared" si="116"/>
        <v>0.82356365329763082</v>
      </c>
      <c r="I66" s="312">
        <f t="shared" si="116"/>
        <v>0.80926353749929569</v>
      </c>
      <c r="J66" s="313">
        <f t="shared" si="116"/>
        <v>0.82524790689388994</v>
      </c>
      <c r="K66" s="312">
        <f t="shared" si="116"/>
        <v>0.81608356264390414</v>
      </c>
      <c r="L66" s="312">
        <f t="shared" si="116"/>
        <v>0.81888351361635048</v>
      </c>
      <c r="M66" s="312">
        <f t="shared" si="116"/>
        <v>0.81367484956600455</v>
      </c>
      <c r="N66" s="312">
        <f t="shared" si="116"/>
        <v>0.82667291081277972</v>
      </c>
      <c r="O66" s="313">
        <f t="shared" si="116"/>
        <v>0.8189107963504535</v>
      </c>
      <c r="P66" s="312">
        <f t="shared" si="116"/>
        <v>0.83541963766967731</v>
      </c>
      <c r="Q66" s="312">
        <f t="shared" si="116"/>
        <v>0.82531480459539452</v>
      </c>
      <c r="R66" s="312">
        <f t="shared" si="116"/>
        <v>0.8337306027144038</v>
      </c>
      <c r="S66" s="312">
        <f t="shared" si="116"/>
        <v>0.83488593155893531</v>
      </c>
      <c r="T66" s="313">
        <f t="shared" si="116"/>
        <v>0.8323453015671799</v>
      </c>
      <c r="U66" s="312">
        <f t="shared" ref="U66" si="117">U32/U28</f>
        <v>0.84559386973180073</v>
      </c>
      <c r="V66" s="314">
        <f>IF(Cover!$F$37="Bottom Up",(V32/V28),Drivers!V7)</f>
        <v>0.69499999999999995</v>
      </c>
      <c r="W66" s="314">
        <f>IF(Cover!$F$37="Bottom Up",(W32/W28),Drivers!W7)</f>
        <v>0.72</v>
      </c>
      <c r="X66" s="314">
        <f>IF(Cover!$F$37="Bottom Up",(X32/X28),Drivers!X7)</f>
        <v>0.72</v>
      </c>
      <c r="Y66" s="313">
        <f>Y32/Y28</f>
        <v>0.84710571255374201</v>
      </c>
      <c r="Z66" s="314">
        <f>IF(Cover!$F$37="Bottom Up",(Z32/Z28),Drivers!Z7)</f>
        <v>0.75</v>
      </c>
      <c r="AA66" s="314">
        <f>IF(Cover!$F$37="Bottom Up",(AA32/AA28),Drivers!AA7)</f>
        <v>0.753</v>
      </c>
      <c r="AB66" s="314">
        <f>IF(Cover!$F$37="Bottom Up",(AB32/AB28),Drivers!AB7)</f>
        <v>0.755</v>
      </c>
      <c r="AC66" s="314">
        <f>IF(Cover!$F$37="Bottom Up",(AC32/AC28),Drivers!AC7)</f>
        <v>0.76500000000000001</v>
      </c>
      <c r="AD66" s="313">
        <f>AD32/AD28</f>
        <v>0.86475448261737764</v>
      </c>
      <c r="AE66" s="313">
        <f>IF(Cover!$F$37="Bottom Up",(AE32/AE28),Drivers!AE7)</f>
        <v>0.78</v>
      </c>
      <c r="AF66" s="313">
        <f>IF(Cover!$F$37="Bottom Up",(AF32/AF28),Drivers!AF7)</f>
        <v>0.79</v>
      </c>
      <c r="AG66" s="313">
        <f>IF(Cover!$F$37="Bottom Up",(AG32/AG28),Drivers!AG7)</f>
        <v>0.8</v>
      </c>
      <c r="AH66" s="9"/>
      <c r="AI66" s="9"/>
      <c r="AJ66" s="9"/>
      <c r="AK66" s="9"/>
    </row>
    <row r="67" spans="1:37" ht="13.5" customHeight="1" x14ac:dyDescent="0.25">
      <c r="A67" s="205"/>
      <c r="B67" s="37"/>
      <c r="C67" s="9" t="s">
        <v>279</v>
      </c>
      <c r="D67" s="37"/>
      <c r="E67" s="37"/>
      <c r="F67" s="312">
        <f>F34/F$28</f>
        <v>-0.21350388188876163</v>
      </c>
      <c r="G67" s="312">
        <f t="shared" ref="G67:T67" si="118">G34/G28</f>
        <v>-0.19630471179143746</v>
      </c>
      <c r="H67" s="312">
        <f t="shared" si="118"/>
        <v>-0.19110541940741604</v>
      </c>
      <c r="I67" s="312">
        <f t="shared" si="118"/>
        <v>-0.1892714261565335</v>
      </c>
      <c r="J67" s="313">
        <f t="shared" si="118"/>
        <v>-0.19713793717712724</v>
      </c>
      <c r="K67" s="312">
        <f t="shared" si="118"/>
        <v>-0.20070758690402651</v>
      </c>
      <c r="L67" s="312">
        <f t="shared" si="118"/>
        <v>-0.18638908517693101</v>
      </c>
      <c r="M67" s="312">
        <f t="shared" si="118"/>
        <v>-0.18739016987060014</v>
      </c>
      <c r="N67" s="312">
        <f t="shared" si="118"/>
        <v>-0.19336039129982308</v>
      </c>
      <c r="O67" s="313">
        <f t="shared" si="118"/>
        <v>-0.19188420641231249</v>
      </c>
      <c r="P67" s="312">
        <f t="shared" si="118"/>
        <v>-0.19046109966724767</v>
      </c>
      <c r="Q67" s="312">
        <f t="shared" si="118"/>
        <v>-0.18597300958210003</v>
      </c>
      <c r="R67" s="312">
        <f t="shared" si="118"/>
        <v>-0.18670039402636571</v>
      </c>
      <c r="S67" s="312">
        <f t="shared" si="118"/>
        <v>-0.19567490494296577</v>
      </c>
      <c r="T67" s="313">
        <f t="shared" si="118"/>
        <v>-0.18975181139157127</v>
      </c>
      <c r="U67" s="312">
        <f t="shared" ref="U67" si="119">U34/U28</f>
        <v>-0.18975095785440613</v>
      </c>
      <c r="V67" s="315">
        <f>Drivers!V40</f>
        <v>-0.185</v>
      </c>
      <c r="W67" s="315">
        <f>Drivers!W40</f>
        <v>-0.186</v>
      </c>
      <c r="X67" s="315">
        <f>Drivers!X40</f>
        <v>-0.185</v>
      </c>
      <c r="Y67" s="313">
        <f>Y34/Y28</f>
        <v>-0.18638005360770224</v>
      </c>
      <c r="Z67" s="315">
        <f>Drivers!Z40</f>
        <v>-0.187</v>
      </c>
      <c r="AA67" s="315">
        <f>Drivers!AA40</f>
        <v>-0.186</v>
      </c>
      <c r="AB67" s="315">
        <f>Drivers!AB40</f>
        <v>-0.184</v>
      </c>
      <c r="AC67" s="315">
        <f>Drivers!AC40</f>
        <v>-0.182</v>
      </c>
      <c r="AD67" s="313">
        <f>AD34/AD28</f>
        <v>-0.18467778661794637</v>
      </c>
      <c r="AE67" s="316">
        <f>Drivers!AE40</f>
        <v>-0.182</v>
      </c>
      <c r="AF67" s="316">
        <f>Drivers!AF40</f>
        <v>-0.18099999999999999</v>
      </c>
      <c r="AG67" s="316">
        <f>Drivers!AG40</f>
        <v>-0.18099999999999999</v>
      </c>
      <c r="AH67" s="9"/>
      <c r="AI67" s="9"/>
      <c r="AJ67" s="9"/>
      <c r="AK67" s="9"/>
    </row>
    <row r="68" spans="1:37" ht="13.5" customHeight="1" x14ac:dyDescent="0.25">
      <c r="A68" s="205"/>
      <c r="B68" s="37"/>
      <c r="C68" s="9" t="s">
        <v>839</v>
      </c>
      <c r="D68" s="37"/>
      <c r="E68" s="37"/>
      <c r="F68" s="312">
        <f>F35/F$28</f>
        <v>-0.39086165203003692</v>
      </c>
      <c r="G68" s="312">
        <f>G35/G$28</f>
        <v>-0.37628557761301124</v>
      </c>
      <c r="H68" s="312">
        <f>H35/H$28</f>
        <v>-0.35857733279003434</v>
      </c>
      <c r="I68" s="312">
        <f>I35/I$28</f>
        <v>-0.36045528821772693</v>
      </c>
      <c r="J68" s="313">
        <f>J35/J28</f>
        <v>-0.37099934683213587</v>
      </c>
      <c r="K68" s="312">
        <f>K35/K$28</f>
        <v>-0.35587128657269612</v>
      </c>
      <c r="L68" s="312">
        <f>L35/L$28</f>
        <v>-0.37006033592433552</v>
      </c>
      <c r="M68" s="312">
        <f>M35/M$28</f>
        <v>-0.36088183609350871</v>
      </c>
      <c r="N68" s="312">
        <f>N35/N$28</f>
        <v>-0.38219377666770737</v>
      </c>
      <c r="O68" s="313">
        <f>O35/O28</f>
        <v>-0.36747483187558116</v>
      </c>
      <c r="P68" s="312">
        <f>P35/P$28</f>
        <v>-0.38213700945439183</v>
      </c>
      <c r="Q68" s="312">
        <f>Q35/Q$28</f>
        <v>-0.37666181708724228</v>
      </c>
      <c r="R68" s="312">
        <f>R35/R$28</f>
        <v>-0.37437369265943476</v>
      </c>
      <c r="S68" s="312">
        <f>S35/S$28</f>
        <v>-0.40323193916349809</v>
      </c>
      <c r="T68" s="313">
        <f>T35/T28</f>
        <v>-0.38431328685234206</v>
      </c>
      <c r="U68" s="312">
        <f>U35/U$28</f>
        <v>-0.40502873563218389</v>
      </c>
      <c r="V68" s="840">
        <f>+Drivers!V45</f>
        <v>-0.39600000000000002</v>
      </c>
      <c r="W68" s="840">
        <f>+Drivers!W45</f>
        <v>-0.39700000000000002</v>
      </c>
      <c r="X68" s="840">
        <f>+Drivers!X45</f>
        <v>-0.39300000000000002</v>
      </c>
      <c r="Y68" s="313">
        <f>Y35/Y28</f>
        <v>-0.3976065749435862</v>
      </c>
      <c r="Z68" s="840">
        <f>+Drivers!Z45</f>
        <v>-0.39400000000000002</v>
      </c>
      <c r="AA68" s="840">
        <f>+Drivers!AA45</f>
        <v>-0.39</v>
      </c>
      <c r="AB68" s="840">
        <f>+Drivers!AB45</f>
        <v>-0.38800000000000001</v>
      </c>
      <c r="AC68" s="840">
        <f>+Drivers!AC45</f>
        <v>-0.38800000000000001</v>
      </c>
      <c r="AD68" s="313">
        <f>AD35/AD28</f>
        <v>-0.38991310939735818</v>
      </c>
      <c r="AE68" s="841">
        <f>+Drivers!AE45</f>
        <v>-0.38900000000000001</v>
      </c>
      <c r="AF68" s="841">
        <f>+Drivers!AF45</f>
        <v>-0.38850000000000001</v>
      </c>
      <c r="AG68" s="841">
        <f>+Drivers!AG45</f>
        <v>-0.38800000000000001</v>
      </c>
      <c r="AH68" s="9"/>
      <c r="AI68" s="9"/>
      <c r="AJ68" s="9"/>
      <c r="AK68" s="9"/>
    </row>
    <row r="69" spans="1:37" ht="13.5" customHeight="1" x14ac:dyDescent="0.25">
      <c r="A69" s="205"/>
      <c r="B69" s="37"/>
      <c r="C69" s="828" t="s">
        <v>838</v>
      </c>
      <c r="D69" s="37"/>
      <c r="E69" s="37"/>
      <c r="F69" s="312">
        <f t="shared" ref="F69:T69" si="120">F36/F28</f>
        <v>0</v>
      </c>
      <c r="G69" s="312">
        <f t="shared" si="120"/>
        <v>0</v>
      </c>
      <c r="H69" s="312">
        <f t="shared" si="120"/>
        <v>0</v>
      </c>
      <c r="I69" s="312">
        <f t="shared" si="120"/>
        <v>0</v>
      </c>
      <c r="J69" s="313">
        <f t="shared" si="120"/>
        <v>0</v>
      </c>
      <c r="K69" s="312">
        <f t="shared" si="120"/>
        <v>0</v>
      </c>
      <c r="L69" s="312">
        <f t="shared" si="120"/>
        <v>0</v>
      </c>
      <c r="M69" s="312">
        <f t="shared" si="120"/>
        <v>0</v>
      </c>
      <c r="N69" s="312">
        <f t="shared" si="120"/>
        <v>0</v>
      </c>
      <c r="O69" s="313">
        <f t="shared" si="120"/>
        <v>0</v>
      </c>
      <c r="P69" s="312">
        <f t="shared" si="120"/>
        <v>0</v>
      </c>
      <c r="Q69" s="312">
        <f t="shared" si="120"/>
        <v>0</v>
      </c>
      <c r="R69" s="312">
        <f t="shared" si="120"/>
        <v>0</v>
      </c>
      <c r="S69" s="312">
        <f t="shared" si="120"/>
        <v>0</v>
      </c>
      <c r="T69" s="313">
        <f t="shared" si="120"/>
        <v>0</v>
      </c>
      <c r="U69" s="312">
        <f t="shared" ref="U69" si="121">U36/U28</f>
        <v>0</v>
      </c>
      <c r="V69" s="315">
        <f>Drivers!V55</f>
        <v>0</v>
      </c>
      <c r="W69" s="315">
        <f>Drivers!W55</f>
        <v>0</v>
      </c>
      <c r="X69" s="315">
        <f>Drivers!X55</f>
        <v>0</v>
      </c>
      <c r="Y69" s="313">
        <f>Y36/Y28</f>
        <v>0</v>
      </c>
      <c r="Z69" s="315">
        <f>Drivers!Z55</f>
        <v>0</v>
      </c>
      <c r="AA69" s="315">
        <f>Drivers!AA55</f>
        <v>0</v>
      </c>
      <c r="AB69" s="315">
        <f>Drivers!AB55</f>
        <v>0</v>
      </c>
      <c r="AC69" s="315">
        <f>Drivers!AC55</f>
        <v>0</v>
      </c>
      <c r="AD69" s="313">
        <f>AD36/AD28</f>
        <v>0</v>
      </c>
      <c r="AE69" s="316">
        <f>Drivers!AE55</f>
        <v>0</v>
      </c>
      <c r="AF69" s="316">
        <f>Drivers!AF55</f>
        <v>0</v>
      </c>
      <c r="AG69" s="316">
        <f>Drivers!AG55</f>
        <v>0</v>
      </c>
      <c r="AH69" s="9"/>
      <c r="AI69" s="9"/>
      <c r="AJ69" s="9"/>
      <c r="AK69" s="9"/>
    </row>
    <row r="70" spans="1:37" ht="13.5" customHeight="1" x14ac:dyDescent="0.25">
      <c r="A70" s="205"/>
      <c r="B70" s="37"/>
      <c r="C70" s="828" t="s">
        <v>836</v>
      </c>
      <c r="D70" s="37"/>
      <c r="E70" s="37"/>
      <c r="F70" s="312">
        <f t="shared" ref="F70:T70" si="122">F38/F28</f>
        <v>-9.940180730558737E-2</v>
      </c>
      <c r="G70" s="312">
        <f t="shared" si="122"/>
        <v>-9.2441999521645543E-2</v>
      </c>
      <c r="H70" s="312">
        <f t="shared" si="122"/>
        <v>-9.3428022585715115E-2</v>
      </c>
      <c r="I70" s="312">
        <f t="shared" si="122"/>
        <v>-0.11799177325745197</v>
      </c>
      <c r="J70" s="313">
        <f t="shared" si="122"/>
        <v>-0.10104803752746273</v>
      </c>
      <c r="K70" s="312">
        <f t="shared" si="122"/>
        <v>-8.2888751614533615E-2</v>
      </c>
      <c r="L70" s="312">
        <f t="shared" si="122"/>
        <v>-5.6422242756971247E-2</v>
      </c>
      <c r="M70" s="312">
        <f t="shared" si="122"/>
        <v>-9.4786729857819899E-2</v>
      </c>
      <c r="N70" s="312">
        <f t="shared" si="122"/>
        <v>-0.10771152044957852</v>
      </c>
      <c r="O70" s="313">
        <f t="shared" si="122"/>
        <v>-8.5767038180078442E-2</v>
      </c>
      <c r="P70" s="312">
        <f t="shared" si="122"/>
        <v>-8.693815031954788E-2</v>
      </c>
      <c r="Q70" s="312">
        <f t="shared" si="122"/>
        <v>-8.4583354236692915E-2</v>
      </c>
      <c r="R70" s="312">
        <f t="shared" si="122"/>
        <v>-8.6588509996594828E-2</v>
      </c>
      <c r="S70" s="312">
        <f t="shared" si="122"/>
        <v>-8.9115969581749055E-2</v>
      </c>
      <c r="T70" s="313">
        <f t="shared" si="122"/>
        <v>-8.6834942768725998E-2</v>
      </c>
      <c r="U70" s="312">
        <f t="shared" ref="U70" si="123">U38/U28</f>
        <v>-6.9875478927203069E-2</v>
      </c>
      <c r="V70" s="315">
        <f>Drivers!V60</f>
        <v>-8.5999999999999993E-2</v>
      </c>
      <c r="W70" s="315">
        <f>Drivers!W60</f>
        <v>-8.3000000000000004E-2</v>
      </c>
      <c r="X70" s="315">
        <f>Drivers!X60</f>
        <v>-8.2000000000000003E-2</v>
      </c>
      <c r="Y70" s="313">
        <f>Y38/Y28</f>
        <v>-8.0365607732860722E-2</v>
      </c>
      <c r="Z70" s="315">
        <f>Drivers!Z60</f>
        <v>-8.6999999999999994E-2</v>
      </c>
      <c r="AA70" s="315">
        <f>Drivers!AA60</f>
        <v>-8.7999999999999995E-2</v>
      </c>
      <c r="AB70" s="315">
        <f>Drivers!AB60</f>
        <v>-8.3000000000000004E-2</v>
      </c>
      <c r="AC70" s="315">
        <f>Drivers!AC60</f>
        <v>-8.6999999999999994E-2</v>
      </c>
      <c r="AD70" s="313">
        <f>AD38/AD28</f>
        <v>-8.6234307374810221E-2</v>
      </c>
      <c r="AE70" s="316">
        <f>Drivers!AE60</f>
        <v>-8.5999999999999993E-2</v>
      </c>
      <c r="AF70" s="316">
        <f>Drivers!AF60</f>
        <v>-8.5999999999999993E-2</v>
      </c>
      <c r="AG70" s="316">
        <f>Drivers!AG60</f>
        <v>-8.5999999999999993E-2</v>
      </c>
      <c r="AH70" s="9"/>
      <c r="AI70" s="9"/>
      <c r="AJ70" s="9"/>
      <c r="AK70" s="9"/>
    </row>
    <row r="71" spans="1:37" ht="13.5" customHeight="1" x14ac:dyDescent="0.25">
      <c r="A71" s="205"/>
      <c r="B71" s="37"/>
      <c r="C71" s="9" t="s">
        <v>280</v>
      </c>
      <c r="D71" s="37"/>
      <c r="E71" s="37"/>
      <c r="F71" s="312">
        <f t="shared" ref="F71:T71" si="124">-F44/F42</f>
        <v>0.16197508075680664</v>
      </c>
      <c r="G71" s="312">
        <f t="shared" si="124"/>
        <v>0.20482809070958302</v>
      </c>
      <c r="H71" s="312">
        <f t="shared" si="124"/>
        <v>0.20935483870967742</v>
      </c>
      <c r="I71" s="312">
        <f t="shared" si="124"/>
        <v>0.2304936305732484</v>
      </c>
      <c r="J71" s="313">
        <f t="shared" si="124"/>
        <v>0.20346237991058688</v>
      </c>
      <c r="K71" s="312">
        <f t="shared" si="124"/>
        <v>0.22511923688394275</v>
      </c>
      <c r="L71" s="312">
        <f t="shared" si="124"/>
        <v>0.20448548812664907</v>
      </c>
      <c r="M71" s="312">
        <f t="shared" si="124"/>
        <v>0.21754057428214732</v>
      </c>
      <c r="N71" s="312">
        <f t="shared" si="124"/>
        <v>0.21262699564586357</v>
      </c>
      <c r="O71" s="313">
        <f t="shared" si="124"/>
        <v>0.21450174486234974</v>
      </c>
      <c r="P71" s="312">
        <f t="shared" si="124"/>
        <v>0.22402402402402402</v>
      </c>
      <c r="Q71" s="312">
        <f t="shared" si="124"/>
        <v>0.18732394366197183</v>
      </c>
      <c r="R71" s="312">
        <f t="shared" si="124"/>
        <v>0.24130718954248365</v>
      </c>
      <c r="S71" s="312">
        <f t="shared" si="124"/>
        <v>0.20323624595469256</v>
      </c>
      <c r="T71" s="313">
        <f t="shared" si="124"/>
        <v>0.21471547662196447</v>
      </c>
      <c r="U71" s="312">
        <f t="shared" ref="U71" si="125">-U44/U42</f>
        <v>0.21360508205399684</v>
      </c>
      <c r="V71" s="315">
        <f>Drivers!V69</f>
        <v>0.214</v>
      </c>
      <c r="W71" s="315">
        <f>Drivers!W69</f>
        <v>0.214</v>
      </c>
      <c r="X71" s="315">
        <f>Drivers!X69</f>
        <v>0.214</v>
      </c>
      <c r="Y71" s="313">
        <f>-Y44/Y42</f>
        <v>0.21390728733131215</v>
      </c>
      <c r="Z71" s="315">
        <f>Drivers!Z69</f>
        <v>0.215</v>
      </c>
      <c r="AA71" s="315">
        <f>Drivers!AA69</f>
        <v>0.215</v>
      </c>
      <c r="AB71" s="315">
        <f>Drivers!AB69</f>
        <v>0.215</v>
      </c>
      <c r="AC71" s="315">
        <f>Drivers!AC69</f>
        <v>0.215</v>
      </c>
      <c r="AD71" s="313">
        <f>-AD44/AD42</f>
        <v>0.215</v>
      </c>
      <c r="AE71" s="316">
        <f>Drivers!AE69</f>
        <v>0.216</v>
      </c>
      <c r="AF71" s="316">
        <f>Drivers!AF69</f>
        <v>0.215</v>
      </c>
      <c r="AG71" s="316">
        <f>Drivers!AG69</f>
        <v>0.214</v>
      </c>
      <c r="AH71" s="9"/>
      <c r="AI71" s="9"/>
      <c r="AJ71" s="9"/>
      <c r="AK71" s="9"/>
    </row>
    <row r="72" spans="1:37" ht="13.5" customHeight="1" x14ac:dyDescent="0.25">
      <c r="A72" s="205"/>
      <c r="B72" s="37"/>
      <c r="C72" s="9"/>
      <c r="D72" s="37"/>
      <c r="E72" s="37"/>
      <c r="F72" s="254"/>
      <c r="G72" s="254"/>
      <c r="H72" s="254"/>
      <c r="I72" s="254"/>
      <c r="J72" s="132"/>
      <c r="K72" s="254"/>
      <c r="L72" s="254"/>
      <c r="M72" s="254"/>
      <c r="N72" s="254"/>
      <c r="O72" s="132"/>
      <c r="P72" s="254"/>
      <c r="Q72" s="254"/>
      <c r="R72" s="254"/>
      <c r="S72" s="254"/>
      <c r="T72" s="132"/>
      <c r="U72" s="254"/>
      <c r="V72" s="257"/>
      <c r="W72" s="257"/>
      <c r="X72" s="257"/>
      <c r="Y72" s="132"/>
      <c r="Z72" s="257"/>
      <c r="AA72" s="257"/>
      <c r="AB72" s="257"/>
      <c r="AC72" s="257"/>
      <c r="AD72" s="132"/>
      <c r="AE72" s="132"/>
      <c r="AF72" s="132"/>
      <c r="AG72" s="132"/>
      <c r="AH72" s="9"/>
      <c r="AI72" s="9"/>
      <c r="AJ72" s="9"/>
      <c r="AK72" s="9"/>
    </row>
    <row r="73" spans="1:37" ht="13.5" customHeight="1" x14ac:dyDescent="0.25">
      <c r="A73" s="205" t="s">
        <v>0</v>
      </c>
      <c r="B73" s="37"/>
      <c r="C73" s="50" t="s">
        <v>281</v>
      </c>
      <c r="D73" s="12"/>
      <c r="E73" s="12"/>
      <c r="F73" s="248" t="str">
        <f>F$25</f>
        <v>1Q23</v>
      </c>
      <c r="G73" s="51" t="str">
        <f t="shared" ref="G73:AG73" si="126">G$63</f>
        <v>2Q23</v>
      </c>
      <c r="H73" s="51" t="str">
        <f t="shared" si="126"/>
        <v>3Q23</v>
      </c>
      <c r="I73" s="51" t="str">
        <f t="shared" si="126"/>
        <v>4Q23</v>
      </c>
      <c r="J73" s="51">
        <f t="shared" si="126"/>
        <v>2023</v>
      </c>
      <c r="K73" s="51" t="str">
        <f t="shared" si="126"/>
        <v>1Q24</v>
      </c>
      <c r="L73" s="51" t="str">
        <f t="shared" si="126"/>
        <v>2Q24</v>
      </c>
      <c r="M73" s="51" t="str">
        <f t="shared" si="126"/>
        <v>3Q24</v>
      </c>
      <c r="N73" s="51" t="str">
        <f t="shared" si="126"/>
        <v>4Q24</v>
      </c>
      <c r="O73" s="51">
        <f t="shared" si="126"/>
        <v>2024</v>
      </c>
      <c r="P73" s="51" t="str">
        <f t="shared" si="126"/>
        <v>1Q25</v>
      </c>
      <c r="Q73" s="51" t="str">
        <f t="shared" si="126"/>
        <v>2Q25</v>
      </c>
      <c r="R73" s="51" t="str">
        <f t="shared" si="126"/>
        <v>3Q25</v>
      </c>
      <c r="S73" s="51" t="str">
        <f t="shared" si="126"/>
        <v>4Q25</v>
      </c>
      <c r="T73" s="51">
        <f t="shared" si="126"/>
        <v>2025</v>
      </c>
      <c r="U73" s="51" t="str">
        <f t="shared" si="126"/>
        <v>1Q26</v>
      </c>
      <c r="V73" s="51" t="str">
        <f t="shared" si="126"/>
        <v>2Q26e</v>
      </c>
      <c r="W73" s="51" t="str">
        <f t="shared" si="126"/>
        <v>3Q26e</v>
      </c>
      <c r="X73" s="51" t="str">
        <f t="shared" si="126"/>
        <v>4Q26e</v>
      </c>
      <c r="Y73" s="51" t="str">
        <f t="shared" si="126"/>
        <v>2026e</v>
      </c>
      <c r="Z73" s="51" t="str">
        <f t="shared" si="126"/>
        <v>1Q27e</v>
      </c>
      <c r="AA73" s="51" t="str">
        <f t="shared" si="126"/>
        <v>2Q27e</v>
      </c>
      <c r="AB73" s="51" t="str">
        <f t="shared" si="126"/>
        <v>3Q27e</v>
      </c>
      <c r="AC73" s="51" t="str">
        <f t="shared" si="126"/>
        <v>4Q27e</v>
      </c>
      <c r="AD73" s="51" t="str">
        <f t="shared" si="126"/>
        <v>2027e</v>
      </c>
      <c r="AE73" s="51" t="str">
        <f t="shared" si="126"/>
        <v>2028e</v>
      </c>
      <c r="AF73" s="51" t="str">
        <f t="shared" si="126"/>
        <v>2029e</v>
      </c>
      <c r="AG73" s="52" t="str">
        <f t="shared" si="126"/>
        <v>2030e</v>
      </c>
      <c r="AH73" s="205" t="s">
        <v>0</v>
      </c>
      <c r="AI73" s="9"/>
      <c r="AJ73" s="9"/>
      <c r="AK73" s="9"/>
    </row>
    <row r="74" spans="1:37" ht="13.5" customHeight="1" x14ac:dyDescent="0.25">
      <c r="A74" s="205"/>
      <c r="B74" s="9"/>
      <c r="C74" s="9"/>
      <c r="D74" s="9"/>
      <c r="E74" s="9"/>
      <c r="F74" s="250"/>
      <c r="G74" s="250"/>
      <c r="H74" s="317"/>
      <c r="I74" s="250"/>
      <c r="J74" s="9"/>
      <c r="K74" s="250"/>
      <c r="L74" s="250"/>
      <c r="M74" s="317"/>
      <c r="N74" s="250"/>
      <c r="O74" s="9"/>
      <c r="P74" s="250"/>
      <c r="Q74" s="250"/>
      <c r="R74" s="317"/>
      <c r="S74" s="250"/>
      <c r="T74" s="9"/>
      <c r="U74" s="250"/>
      <c r="V74" s="251"/>
      <c r="W74" s="318"/>
      <c r="X74" s="251"/>
      <c r="Y74" s="9"/>
      <c r="Z74" s="251"/>
      <c r="AA74" s="251"/>
      <c r="AB74" s="318"/>
      <c r="AC74" s="251"/>
      <c r="AD74" s="9"/>
      <c r="AE74" s="9"/>
      <c r="AF74" s="9"/>
      <c r="AG74" s="9"/>
      <c r="AH74" s="9"/>
      <c r="AI74" s="9"/>
      <c r="AJ74" s="9"/>
      <c r="AK74" s="9"/>
    </row>
    <row r="75" spans="1:37" ht="13.5" customHeight="1" x14ac:dyDescent="0.25">
      <c r="A75" s="205"/>
      <c r="B75" s="9"/>
      <c r="C75" s="103" t="s">
        <v>282</v>
      </c>
      <c r="D75" s="9"/>
      <c r="E75" s="9"/>
      <c r="F75" s="319"/>
      <c r="G75" s="319"/>
      <c r="H75" s="319"/>
      <c r="I75" s="319"/>
      <c r="J75" s="126"/>
      <c r="K75" s="319"/>
      <c r="L75" s="319"/>
      <c r="M75" s="319"/>
      <c r="N75" s="319"/>
      <c r="O75" s="126"/>
      <c r="P75" s="319"/>
      <c r="Q75" s="319"/>
      <c r="R75" s="319"/>
      <c r="S75" s="319"/>
      <c r="T75" s="126"/>
      <c r="U75" s="319"/>
      <c r="V75" s="294">
        <f>V45</f>
        <v>2953.3484695859979</v>
      </c>
      <c r="W75" s="294">
        <f>W45</f>
        <v>3254.4002979984007</v>
      </c>
      <c r="X75" s="294">
        <f>X45</f>
        <v>3471.6294806200799</v>
      </c>
      <c r="Y75" s="126">
        <f t="shared" ref="Y75:Y80" si="127">SUM(U75:X75)</f>
        <v>9679.378248204479</v>
      </c>
      <c r="Z75" s="294">
        <f>Z45</f>
        <v>3528.0570427594084</v>
      </c>
      <c r="AA75" s="294">
        <f>AA45</f>
        <v>3774.856527622725</v>
      </c>
      <c r="AB75" s="294">
        <f>AB45</f>
        <v>4050.1688526399221</v>
      </c>
      <c r="AC75" s="294">
        <f>AC45</f>
        <v>4263.0795759377934</v>
      </c>
      <c r="AD75" s="126">
        <f t="shared" ref="AD75:AD80" si="128">SUM(Z75:AC75)</f>
        <v>15616.161998959851</v>
      </c>
      <c r="AE75" s="126">
        <f>AE45</f>
        <v>17841.06166189666</v>
      </c>
      <c r="AF75" s="126">
        <f>AF45</f>
        <v>19545.188056927778</v>
      </c>
      <c r="AG75" s="126">
        <f>AG45</f>
        <v>21063.726501004181</v>
      </c>
      <c r="AH75" s="9"/>
      <c r="AI75" s="9"/>
      <c r="AJ75" s="9"/>
      <c r="AK75" s="9"/>
    </row>
    <row r="76" spans="1:37" ht="13.5" customHeight="1" x14ac:dyDescent="0.25">
      <c r="A76" s="205"/>
      <c r="B76" s="9"/>
      <c r="C76" s="103" t="s">
        <v>265</v>
      </c>
      <c r="D76" s="9"/>
      <c r="E76" s="9"/>
      <c r="F76" s="319"/>
      <c r="G76" s="319"/>
      <c r="H76" s="319"/>
      <c r="I76" s="319"/>
      <c r="J76" s="126"/>
      <c r="K76" s="319"/>
      <c r="L76" s="319"/>
      <c r="M76" s="319"/>
      <c r="N76" s="319"/>
      <c r="O76" s="126"/>
      <c r="P76" s="319"/>
      <c r="Q76" s="319"/>
      <c r="R76" s="319"/>
      <c r="S76" s="319"/>
      <c r="T76" s="126"/>
      <c r="U76" s="319"/>
      <c r="V76" s="294">
        <f t="shared" ref="V76:X76" si="129">-(V194+V208)</f>
        <v>568.95935114101576</v>
      </c>
      <c r="W76" s="294">
        <f t="shared" si="129"/>
        <v>573.76780703883969</v>
      </c>
      <c r="X76" s="294">
        <f t="shared" si="129"/>
        <v>574.28974124429658</v>
      </c>
      <c r="Y76" s="126">
        <f t="shared" si="127"/>
        <v>1717.0168994241521</v>
      </c>
      <c r="Z76" s="294">
        <f t="shared" ref="Z76:AC76" si="130">-(Z194+Z208)</f>
        <v>574.58995910846386</v>
      </c>
      <c r="AA76" s="294">
        <f t="shared" si="130"/>
        <v>578.36971186666483</v>
      </c>
      <c r="AB76" s="294">
        <f t="shared" si="130"/>
        <v>580.3130817961229</v>
      </c>
      <c r="AC76" s="294">
        <f t="shared" si="130"/>
        <v>581.30234087905876</v>
      </c>
      <c r="AD76" s="126">
        <f t="shared" si="128"/>
        <v>2314.57509365031</v>
      </c>
      <c r="AE76" s="126">
        <f t="shared" ref="AE76:AG76" si="131">-(AE194+AE208)</f>
        <v>2352.1884470558657</v>
      </c>
      <c r="AF76" s="126">
        <f t="shared" si="131"/>
        <v>2344.2727434071144</v>
      </c>
      <c r="AG76" s="126">
        <f t="shared" si="131"/>
        <v>2557.6407939801302</v>
      </c>
      <c r="AH76" s="9"/>
      <c r="AI76" s="9"/>
      <c r="AJ76" s="9"/>
      <c r="AK76" s="9"/>
    </row>
    <row r="77" spans="1:37" ht="13.5" customHeight="1" x14ac:dyDescent="0.25">
      <c r="A77" s="205"/>
      <c r="B77" s="9"/>
      <c r="C77" s="103" t="s">
        <v>283</v>
      </c>
      <c r="D77" s="9"/>
      <c r="E77" s="9"/>
      <c r="F77" s="293"/>
      <c r="G77" s="293"/>
      <c r="H77" s="293"/>
      <c r="I77" s="293"/>
      <c r="J77" s="126"/>
      <c r="K77" s="293"/>
      <c r="L77" s="293"/>
      <c r="M77" s="293"/>
      <c r="N77" s="293"/>
      <c r="O77" s="126"/>
      <c r="P77" s="293"/>
      <c r="Q77" s="293"/>
      <c r="R77" s="293"/>
      <c r="S77" s="293"/>
      <c r="T77" s="126"/>
      <c r="U77" s="293"/>
      <c r="V77" s="294">
        <f t="shared" ref="V77:X77" si="132">V246</f>
        <v>211.2561402777778</v>
      </c>
      <c r="W77" s="294">
        <f t="shared" si="132"/>
        <v>217.03343423611111</v>
      </c>
      <c r="X77" s="294">
        <f t="shared" si="132"/>
        <v>224.82055924222223</v>
      </c>
      <c r="Y77" s="126">
        <f t="shared" si="127"/>
        <v>653.11013375611117</v>
      </c>
      <c r="Z77" s="294">
        <f t="shared" ref="Z77:AC77" si="133">Z246</f>
        <v>224.21866412609998</v>
      </c>
      <c r="AA77" s="294">
        <f t="shared" si="133"/>
        <v>234.53852635525999</v>
      </c>
      <c r="AB77" s="294">
        <f t="shared" si="133"/>
        <v>240.17996129293456</v>
      </c>
      <c r="AC77" s="294">
        <f t="shared" si="133"/>
        <v>249.46080182555707</v>
      </c>
      <c r="AD77" s="126">
        <f t="shared" si="128"/>
        <v>948.39795359985158</v>
      </c>
      <c r="AE77" s="126">
        <f t="shared" ref="AE77:AG77" si="134">AE246</f>
        <v>1017.3227093440818</v>
      </c>
      <c r="AF77" s="126">
        <f t="shared" si="134"/>
        <v>1088.5464968276519</v>
      </c>
      <c r="AG77" s="126">
        <f t="shared" si="134"/>
        <v>1155.3916379214531</v>
      </c>
      <c r="AH77" s="9"/>
      <c r="AI77" s="9"/>
      <c r="AJ77" s="9"/>
      <c r="AK77" s="9"/>
    </row>
    <row r="78" spans="1:37" ht="13.5" customHeight="1" x14ac:dyDescent="0.25">
      <c r="A78" s="205"/>
      <c r="B78" s="9"/>
      <c r="C78" s="103" t="s">
        <v>284</v>
      </c>
      <c r="D78" s="9"/>
      <c r="E78" s="9"/>
      <c r="F78" s="293"/>
      <c r="G78" s="293"/>
      <c r="H78" s="293"/>
      <c r="I78" s="293"/>
      <c r="J78" s="126"/>
      <c r="K78" s="293"/>
      <c r="L78" s="293"/>
      <c r="M78" s="293"/>
      <c r="N78" s="293"/>
      <c r="O78" s="126"/>
      <c r="P78" s="293"/>
      <c r="Q78" s="293"/>
      <c r="R78" s="293"/>
      <c r="S78" s="293"/>
      <c r="T78" s="126"/>
      <c r="U78" s="293"/>
      <c r="V78" s="294">
        <f t="shared" ref="V78:X78" si="135">V174</f>
        <v>-60373.395707999967</v>
      </c>
      <c r="W78" s="294">
        <f t="shared" si="135"/>
        <v>1898.1097773781948</v>
      </c>
      <c r="X78" s="294">
        <f t="shared" si="135"/>
        <v>3895.095656967198</v>
      </c>
      <c r="Y78" s="126">
        <f t="shared" si="127"/>
        <v>-54580.190273654574</v>
      </c>
      <c r="Z78" s="294">
        <f t="shared" ref="Z78:AC78" si="136">Z174</f>
        <v>1621.9518072580977</v>
      </c>
      <c r="AA78" s="294">
        <f t="shared" si="136"/>
        <v>5597.6920269628754</v>
      </c>
      <c r="AB78" s="294">
        <f t="shared" si="136"/>
        <v>1942.2739929495438</v>
      </c>
      <c r="AC78" s="294">
        <f t="shared" si="136"/>
        <v>4491.54191876603</v>
      </c>
      <c r="AD78" s="126">
        <f t="shared" si="128"/>
        <v>13653.459745936547</v>
      </c>
      <c r="AE78" s="126">
        <f t="shared" ref="AE78:AG78" si="137">AE174</f>
        <v>3989.4394472718704</v>
      </c>
      <c r="AF78" s="126">
        <f t="shared" si="137"/>
        <v>10280.829616562289</v>
      </c>
      <c r="AG78" s="126">
        <f t="shared" si="137"/>
        <v>9322.0113959455048</v>
      </c>
      <c r="AH78" s="9"/>
      <c r="AI78" s="9"/>
      <c r="AJ78" s="9"/>
      <c r="AK78" s="9"/>
    </row>
    <row r="79" spans="1:37" ht="13.5" customHeight="1" x14ac:dyDescent="0.25">
      <c r="A79" s="205"/>
      <c r="B79" s="9"/>
      <c r="C79" s="103" t="s">
        <v>285</v>
      </c>
      <c r="D79" s="9"/>
      <c r="E79" s="9"/>
      <c r="F79" s="289"/>
      <c r="G79" s="289"/>
      <c r="H79" s="289"/>
      <c r="I79" s="289"/>
      <c r="J79" s="290"/>
      <c r="K79" s="289"/>
      <c r="L79" s="289"/>
      <c r="M79" s="289"/>
      <c r="N79" s="289"/>
      <c r="O79" s="290"/>
      <c r="P79" s="289"/>
      <c r="Q79" s="289"/>
      <c r="R79" s="289"/>
      <c r="S79" s="289"/>
      <c r="T79" s="290"/>
      <c r="U79" s="289"/>
      <c r="V79" s="291">
        <f t="shared" ref="V79:X79" si="138">V228</f>
        <v>-1493.0160000000033</v>
      </c>
      <c r="W79" s="291">
        <f t="shared" si="138"/>
        <v>-1185.3125120000041</v>
      </c>
      <c r="X79" s="291">
        <f t="shared" si="138"/>
        <v>-1337.9214979199969</v>
      </c>
      <c r="Y79" s="290">
        <f t="shared" si="127"/>
        <v>-4016.2500099200042</v>
      </c>
      <c r="Z79" s="291">
        <f t="shared" ref="Z79:AC79" si="139">Z228</f>
        <v>-1701.2627504265547</v>
      </c>
      <c r="AA79" s="291">
        <f t="shared" si="139"/>
        <v>-1403.0274338517847</v>
      </c>
      <c r="AB79" s="291">
        <f t="shared" si="139"/>
        <v>-1322.724746020147</v>
      </c>
      <c r="AC79" s="291">
        <f t="shared" si="139"/>
        <v>-1583.6855378478649</v>
      </c>
      <c r="AD79" s="290">
        <f t="shared" si="128"/>
        <v>-6010.7004681463513</v>
      </c>
      <c r="AE79" s="290">
        <f t="shared" ref="AE79:AG79" si="140">AE228</f>
        <v>-6608.3678193196247</v>
      </c>
      <c r="AF79" s="290">
        <f t="shared" si="140"/>
        <v>-7305.6645616340465</v>
      </c>
      <c r="AG79" s="290">
        <f t="shared" si="140"/>
        <v>-8031.0126859677039</v>
      </c>
      <c r="AH79" s="9"/>
      <c r="AI79" s="9"/>
      <c r="AJ79" s="9"/>
      <c r="AK79" s="9"/>
    </row>
    <row r="80" spans="1:37" ht="13.5" customHeight="1" x14ac:dyDescent="0.25">
      <c r="A80" s="205"/>
      <c r="B80" s="9"/>
      <c r="C80" s="103" t="s">
        <v>286</v>
      </c>
      <c r="D80" s="9"/>
      <c r="E80" s="9"/>
      <c r="F80" s="288"/>
      <c r="G80" s="288"/>
      <c r="H80" s="288"/>
      <c r="I80" s="288"/>
      <c r="J80" s="222"/>
      <c r="K80" s="288"/>
      <c r="L80" s="288"/>
      <c r="M80" s="288"/>
      <c r="N80" s="288"/>
      <c r="O80" s="222"/>
      <c r="P80" s="288"/>
      <c r="Q80" s="288"/>
      <c r="R80" s="288"/>
      <c r="S80" s="288"/>
      <c r="T80" s="222"/>
      <c r="U80" s="288"/>
      <c r="V80" s="221">
        <f t="shared" ref="V80:X80" si="141">SUM(V75:V79)</f>
        <v>-58132.847746995176</v>
      </c>
      <c r="W80" s="221">
        <f t="shared" si="141"/>
        <v>4757.9988046515427</v>
      </c>
      <c r="X80" s="221">
        <f t="shared" si="141"/>
        <v>6827.9139401537996</v>
      </c>
      <c r="Y80" s="222">
        <f t="shared" si="127"/>
        <v>-46546.935002189835</v>
      </c>
      <c r="Z80" s="221">
        <f t="shared" ref="Z80:AC80" si="142">SUM(Z75:Z79)</f>
        <v>4247.5547228255145</v>
      </c>
      <c r="AA80" s="221">
        <f t="shared" si="142"/>
        <v>8782.4293589557401</v>
      </c>
      <c r="AB80" s="221">
        <f t="shared" si="142"/>
        <v>5490.211142658376</v>
      </c>
      <c r="AC80" s="221">
        <f t="shared" si="142"/>
        <v>8001.6990995605738</v>
      </c>
      <c r="AD80" s="222">
        <f t="shared" si="128"/>
        <v>26521.894324000205</v>
      </c>
      <c r="AE80" s="222">
        <f t="shared" ref="AE80:AG80" si="143">SUM(AE75:AE79)</f>
        <v>18591.644446248851</v>
      </c>
      <c r="AF80" s="222">
        <f t="shared" si="143"/>
        <v>25953.172352090784</v>
      </c>
      <c r="AG80" s="222">
        <f t="shared" si="143"/>
        <v>26067.757642883567</v>
      </c>
      <c r="AH80" s="9"/>
      <c r="AI80" s="9"/>
      <c r="AJ80" s="9"/>
      <c r="AK80" s="9"/>
    </row>
    <row r="81" spans="1:37" ht="13.5" customHeight="1" x14ac:dyDescent="0.25">
      <c r="A81" s="205"/>
      <c r="B81" s="9"/>
      <c r="C81" s="9"/>
      <c r="D81" s="9"/>
      <c r="E81" s="9"/>
      <c r="F81" s="250"/>
      <c r="G81" s="288"/>
      <c r="H81" s="288"/>
      <c r="I81" s="250"/>
      <c r="J81" s="9"/>
      <c r="K81" s="250"/>
      <c r="L81" s="288"/>
      <c r="M81" s="288"/>
      <c r="N81" s="250"/>
      <c r="O81" s="9"/>
      <c r="P81" s="250"/>
      <c r="Q81" s="288"/>
      <c r="R81" s="288"/>
      <c r="S81" s="250"/>
      <c r="T81" s="9"/>
      <c r="U81" s="250"/>
      <c r="V81" s="221"/>
      <c r="W81" s="221"/>
      <c r="X81" s="221"/>
      <c r="Y81" s="9"/>
      <c r="Z81" s="221"/>
      <c r="AA81" s="221"/>
      <c r="AB81" s="221"/>
      <c r="AC81" s="221"/>
      <c r="AD81" s="9"/>
      <c r="AE81" s="222"/>
      <c r="AF81" s="222"/>
      <c r="AG81" s="222"/>
      <c r="AH81" s="9"/>
      <c r="AI81" s="9"/>
      <c r="AJ81" s="9"/>
      <c r="AK81" s="9"/>
    </row>
    <row r="82" spans="1:37" ht="13.5" customHeight="1" x14ac:dyDescent="0.25">
      <c r="A82" s="205"/>
      <c r="B82" s="9"/>
      <c r="C82" s="103" t="s">
        <v>116</v>
      </c>
      <c r="D82" s="9"/>
      <c r="E82" s="9"/>
      <c r="F82" s="293"/>
      <c r="G82" s="293"/>
      <c r="H82" s="293"/>
      <c r="I82" s="293"/>
      <c r="J82" s="126"/>
      <c r="K82" s="293"/>
      <c r="L82" s="293"/>
      <c r="M82" s="293"/>
      <c r="N82" s="293"/>
      <c r="O82" s="126"/>
      <c r="P82" s="293"/>
      <c r="Q82" s="293"/>
      <c r="R82" s="293"/>
      <c r="S82" s="293"/>
      <c r="T82" s="126"/>
      <c r="U82" s="293"/>
      <c r="V82" s="294">
        <f t="shared" ref="V82:X82" si="144">-V193</f>
        <v>-630.14688700000011</v>
      </c>
      <c r="W82" s="294">
        <f t="shared" si="144"/>
        <v>-580.40941269999996</v>
      </c>
      <c r="X82" s="294">
        <f t="shared" si="144"/>
        <v>-578.11000948000003</v>
      </c>
      <c r="Y82" s="126">
        <f t="shared" ref="Y82:Y85" si="145">SUM(U82:X82)</f>
        <v>-1788.6663091800001</v>
      </c>
      <c r="Z82" s="294">
        <f t="shared" ref="Z82:AC82" si="146">-Z193</f>
        <v>-622.68726151591193</v>
      </c>
      <c r="AA82" s="294">
        <f t="shared" si="146"/>
        <v>-603.09906777066851</v>
      </c>
      <c r="AB82" s="294">
        <f t="shared" si="146"/>
        <v>-592.90139016312992</v>
      </c>
      <c r="AC82" s="294">
        <f t="shared" si="146"/>
        <v>-667.12945859634681</v>
      </c>
      <c r="AD82" s="126">
        <f t="shared" ref="AD82:AD85" si="147">SUM(Z82:AC82)</f>
        <v>-2485.8171780460571</v>
      </c>
      <c r="AE82" s="126">
        <f t="shared" ref="AE82:AG82" si="148">-AE193</f>
        <v>-2327.0066417555263</v>
      </c>
      <c r="AF82" s="126">
        <f t="shared" si="148"/>
        <v>-3023.0491283327933</v>
      </c>
      <c r="AG82" s="126">
        <f t="shared" si="148"/>
        <v>-2879.4040499879652</v>
      </c>
      <c r="AH82" s="9"/>
      <c r="AI82" s="9"/>
      <c r="AJ82" s="9"/>
      <c r="AK82" s="9"/>
    </row>
    <row r="83" spans="1:37" ht="13.5" customHeight="1" x14ac:dyDescent="0.25">
      <c r="A83" s="205"/>
      <c r="B83" s="9"/>
      <c r="C83" s="103" t="s">
        <v>287</v>
      </c>
      <c r="D83" s="9"/>
      <c r="E83" s="9"/>
      <c r="F83" s="293"/>
      <c r="G83" s="293"/>
      <c r="H83" s="293"/>
      <c r="I83" s="293"/>
      <c r="J83" s="126"/>
      <c r="K83" s="293"/>
      <c r="L83" s="293"/>
      <c r="M83" s="293"/>
      <c r="N83" s="293"/>
      <c r="O83" s="126"/>
      <c r="P83" s="293"/>
      <c r="Q83" s="293"/>
      <c r="R83" s="293"/>
      <c r="S83" s="293"/>
      <c r="T83" s="126"/>
      <c r="U83" s="293"/>
      <c r="V83" s="294">
        <f t="shared" ref="V83:X83" si="149">-V207</f>
        <v>0</v>
      </c>
      <c r="W83" s="294">
        <f t="shared" si="149"/>
        <v>0</v>
      </c>
      <c r="X83" s="294">
        <f t="shared" si="149"/>
        <v>0</v>
      </c>
      <c r="Y83" s="126">
        <f t="shared" si="145"/>
        <v>0</v>
      </c>
      <c r="Z83" s="294">
        <f t="shared" ref="Z83:AC83" si="150">-Z207</f>
        <v>0</v>
      </c>
      <c r="AA83" s="294">
        <f t="shared" si="150"/>
        <v>0</v>
      </c>
      <c r="AB83" s="294">
        <f t="shared" si="150"/>
        <v>0</v>
      </c>
      <c r="AC83" s="294">
        <f t="shared" si="150"/>
        <v>0</v>
      </c>
      <c r="AD83" s="126">
        <f t="shared" si="147"/>
        <v>0</v>
      </c>
      <c r="AE83" s="126">
        <f t="shared" ref="AE83:AG83" si="151">-AE207</f>
        <v>0</v>
      </c>
      <c r="AF83" s="126">
        <f t="shared" si="151"/>
        <v>0</v>
      </c>
      <c r="AG83" s="126">
        <f t="shared" si="151"/>
        <v>0</v>
      </c>
      <c r="AH83" s="9"/>
      <c r="AI83" s="9"/>
      <c r="AJ83" s="9"/>
      <c r="AK83" s="9"/>
    </row>
    <row r="84" spans="1:37" ht="13.5" customHeight="1" x14ac:dyDescent="0.25">
      <c r="A84" s="205"/>
      <c r="B84" s="9"/>
      <c r="C84" s="103" t="s">
        <v>288</v>
      </c>
      <c r="D84" s="9"/>
      <c r="E84" s="9"/>
      <c r="F84" s="289"/>
      <c r="G84" s="289"/>
      <c r="H84" s="289"/>
      <c r="I84" s="289"/>
      <c r="J84" s="290"/>
      <c r="K84" s="289"/>
      <c r="L84" s="289"/>
      <c r="M84" s="289"/>
      <c r="N84" s="289"/>
      <c r="O84" s="290"/>
      <c r="P84" s="289"/>
      <c r="Q84" s="289"/>
      <c r="R84" s="289"/>
      <c r="S84" s="289"/>
      <c r="T84" s="290"/>
      <c r="U84" s="289"/>
      <c r="V84" s="320">
        <f>Drivers!V99</f>
        <v>0</v>
      </c>
      <c r="W84" s="320">
        <f>Drivers!W99</f>
        <v>0</v>
      </c>
      <c r="X84" s="320">
        <f>Drivers!X99</f>
        <v>0</v>
      </c>
      <c r="Y84" s="290">
        <f t="shared" si="145"/>
        <v>0</v>
      </c>
      <c r="Z84" s="320">
        <f>Drivers!Z99</f>
        <v>0</v>
      </c>
      <c r="AA84" s="320">
        <f>Drivers!AA99</f>
        <v>0</v>
      </c>
      <c r="AB84" s="320">
        <f>Drivers!AB99</f>
        <v>0</v>
      </c>
      <c r="AC84" s="320">
        <f>Drivers!AC99</f>
        <v>0</v>
      </c>
      <c r="AD84" s="290">
        <f t="shared" si="147"/>
        <v>0</v>
      </c>
      <c r="AE84" s="290">
        <f>Drivers!AE99</f>
        <v>0</v>
      </c>
      <c r="AF84" s="290">
        <f>Drivers!AF99</f>
        <v>0</v>
      </c>
      <c r="AG84" s="290">
        <f>Drivers!AG99</f>
        <v>0</v>
      </c>
      <c r="AH84" s="9"/>
      <c r="AI84" s="9"/>
      <c r="AJ84" s="9"/>
      <c r="AK84" s="9"/>
    </row>
    <row r="85" spans="1:37" ht="13.5" customHeight="1" x14ac:dyDescent="0.25">
      <c r="A85" s="205"/>
      <c r="B85" s="9"/>
      <c r="C85" s="103" t="s">
        <v>289</v>
      </c>
      <c r="D85" s="9"/>
      <c r="E85" s="9"/>
      <c r="F85" s="288"/>
      <c r="G85" s="288"/>
      <c r="H85" s="288"/>
      <c r="I85" s="288"/>
      <c r="J85" s="222"/>
      <c r="K85" s="288"/>
      <c r="L85" s="288"/>
      <c r="M85" s="288"/>
      <c r="N85" s="288"/>
      <c r="O85" s="222"/>
      <c r="P85" s="288"/>
      <c r="Q85" s="288"/>
      <c r="R85" s="288"/>
      <c r="S85" s="288"/>
      <c r="T85" s="222"/>
      <c r="U85" s="288"/>
      <c r="V85" s="221">
        <f t="shared" ref="V85:X85" si="152">SUM(V82:V84)</f>
        <v>-630.14688700000011</v>
      </c>
      <c r="W85" s="221">
        <f t="shared" si="152"/>
        <v>-580.40941269999996</v>
      </c>
      <c r="X85" s="221">
        <f t="shared" si="152"/>
        <v>-578.11000948000003</v>
      </c>
      <c r="Y85" s="222">
        <f t="shared" si="145"/>
        <v>-1788.6663091800001</v>
      </c>
      <c r="Z85" s="221">
        <f t="shared" ref="Z85:AC85" si="153">SUM(Z82:Z84)</f>
        <v>-622.68726151591193</v>
      </c>
      <c r="AA85" s="221">
        <f t="shared" si="153"/>
        <v>-603.09906777066851</v>
      </c>
      <c r="AB85" s="221">
        <f t="shared" si="153"/>
        <v>-592.90139016312992</v>
      </c>
      <c r="AC85" s="221">
        <f t="shared" si="153"/>
        <v>-667.12945859634681</v>
      </c>
      <c r="AD85" s="222">
        <f t="shared" si="147"/>
        <v>-2485.8171780460571</v>
      </c>
      <c r="AE85" s="222">
        <f t="shared" ref="AE85:AG85" si="154">SUM(AE82:AE84)</f>
        <v>-2327.0066417555263</v>
      </c>
      <c r="AF85" s="222">
        <f t="shared" si="154"/>
        <v>-3023.0491283327933</v>
      </c>
      <c r="AG85" s="222">
        <f t="shared" si="154"/>
        <v>-2879.4040499879652</v>
      </c>
      <c r="AH85" s="9"/>
      <c r="AI85" s="9"/>
      <c r="AJ85" s="9"/>
      <c r="AK85" s="9"/>
    </row>
    <row r="86" spans="1:37" ht="13.5" customHeight="1" x14ac:dyDescent="0.25">
      <c r="A86" s="205"/>
      <c r="B86" s="9"/>
      <c r="C86" s="9"/>
      <c r="D86" s="9"/>
      <c r="E86" s="9"/>
      <c r="F86" s="250"/>
      <c r="G86" s="288"/>
      <c r="H86" s="250"/>
      <c r="I86" s="250"/>
      <c r="J86" s="9"/>
      <c r="K86" s="250"/>
      <c r="L86" s="288"/>
      <c r="M86" s="250"/>
      <c r="N86" s="250"/>
      <c r="O86" s="9"/>
      <c r="P86" s="250"/>
      <c r="Q86" s="288"/>
      <c r="R86" s="288"/>
      <c r="S86" s="250"/>
      <c r="T86" s="9"/>
      <c r="U86" s="250"/>
      <c r="V86" s="251"/>
      <c r="W86" s="251"/>
      <c r="X86" s="251"/>
      <c r="Y86" s="9"/>
      <c r="Z86" s="251"/>
      <c r="AA86" s="251"/>
      <c r="AB86" s="251"/>
      <c r="AC86" s="251"/>
      <c r="AD86" s="9"/>
      <c r="AE86" s="9"/>
      <c r="AF86" s="9"/>
      <c r="AG86" s="9"/>
      <c r="AH86" s="9"/>
      <c r="AI86" s="9"/>
      <c r="AJ86" s="9"/>
      <c r="AK86" s="9"/>
    </row>
    <row r="87" spans="1:37" ht="13.5" customHeight="1" x14ac:dyDescent="0.25">
      <c r="A87" s="205"/>
      <c r="B87" s="321"/>
      <c r="C87" s="322" t="s">
        <v>290</v>
      </c>
      <c r="D87" s="70"/>
      <c r="E87" s="70"/>
      <c r="F87" s="323"/>
      <c r="G87" s="323"/>
      <c r="H87" s="323"/>
      <c r="I87" s="323"/>
      <c r="J87" s="324"/>
      <c r="K87" s="323"/>
      <c r="L87" s="323"/>
      <c r="M87" s="323"/>
      <c r="N87" s="323"/>
      <c r="O87" s="324"/>
      <c r="P87" s="323"/>
      <c r="Q87" s="323"/>
      <c r="R87" s="323"/>
      <c r="S87" s="323"/>
      <c r="T87" s="324"/>
      <c r="U87" s="323"/>
      <c r="V87" s="325">
        <f t="shared" ref="V87:X87" si="155">SUM(V80,V85)</f>
        <v>-58762.994633995178</v>
      </c>
      <c r="W87" s="325">
        <f t="shared" si="155"/>
        <v>4177.5893919515429</v>
      </c>
      <c r="X87" s="325">
        <f t="shared" si="155"/>
        <v>6249.8039306737992</v>
      </c>
      <c r="Y87" s="324">
        <f>SUM(U87:X87)</f>
        <v>-48335.601311369835</v>
      </c>
      <c r="Z87" s="325">
        <f t="shared" ref="Z87:AC87" si="156">SUM(Z80,Z85)</f>
        <v>3624.8674613096027</v>
      </c>
      <c r="AA87" s="325">
        <f t="shared" si="156"/>
        <v>8179.3302911850715</v>
      </c>
      <c r="AB87" s="325">
        <f t="shared" si="156"/>
        <v>4897.3097524952464</v>
      </c>
      <c r="AC87" s="325">
        <f t="shared" si="156"/>
        <v>7334.5696409642269</v>
      </c>
      <c r="AD87" s="324">
        <f>SUM(Z87:AC87)</f>
        <v>24036.077145954147</v>
      </c>
      <c r="AE87" s="324">
        <f t="shared" ref="AE87:AG87" si="157">SUM(AE80,AE85)</f>
        <v>16264.637804493324</v>
      </c>
      <c r="AF87" s="324">
        <f t="shared" si="157"/>
        <v>22930.12322375799</v>
      </c>
      <c r="AG87" s="324">
        <f t="shared" si="157"/>
        <v>23188.353592895601</v>
      </c>
      <c r="AH87" s="9"/>
      <c r="AI87" s="9"/>
      <c r="AJ87" s="9"/>
      <c r="AK87" s="9"/>
    </row>
    <row r="88" spans="1:37" ht="13.5" customHeight="1" x14ac:dyDescent="0.25">
      <c r="A88" s="205"/>
      <c r="B88" s="9"/>
      <c r="C88" s="9"/>
      <c r="D88" s="9"/>
      <c r="E88" s="9"/>
      <c r="F88" s="250"/>
      <c r="G88" s="250"/>
      <c r="H88" s="250"/>
      <c r="I88" s="250"/>
      <c r="J88" s="9"/>
      <c r="K88" s="250"/>
      <c r="L88" s="250"/>
      <c r="M88" s="250"/>
      <c r="N88" s="250"/>
      <c r="O88" s="9"/>
      <c r="P88" s="250"/>
      <c r="Q88" s="250"/>
      <c r="R88" s="250"/>
      <c r="S88" s="250"/>
      <c r="T88" s="9"/>
      <c r="U88" s="250"/>
      <c r="V88" s="251"/>
      <c r="W88" s="251"/>
      <c r="X88" s="251"/>
      <c r="Y88" s="9"/>
      <c r="Z88" s="251"/>
      <c r="AA88" s="251"/>
      <c r="AB88" s="251"/>
      <c r="AC88" s="251"/>
      <c r="AD88" s="9"/>
      <c r="AE88" s="9"/>
      <c r="AF88" s="9"/>
      <c r="AG88" s="9"/>
      <c r="AH88" s="9"/>
      <c r="AI88" s="9"/>
      <c r="AJ88" s="9"/>
      <c r="AK88" s="9"/>
    </row>
    <row r="89" spans="1:37" ht="13.5" customHeight="1" x14ac:dyDescent="0.25">
      <c r="A89" s="205"/>
      <c r="B89" s="9"/>
      <c r="C89" s="103" t="s">
        <v>291</v>
      </c>
      <c r="D89" s="9"/>
      <c r="E89" s="9"/>
      <c r="F89" s="293"/>
      <c r="G89" s="293"/>
      <c r="H89" s="293"/>
      <c r="I89" s="293"/>
      <c r="J89" s="126"/>
      <c r="K89" s="293"/>
      <c r="L89" s="293"/>
      <c r="M89" s="293"/>
      <c r="N89" s="293"/>
      <c r="O89" s="126"/>
      <c r="P89" s="293"/>
      <c r="Q89" s="293"/>
      <c r="R89" s="293"/>
      <c r="S89" s="293"/>
      <c r="T89" s="126"/>
      <c r="U89" s="293"/>
      <c r="V89" s="294">
        <f t="shared" ref="V89:X89" ca="1" si="158">V303</f>
        <v>0</v>
      </c>
      <c r="W89" s="294">
        <f t="shared" ca="1" si="158"/>
        <v>0</v>
      </c>
      <c r="X89" s="294">
        <f t="shared" ca="1" si="158"/>
        <v>0</v>
      </c>
      <c r="Y89" s="126">
        <f t="shared" ref="Y89:Y96" ca="1" si="159">SUM(U89:X89)</f>
        <v>-1371</v>
      </c>
      <c r="Z89" s="294">
        <f t="shared" ref="Z89:AC89" ca="1" si="160">Z303</f>
        <v>0</v>
      </c>
      <c r="AA89" s="294">
        <f t="shared" ca="1" si="160"/>
        <v>0</v>
      </c>
      <c r="AB89" s="294">
        <f t="shared" ca="1" si="160"/>
        <v>0</v>
      </c>
      <c r="AC89" s="294">
        <f t="shared" ca="1" si="160"/>
        <v>0</v>
      </c>
      <c r="AD89" s="126">
        <f t="shared" ref="AD89:AD96" ca="1" si="161">SUM(Z89:AC89)</f>
        <v>0</v>
      </c>
      <c r="AE89" s="126">
        <f t="shared" ref="AE89:AG89" ca="1" si="162">AE303</f>
        <v>0</v>
      </c>
      <c r="AF89" s="126">
        <f t="shared" ca="1" si="162"/>
        <v>0</v>
      </c>
      <c r="AG89" s="126">
        <f t="shared" ca="1" si="162"/>
        <v>0</v>
      </c>
      <c r="AH89" s="9"/>
      <c r="AI89" s="9"/>
      <c r="AJ89" s="9"/>
      <c r="AK89" s="9"/>
    </row>
    <row r="90" spans="1:37" ht="13.5" customHeight="1" x14ac:dyDescent="0.25">
      <c r="A90" s="205"/>
      <c r="B90" s="9"/>
      <c r="C90" s="103" t="s">
        <v>292</v>
      </c>
      <c r="D90" s="9"/>
      <c r="E90" s="9"/>
      <c r="F90" s="293"/>
      <c r="G90" s="293"/>
      <c r="H90" s="293"/>
      <c r="I90" s="293"/>
      <c r="J90" s="126"/>
      <c r="K90" s="293"/>
      <c r="L90" s="293"/>
      <c r="M90" s="293"/>
      <c r="N90" s="293"/>
      <c r="O90" s="126"/>
      <c r="P90" s="293"/>
      <c r="Q90" s="293"/>
      <c r="R90" s="293"/>
      <c r="S90" s="293"/>
      <c r="T90" s="126"/>
      <c r="U90" s="293"/>
      <c r="V90" s="294">
        <f t="shared" ref="V90:X90" si="163">V308</f>
        <v>3200</v>
      </c>
      <c r="W90" s="294">
        <f t="shared" si="163"/>
        <v>3000</v>
      </c>
      <c r="X90" s="294">
        <f t="shared" si="163"/>
        <v>0</v>
      </c>
      <c r="Y90" s="126">
        <f t="shared" si="159"/>
        <v>6200</v>
      </c>
      <c r="Z90" s="294">
        <f t="shared" ref="Z90:AC90" si="164">Z308</f>
        <v>1200</v>
      </c>
      <c r="AA90" s="294">
        <f t="shared" si="164"/>
        <v>3500</v>
      </c>
      <c r="AB90" s="294">
        <f t="shared" si="164"/>
        <v>0</v>
      </c>
      <c r="AC90" s="294">
        <f t="shared" si="164"/>
        <v>0</v>
      </c>
      <c r="AD90" s="126">
        <f t="shared" si="161"/>
        <v>4700</v>
      </c>
      <c r="AE90" s="126">
        <f t="shared" ref="AE90:AG90" si="165">AE308</f>
        <v>6000</v>
      </c>
      <c r="AF90" s="126">
        <f t="shared" si="165"/>
        <v>6200</v>
      </c>
      <c r="AG90" s="126">
        <f t="shared" si="165"/>
        <v>6000</v>
      </c>
      <c r="AH90" s="9"/>
      <c r="AI90" s="9"/>
      <c r="AJ90" s="9"/>
      <c r="AK90" s="9"/>
    </row>
    <row r="91" spans="1:37" ht="13.5" customHeight="1" x14ac:dyDescent="0.25">
      <c r="A91" s="205"/>
      <c r="B91" s="9"/>
      <c r="C91" s="103" t="s">
        <v>293</v>
      </c>
      <c r="D91" s="9"/>
      <c r="E91" s="9"/>
      <c r="F91" s="293"/>
      <c r="G91" s="293"/>
      <c r="H91" s="293"/>
      <c r="I91" s="293"/>
      <c r="J91" s="126"/>
      <c r="K91" s="293"/>
      <c r="L91" s="293"/>
      <c r="M91" s="293"/>
      <c r="N91" s="293"/>
      <c r="O91" s="126"/>
      <c r="P91" s="293"/>
      <c r="Q91" s="293"/>
      <c r="R91" s="293"/>
      <c r="S91" s="293"/>
      <c r="T91" s="126"/>
      <c r="U91" s="293"/>
      <c r="V91" s="294">
        <f t="shared" ref="V91:X91" si="166">V309</f>
        <v>0</v>
      </c>
      <c r="W91" s="294">
        <f t="shared" si="166"/>
        <v>0</v>
      </c>
      <c r="X91" s="294">
        <f t="shared" si="166"/>
        <v>-2500</v>
      </c>
      <c r="Y91" s="126">
        <f t="shared" si="159"/>
        <v>-2500</v>
      </c>
      <c r="Z91" s="294">
        <f t="shared" ref="Z91:AC91" si="167">Z309</f>
        <v>0</v>
      </c>
      <c r="AA91" s="294">
        <f t="shared" si="167"/>
        <v>0</v>
      </c>
      <c r="AB91" s="294">
        <f t="shared" si="167"/>
        <v>0</v>
      </c>
      <c r="AC91" s="294">
        <f t="shared" si="167"/>
        <v>-3500</v>
      </c>
      <c r="AD91" s="126">
        <f t="shared" si="161"/>
        <v>-3500</v>
      </c>
      <c r="AE91" s="126">
        <f t="shared" ref="AE91:AG91" si="168">AE309</f>
        <v>-2000</v>
      </c>
      <c r="AF91" s="126">
        <f t="shared" si="168"/>
        <v>-2000</v>
      </c>
      <c r="AG91" s="126">
        <f t="shared" si="168"/>
        <v>-2000</v>
      </c>
      <c r="AH91" s="9"/>
      <c r="AI91" s="9"/>
      <c r="AJ91" s="9"/>
      <c r="AK91" s="9"/>
    </row>
    <row r="92" spans="1:37" ht="13.5" customHeight="1" x14ac:dyDescent="0.25">
      <c r="A92" s="205"/>
      <c r="B92" s="9"/>
      <c r="C92" s="103" t="s">
        <v>294</v>
      </c>
      <c r="D92" s="9"/>
      <c r="E92" s="9"/>
      <c r="F92" s="293"/>
      <c r="G92" s="293"/>
      <c r="H92" s="293"/>
      <c r="I92" s="293"/>
      <c r="J92" s="126"/>
      <c r="K92" s="293"/>
      <c r="L92" s="293"/>
      <c r="M92" s="293"/>
      <c r="N92" s="293"/>
      <c r="O92" s="126"/>
      <c r="P92" s="293"/>
      <c r="Q92" s="293"/>
      <c r="R92" s="293"/>
      <c r="S92" s="293"/>
      <c r="T92" s="126"/>
      <c r="U92" s="293"/>
      <c r="V92" s="294">
        <f t="shared" ref="V92:X92" si="169">V245</f>
        <v>0</v>
      </c>
      <c r="W92" s="294">
        <f t="shared" si="169"/>
        <v>0</v>
      </c>
      <c r="X92" s="294">
        <f t="shared" si="169"/>
        <v>0</v>
      </c>
      <c r="Y92" s="126">
        <f t="shared" si="159"/>
        <v>0</v>
      </c>
      <c r="Z92" s="294">
        <f t="shared" ref="Z92:AC92" si="170">Z245</f>
        <v>0</v>
      </c>
      <c r="AA92" s="294">
        <f t="shared" si="170"/>
        <v>0</v>
      </c>
      <c r="AB92" s="294">
        <f t="shared" si="170"/>
        <v>0</v>
      </c>
      <c r="AC92" s="294">
        <f t="shared" si="170"/>
        <v>0</v>
      </c>
      <c r="AD92" s="126">
        <f t="shared" si="161"/>
        <v>0</v>
      </c>
      <c r="AE92" s="126">
        <f t="shared" ref="AE92:AG92" si="171">AE245</f>
        <v>0</v>
      </c>
      <c r="AF92" s="126">
        <f t="shared" si="171"/>
        <v>0</v>
      </c>
      <c r="AG92" s="126">
        <f t="shared" si="171"/>
        <v>0</v>
      </c>
      <c r="AH92" s="9"/>
      <c r="AI92" s="9"/>
      <c r="AJ92" s="9"/>
      <c r="AK92" s="9"/>
    </row>
    <row r="93" spans="1:37" ht="13.5" customHeight="1" x14ac:dyDescent="0.25">
      <c r="A93" s="205"/>
      <c r="B93" s="9"/>
      <c r="C93" s="103" t="s">
        <v>295</v>
      </c>
      <c r="D93" s="9"/>
      <c r="E93" s="9"/>
      <c r="F93" s="293"/>
      <c r="G93" s="293"/>
      <c r="H93" s="293"/>
      <c r="I93" s="293"/>
      <c r="J93" s="126"/>
      <c r="K93" s="293"/>
      <c r="L93" s="293"/>
      <c r="M93" s="293"/>
      <c r="N93" s="293"/>
      <c r="O93" s="126"/>
      <c r="P93" s="293"/>
      <c r="Q93" s="293"/>
      <c r="R93" s="293"/>
      <c r="S93" s="293"/>
      <c r="T93" s="126"/>
      <c r="U93" s="293"/>
      <c r="V93" s="294">
        <f t="shared" ref="V93:X93" si="172">-V241</f>
        <v>-144.21250000000001</v>
      </c>
      <c r="W93" s="294">
        <f t="shared" si="172"/>
        <v>-144.21250000000001</v>
      </c>
      <c r="X93" s="294">
        <f t="shared" si="172"/>
        <v>-144.21250000000001</v>
      </c>
      <c r="Y93" s="126">
        <f t="shared" si="159"/>
        <v>-432.63750000000005</v>
      </c>
      <c r="Z93" s="294">
        <f t="shared" ref="Z93:AC93" si="173">-Z241</f>
        <v>-141.84888026861498</v>
      </c>
      <c r="AA93" s="294">
        <f t="shared" si="173"/>
        <v>-141.84888026861498</v>
      </c>
      <c r="AB93" s="294">
        <f t="shared" si="173"/>
        <v>-141.84888026861498</v>
      </c>
      <c r="AC93" s="294">
        <f t="shared" si="173"/>
        <v>-141.84888026861498</v>
      </c>
      <c r="AD93" s="126">
        <f t="shared" si="161"/>
        <v>-567.39552107445991</v>
      </c>
      <c r="AE93" s="126">
        <f t="shared" ref="AE93:AG93" si="174">-AE241</f>
        <v>-565.88144480616063</v>
      </c>
      <c r="AF93" s="126">
        <f t="shared" si="174"/>
        <v>-564.37140880053721</v>
      </c>
      <c r="AG93" s="126">
        <f t="shared" si="174"/>
        <v>-562.86540227628166</v>
      </c>
      <c r="AH93" s="9"/>
      <c r="AI93" s="9"/>
      <c r="AJ93" s="9"/>
      <c r="AK93" s="9"/>
    </row>
    <row r="94" spans="1:37" ht="13.5" customHeight="1" x14ac:dyDescent="0.25">
      <c r="A94" s="205"/>
      <c r="B94" s="9"/>
      <c r="C94" s="103" t="s">
        <v>296</v>
      </c>
      <c r="D94" s="9"/>
      <c r="E94" s="9"/>
      <c r="F94" s="293"/>
      <c r="G94" s="293"/>
      <c r="H94" s="293"/>
      <c r="I94" s="293"/>
      <c r="J94" s="126"/>
      <c r="K94" s="293"/>
      <c r="L94" s="293"/>
      <c r="M94" s="293"/>
      <c r="N94" s="293"/>
      <c r="O94" s="126"/>
      <c r="P94" s="293"/>
      <c r="Q94" s="293"/>
      <c r="R94" s="293"/>
      <c r="S94" s="293"/>
      <c r="T94" s="126"/>
      <c r="U94" s="293"/>
      <c r="V94" s="294">
        <f t="shared" ref="V94:X94" si="175">-V267</f>
        <v>-661.92000000000007</v>
      </c>
      <c r="W94" s="294">
        <f t="shared" si="175"/>
        <v>-656.53</v>
      </c>
      <c r="X94" s="294">
        <f t="shared" si="175"/>
        <v>-657.66</v>
      </c>
      <c r="Y94" s="126">
        <f t="shared" si="159"/>
        <v>-1976.1100000000001</v>
      </c>
      <c r="Z94" s="294">
        <f t="shared" ref="Z94:AC94" si="176">-Z267</f>
        <v>-752.57999999999993</v>
      </c>
      <c r="AA94" s="294">
        <f t="shared" si="176"/>
        <v>-747.96960000000001</v>
      </c>
      <c r="AB94" s="294">
        <f t="shared" si="176"/>
        <v>-745.16154999999992</v>
      </c>
      <c r="AC94" s="294">
        <f t="shared" si="176"/>
        <v>-744.47112000000004</v>
      </c>
      <c r="AD94" s="126">
        <f t="shared" si="161"/>
        <v>-2990.1822699999998</v>
      </c>
      <c r="AE94" s="126">
        <f t="shared" ref="AE94:AG94" si="177">-AE267</f>
        <v>-3378.9059650999993</v>
      </c>
      <c r="AF94" s="126">
        <f t="shared" si="177"/>
        <v>-3270.7809742167992</v>
      </c>
      <c r="AG94" s="126">
        <f t="shared" si="177"/>
        <v>-3368.9044034433032</v>
      </c>
      <c r="AH94" s="9"/>
      <c r="AI94" s="9"/>
      <c r="AJ94" s="9"/>
      <c r="AK94" s="9"/>
    </row>
    <row r="95" spans="1:37" ht="13.5" customHeight="1" x14ac:dyDescent="0.25">
      <c r="A95" s="205"/>
      <c r="B95" s="9"/>
      <c r="C95" s="103" t="s">
        <v>297</v>
      </c>
      <c r="D95" s="9"/>
      <c r="E95" s="9"/>
      <c r="F95" s="289"/>
      <c r="G95" s="289"/>
      <c r="H95" s="289"/>
      <c r="I95" s="289"/>
      <c r="J95" s="290"/>
      <c r="K95" s="289"/>
      <c r="L95" s="289"/>
      <c r="M95" s="289"/>
      <c r="N95" s="289"/>
      <c r="O95" s="290"/>
      <c r="P95" s="289"/>
      <c r="Q95" s="289"/>
      <c r="R95" s="289"/>
      <c r="S95" s="289"/>
      <c r="T95" s="290"/>
      <c r="U95" s="289"/>
      <c r="V95" s="320">
        <f>Drivers!V108</f>
        <v>0</v>
      </c>
      <c r="W95" s="320">
        <f>Drivers!W108</f>
        <v>0</v>
      </c>
      <c r="X95" s="320">
        <f>Drivers!X108</f>
        <v>0</v>
      </c>
      <c r="Y95" s="290">
        <f t="shared" si="159"/>
        <v>0</v>
      </c>
      <c r="Z95" s="320">
        <f>Drivers!Z108</f>
        <v>0</v>
      </c>
      <c r="AA95" s="320">
        <f>Drivers!AA108</f>
        <v>0</v>
      </c>
      <c r="AB95" s="320">
        <f>Drivers!AB108</f>
        <v>0</v>
      </c>
      <c r="AC95" s="320">
        <f>Drivers!AC108</f>
        <v>0</v>
      </c>
      <c r="AD95" s="290">
        <f t="shared" si="161"/>
        <v>0</v>
      </c>
      <c r="AE95" s="326">
        <f>Drivers!AE108</f>
        <v>0</v>
      </c>
      <c r="AF95" s="326">
        <f>Drivers!AF108</f>
        <v>0</v>
      </c>
      <c r="AG95" s="326">
        <f>Drivers!AG108</f>
        <v>0</v>
      </c>
      <c r="AH95" s="9"/>
      <c r="AI95" s="9"/>
      <c r="AJ95" s="9"/>
      <c r="AK95" s="9"/>
    </row>
    <row r="96" spans="1:37" ht="13.5" customHeight="1" x14ac:dyDescent="0.25">
      <c r="A96" s="205"/>
      <c r="B96" s="9"/>
      <c r="C96" s="103" t="s">
        <v>298</v>
      </c>
      <c r="D96" s="9"/>
      <c r="E96" s="9"/>
      <c r="F96" s="288"/>
      <c r="G96" s="288"/>
      <c r="H96" s="288"/>
      <c r="I96" s="288"/>
      <c r="J96" s="222"/>
      <c r="K96" s="288"/>
      <c r="L96" s="288"/>
      <c r="M96" s="288"/>
      <c r="N96" s="288"/>
      <c r="O96" s="222"/>
      <c r="P96" s="288"/>
      <c r="Q96" s="288"/>
      <c r="R96" s="288"/>
      <c r="S96" s="288"/>
      <c r="T96" s="222"/>
      <c r="U96" s="288"/>
      <c r="V96" s="221">
        <f t="shared" ref="V96:X96" ca="1" si="178">SUM(V89:V95)</f>
        <v>2393.8674999999998</v>
      </c>
      <c r="W96" s="221">
        <f t="shared" ca="1" si="178"/>
        <v>2199.2574999999997</v>
      </c>
      <c r="X96" s="221">
        <f t="shared" ca="1" si="178"/>
        <v>-3301.8724999999999</v>
      </c>
      <c r="Y96" s="222">
        <f t="shared" ca="1" si="159"/>
        <v>315.23999999999933</v>
      </c>
      <c r="Z96" s="221">
        <f t="shared" ref="Z96:AC96" ca="1" si="179">SUM(Z89:Z95)</f>
        <v>309.41539068348811</v>
      </c>
      <c r="AA96" s="221">
        <f t="shared" ca="1" si="179"/>
        <v>2608.1497906834884</v>
      </c>
      <c r="AB96" s="221">
        <f t="shared" ca="1" si="179"/>
        <v>-889.04215931651174</v>
      </c>
      <c r="AC96" s="221">
        <f t="shared" ca="1" si="179"/>
        <v>-4388.3517293165114</v>
      </c>
      <c r="AD96" s="222">
        <f t="shared" ca="1" si="161"/>
        <v>-2359.8287072660469</v>
      </c>
      <c r="AE96" s="222">
        <f t="shared" ref="AE96:AG96" ca="1" si="180">SUM(AE89:AE95)</f>
        <v>53.535985114698178</v>
      </c>
      <c r="AF96" s="222">
        <f t="shared" ca="1" si="180"/>
        <v>362.76995909679727</v>
      </c>
      <c r="AG96" s="222">
        <f t="shared" ca="1" si="180"/>
        <v>66.157770037723367</v>
      </c>
      <c r="AH96" s="9"/>
      <c r="AI96" s="9"/>
      <c r="AJ96" s="9"/>
      <c r="AK96" s="9"/>
    </row>
    <row r="97" spans="1:37" ht="13.5" customHeight="1" x14ac:dyDescent="0.25">
      <c r="A97" s="205"/>
      <c r="B97" s="9"/>
      <c r="C97" s="103"/>
      <c r="D97" s="9"/>
      <c r="E97" s="9"/>
      <c r="F97" s="250"/>
      <c r="G97" s="250"/>
      <c r="H97" s="288"/>
      <c r="I97" s="250"/>
      <c r="J97" s="9"/>
      <c r="K97" s="250"/>
      <c r="L97" s="250"/>
      <c r="M97" s="288"/>
      <c r="N97" s="250"/>
      <c r="O97" s="9"/>
      <c r="P97" s="250"/>
      <c r="Q97" s="250"/>
      <c r="R97" s="288"/>
      <c r="S97" s="250"/>
      <c r="T97" s="9"/>
      <c r="U97" s="250"/>
      <c r="V97" s="221"/>
      <c r="W97" s="221"/>
      <c r="X97" s="221"/>
      <c r="Y97" s="9"/>
      <c r="Z97" s="221"/>
      <c r="AA97" s="221"/>
      <c r="AB97" s="221"/>
      <c r="AC97" s="221"/>
      <c r="AD97" s="9"/>
      <c r="AE97" s="9"/>
      <c r="AF97" s="9"/>
      <c r="AG97" s="9"/>
      <c r="AH97" s="9"/>
      <c r="AI97" s="9"/>
      <c r="AJ97" s="9"/>
      <c r="AK97" s="9"/>
    </row>
    <row r="98" spans="1:37" ht="13.5" customHeight="1" x14ac:dyDescent="0.25">
      <c r="A98" s="205"/>
      <c r="B98" s="9"/>
      <c r="C98" s="103" t="s">
        <v>299</v>
      </c>
      <c r="D98" s="9"/>
      <c r="E98" s="9"/>
      <c r="F98" s="293"/>
      <c r="G98" s="293"/>
      <c r="H98" s="293"/>
      <c r="I98" s="293"/>
      <c r="J98" s="126"/>
      <c r="K98" s="293"/>
      <c r="L98" s="293"/>
      <c r="M98" s="293"/>
      <c r="N98" s="293"/>
      <c r="O98" s="126"/>
      <c r="P98" s="293"/>
      <c r="Q98" s="293"/>
      <c r="R98" s="293"/>
      <c r="S98" s="293"/>
      <c r="T98" s="126"/>
      <c r="U98" s="293"/>
      <c r="V98" s="296">
        <f>Drivers!V110</f>
        <v>0</v>
      </c>
      <c r="W98" s="296">
        <f>Drivers!W110</f>
        <v>0</v>
      </c>
      <c r="X98" s="296">
        <f>Drivers!X110</f>
        <v>0</v>
      </c>
      <c r="Y98" s="126">
        <f t="shared" ref="Y98:Y100" si="181">SUM(U98:X98)</f>
        <v>0</v>
      </c>
      <c r="Z98" s="296">
        <f>Drivers!Z110</f>
        <v>0</v>
      </c>
      <c r="AA98" s="296">
        <f>Drivers!AA110</f>
        <v>0</v>
      </c>
      <c r="AB98" s="296">
        <f>Drivers!AB110</f>
        <v>0</v>
      </c>
      <c r="AC98" s="296">
        <f>Drivers!AC110</f>
        <v>0</v>
      </c>
      <c r="AD98" s="126">
        <f t="shared" ref="AD98:AD100" si="182">SUM(Z98:AC98)</f>
        <v>0</v>
      </c>
      <c r="AE98" s="297">
        <f>Drivers!AE110</f>
        <v>0</v>
      </c>
      <c r="AF98" s="297">
        <f>Drivers!AF110</f>
        <v>0</v>
      </c>
      <c r="AG98" s="297">
        <f>Drivers!AG110</f>
        <v>0</v>
      </c>
      <c r="AH98" s="9"/>
      <c r="AI98" s="9"/>
      <c r="AJ98" s="9"/>
      <c r="AK98" s="9"/>
    </row>
    <row r="99" spans="1:37" ht="13.5" customHeight="1" x14ac:dyDescent="0.25">
      <c r="A99" s="205"/>
      <c r="B99" s="9"/>
      <c r="C99" s="103" t="s">
        <v>300</v>
      </c>
      <c r="D99" s="9"/>
      <c r="E99" s="9"/>
      <c r="F99" s="293"/>
      <c r="G99" s="293"/>
      <c r="H99" s="293"/>
      <c r="I99" s="293"/>
      <c r="J99" s="126"/>
      <c r="K99" s="293"/>
      <c r="L99" s="293"/>
      <c r="M99" s="293"/>
      <c r="N99" s="293"/>
      <c r="O99" s="126"/>
      <c r="P99" s="293"/>
      <c r="Q99" s="293"/>
      <c r="R99" s="293"/>
      <c r="S99" s="293"/>
      <c r="T99" s="126"/>
      <c r="U99" s="293"/>
      <c r="V99" s="300">
        <v>0</v>
      </c>
      <c r="W99" s="300">
        <v>0</v>
      </c>
      <c r="X99" s="300">
        <v>0</v>
      </c>
      <c r="Y99" s="126">
        <f t="shared" si="181"/>
        <v>0</v>
      </c>
      <c r="Z99" s="300">
        <v>0</v>
      </c>
      <c r="AA99" s="300">
        <v>0</v>
      </c>
      <c r="AB99" s="300">
        <v>0</v>
      </c>
      <c r="AC99" s="300">
        <v>0</v>
      </c>
      <c r="AD99" s="126">
        <f t="shared" si="182"/>
        <v>0</v>
      </c>
      <c r="AE99" s="301">
        <v>0</v>
      </c>
      <c r="AF99" s="301">
        <v>0</v>
      </c>
      <c r="AG99" s="301">
        <v>0</v>
      </c>
      <c r="AH99" s="9"/>
      <c r="AI99" s="9"/>
      <c r="AJ99" s="9"/>
      <c r="AK99" s="9"/>
    </row>
    <row r="100" spans="1:37" ht="13.5" customHeight="1" x14ac:dyDescent="0.25">
      <c r="A100" s="205"/>
      <c r="B100" s="9"/>
      <c r="C100" s="103" t="s">
        <v>301</v>
      </c>
      <c r="D100" s="9"/>
      <c r="E100" s="9"/>
      <c r="F100" s="293"/>
      <c r="G100" s="293"/>
      <c r="H100" s="293"/>
      <c r="I100" s="293"/>
      <c r="J100" s="126"/>
      <c r="K100" s="293"/>
      <c r="L100" s="293"/>
      <c r="M100" s="293"/>
      <c r="N100" s="293"/>
      <c r="O100" s="126"/>
      <c r="P100" s="293"/>
      <c r="Q100" s="293"/>
      <c r="R100" s="293"/>
      <c r="S100" s="293"/>
      <c r="T100" s="126"/>
      <c r="U100" s="293"/>
      <c r="V100" s="300">
        <v>0</v>
      </c>
      <c r="W100" s="300">
        <v>0</v>
      </c>
      <c r="X100" s="300">
        <v>0</v>
      </c>
      <c r="Y100" s="126">
        <f t="shared" si="181"/>
        <v>0</v>
      </c>
      <c r="Z100" s="300">
        <v>0</v>
      </c>
      <c r="AA100" s="300">
        <v>0</v>
      </c>
      <c r="AB100" s="300">
        <v>0</v>
      </c>
      <c r="AC100" s="300">
        <v>0</v>
      </c>
      <c r="AD100" s="126">
        <f t="shared" si="182"/>
        <v>0</v>
      </c>
      <c r="AE100" s="301">
        <v>0</v>
      </c>
      <c r="AF100" s="301">
        <v>0</v>
      </c>
      <c r="AG100" s="301">
        <v>0</v>
      </c>
      <c r="AH100" s="9"/>
      <c r="AI100" s="9"/>
      <c r="AJ100" s="9"/>
      <c r="AK100" s="9"/>
    </row>
    <row r="101" spans="1:37" ht="13.5" customHeight="1" x14ac:dyDescent="0.25">
      <c r="A101" s="205"/>
      <c r="B101" s="9"/>
      <c r="C101" s="103"/>
      <c r="D101" s="9"/>
      <c r="E101" s="9"/>
      <c r="F101" s="250"/>
      <c r="G101" s="250"/>
      <c r="H101" s="250"/>
      <c r="I101" s="250"/>
      <c r="J101" s="9"/>
      <c r="K101" s="250"/>
      <c r="L101" s="250"/>
      <c r="M101" s="250"/>
      <c r="N101" s="250"/>
      <c r="O101" s="9"/>
      <c r="P101" s="250"/>
      <c r="Q101" s="250"/>
      <c r="R101" s="250"/>
      <c r="S101" s="250"/>
      <c r="T101" s="9"/>
      <c r="U101" s="250"/>
      <c r="V101" s="251"/>
      <c r="W101" s="251"/>
      <c r="X101" s="251"/>
      <c r="Y101" s="9"/>
      <c r="Z101" s="251"/>
      <c r="AA101" s="251"/>
      <c r="AB101" s="251"/>
      <c r="AC101" s="251"/>
      <c r="AD101" s="9"/>
      <c r="AE101" s="9"/>
      <c r="AF101" s="9"/>
      <c r="AG101" s="9"/>
      <c r="AH101" s="9"/>
      <c r="AI101" s="9"/>
      <c r="AJ101" s="9"/>
      <c r="AK101" s="9"/>
    </row>
    <row r="102" spans="1:37" ht="13.5" customHeight="1" x14ac:dyDescent="0.25">
      <c r="A102" s="205"/>
      <c r="B102" s="9"/>
      <c r="C102" s="103" t="s">
        <v>302</v>
      </c>
      <c r="D102" s="9"/>
      <c r="E102" s="9"/>
      <c r="F102" s="327"/>
      <c r="G102" s="328"/>
      <c r="H102" s="328"/>
      <c r="I102" s="328"/>
      <c r="J102" s="222"/>
      <c r="K102" s="328"/>
      <c r="L102" s="328"/>
      <c r="M102" s="328"/>
      <c r="N102" s="328"/>
      <c r="O102" s="222"/>
      <c r="P102" s="328"/>
      <c r="Q102" s="328"/>
      <c r="R102" s="328"/>
      <c r="S102" s="328"/>
      <c r="T102" s="222"/>
      <c r="U102" s="328"/>
      <c r="V102" s="221">
        <f t="shared" ref="V102" si="183">U104+V99</f>
        <v>0</v>
      </c>
      <c r="W102" s="221">
        <f t="shared" ref="W102" ca="1" si="184">V104+W99</f>
        <v>62511.832442510888</v>
      </c>
      <c r="X102" s="221">
        <f t="shared" ref="X102" ca="1" si="185">W104+X99</f>
        <v>68333.224136109755</v>
      </c>
      <c r="Y102" s="222">
        <f>+T102</f>
        <v>0</v>
      </c>
      <c r="Z102" s="221">
        <f t="shared" ref="Z102:AC102" ca="1" si="186">Y104+Z99</f>
        <v>71873.754913976227</v>
      </c>
      <c r="AA102" s="221">
        <f t="shared" ca="1" si="186"/>
        <v>75720.921690075382</v>
      </c>
      <c r="AB102" s="221">
        <f t="shared" ca="1" si="186"/>
        <v>86701.190143069078</v>
      </c>
      <c r="AC102" s="221">
        <f t="shared" ca="1" si="186"/>
        <v>90740.151146929129</v>
      </c>
      <c r="AD102" s="222">
        <f ca="1">Z102</f>
        <v>71873.754913976227</v>
      </c>
      <c r="AE102" s="222">
        <f t="shared" ref="AE102:AG102" ca="1" si="187">AD104+AE99</f>
        <v>93787.339816058011</v>
      </c>
      <c r="AF102" s="222">
        <f t="shared" ca="1" si="187"/>
        <v>109956.47238790397</v>
      </c>
      <c r="AG102" s="222">
        <f t="shared" ca="1" si="187"/>
        <v>133376.00532693666</v>
      </c>
      <c r="AH102" s="9"/>
      <c r="AI102" s="9"/>
      <c r="AJ102" s="9"/>
      <c r="AK102" s="9"/>
    </row>
    <row r="103" spans="1:37" ht="13.5" customHeight="1" x14ac:dyDescent="0.25">
      <c r="A103" s="205"/>
      <c r="B103" s="9"/>
      <c r="C103" s="103" t="s">
        <v>303</v>
      </c>
      <c r="D103" s="9"/>
      <c r="E103" s="9"/>
      <c r="F103" s="329"/>
      <c r="G103" s="329"/>
      <c r="H103" s="329"/>
      <c r="I103" s="329"/>
      <c r="J103" s="290"/>
      <c r="K103" s="329"/>
      <c r="L103" s="329"/>
      <c r="M103" s="329"/>
      <c r="N103" s="329"/>
      <c r="O103" s="290"/>
      <c r="P103" s="329"/>
      <c r="Q103" s="329"/>
      <c r="R103" s="329"/>
      <c r="S103" s="329"/>
      <c r="T103" s="290"/>
      <c r="U103" s="329"/>
      <c r="V103" s="291">
        <f t="shared" ref="V103:X103" ca="1" si="188">SUM(V87,V96,V98,V100)</f>
        <v>9008.3873858017778</v>
      </c>
      <c r="W103" s="291">
        <f t="shared" ca="1" si="188"/>
        <v>5821.3916935988618</v>
      </c>
      <c r="X103" s="291">
        <f t="shared" ca="1" si="188"/>
        <v>3540.5307778664815</v>
      </c>
      <c r="Y103" s="290">
        <f ca="1">SUM(U103:X103)</f>
        <v>24081.75491397623</v>
      </c>
      <c r="Z103" s="291">
        <f t="shared" ref="Z103:AC103" ca="1" si="189">SUM(Z87,Z96,Z98,Z100)</f>
        <v>3847.1667760991495</v>
      </c>
      <c r="AA103" s="291">
        <f t="shared" ca="1" si="189"/>
        <v>10980.2684529937</v>
      </c>
      <c r="AB103" s="291">
        <f t="shared" ca="1" si="189"/>
        <v>4038.9610038600549</v>
      </c>
      <c r="AC103" s="291">
        <f t="shared" ca="1" si="189"/>
        <v>3047.1886691288864</v>
      </c>
      <c r="AD103" s="290">
        <f ca="1">SUM(Z103:AC103)</f>
        <v>21913.584902081788</v>
      </c>
      <c r="AE103" s="290">
        <f t="shared" ref="AE103:AG103" ca="1" si="190">SUM(AE87,AE96,AE98,AE100)</f>
        <v>16169.132571845958</v>
      </c>
      <c r="AF103" s="290">
        <f t="shared" ca="1" si="190"/>
        <v>23419.532939032702</v>
      </c>
      <c r="AG103" s="290">
        <f t="shared" ca="1" si="190"/>
        <v>23416.600547325885</v>
      </c>
      <c r="AH103" s="9"/>
      <c r="AI103" s="9"/>
      <c r="AJ103" s="9"/>
      <c r="AK103" s="9"/>
    </row>
    <row r="104" spans="1:37" ht="13.5" customHeight="1" x14ac:dyDescent="0.25">
      <c r="A104" s="205"/>
      <c r="B104" s="9"/>
      <c r="C104" s="103" t="s">
        <v>304</v>
      </c>
      <c r="D104" s="9"/>
      <c r="E104" s="9"/>
      <c r="F104" s="328"/>
      <c r="G104" s="328"/>
      <c r="H104" s="328"/>
      <c r="I104" s="328"/>
      <c r="J104" s="222"/>
      <c r="K104" s="328"/>
      <c r="L104" s="328"/>
      <c r="M104" s="328"/>
      <c r="N104" s="328"/>
      <c r="O104" s="222"/>
      <c r="P104" s="328"/>
      <c r="Q104" s="328"/>
      <c r="R104" s="328"/>
      <c r="S104" s="327"/>
      <c r="T104" s="330"/>
      <c r="U104" s="328"/>
      <c r="V104" s="221">
        <f t="shared" ref="V104:X104" ca="1" si="191">SUM(V102:V103)</f>
        <v>62511.832442510888</v>
      </c>
      <c r="W104" s="221">
        <f t="shared" ca="1" si="191"/>
        <v>68333.224136109755</v>
      </c>
      <c r="X104" s="221">
        <f t="shared" ca="1" si="191"/>
        <v>71873.754913976241</v>
      </c>
      <c r="Y104" s="222">
        <f t="shared" ref="Y104:AG104" ca="1" si="192">SUM(Y102:Y103)</f>
        <v>71873.754913976227</v>
      </c>
      <c r="Z104" s="221">
        <f t="shared" ca="1" si="192"/>
        <v>75720.921690075382</v>
      </c>
      <c r="AA104" s="221">
        <f t="shared" ca="1" si="192"/>
        <v>86701.190143069078</v>
      </c>
      <c r="AB104" s="221">
        <f t="shared" ca="1" si="192"/>
        <v>90740.151146929129</v>
      </c>
      <c r="AC104" s="221">
        <f t="shared" ca="1" si="192"/>
        <v>93787.339816058011</v>
      </c>
      <c r="AD104" s="222">
        <f t="shared" ca="1" si="192"/>
        <v>93787.339816058011</v>
      </c>
      <c r="AE104" s="222">
        <f t="shared" ca="1" si="192"/>
        <v>109956.47238790397</v>
      </c>
      <c r="AF104" s="222">
        <f t="shared" ca="1" si="192"/>
        <v>133376.00532693666</v>
      </c>
      <c r="AG104" s="222">
        <f t="shared" ca="1" si="192"/>
        <v>156792.60587426255</v>
      </c>
      <c r="AH104" s="9"/>
      <c r="AI104" s="9"/>
      <c r="AJ104" s="9"/>
      <c r="AK104" s="9"/>
    </row>
    <row r="105" spans="1:37" ht="13.5" customHeight="1" x14ac:dyDescent="0.25">
      <c r="A105" s="205"/>
      <c r="B105" s="9"/>
      <c r="C105" s="103"/>
      <c r="D105" s="9"/>
      <c r="E105" s="9"/>
      <c r="F105" s="250"/>
      <c r="G105" s="250"/>
      <c r="H105" s="250"/>
      <c r="I105" s="250"/>
      <c r="J105" s="9"/>
      <c r="K105" s="250"/>
      <c r="L105" s="250"/>
      <c r="M105" s="250"/>
      <c r="N105" s="250"/>
      <c r="O105" s="9"/>
      <c r="P105" s="250"/>
      <c r="Q105" s="250"/>
      <c r="R105" s="250"/>
      <c r="S105" s="250"/>
      <c r="T105" s="9"/>
      <c r="U105" s="250"/>
      <c r="V105" s="251"/>
      <c r="W105" s="251"/>
      <c r="X105" s="251"/>
      <c r="Y105" s="9"/>
      <c r="Z105" s="251"/>
      <c r="AA105" s="251"/>
      <c r="AB105" s="251"/>
      <c r="AC105" s="251"/>
      <c r="AD105" s="9"/>
      <c r="AE105" s="9"/>
      <c r="AF105" s="9"/>
      <c r="AG105" s="9"/>
      <c r="AH105" s="9"/>
      <c r="AI105" s="9"/>
      <c r="AJ105" s="9"/>
      <c r="AK105" s="9"/>
    </row>
    <row r="106" spans="1:37" ht="13.5" customHeight="1" x14ac:dyDescent="0.25">
      <c r="A106" s="205" t="s">
        <v>0</v>
      </c>
      <c r="B106" s="9"/>
      <c r="C106" s="33" t="s">
        <v>305</v>
      </c>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31"/>
      <c r="AH106" s="205" t="s">
        <v>0</v>
      </c>
      <c r="AI106" s="9"/>
      <c r="AJ106" s="9"/>
      <c r="AK106" s="9"/>
    </row>
    <row r="107" spans="1:37" ht="13.5" customHeight="1" x14ac:dyDescent="0.25">
      <c r="A107" s="205"/>
      <c r="B107" s="9"/>
      <c r="C107" s="9"/>
      <c r="D107" s="9"/>
      <c r="E107" s="9"/>
      <c r="F107" s="250"/>
      <c r="G107" s="250"/>
      <c r="H107" s="250"/>
      <c r="I107" s="250"/>
      <c r="J107" s="9"/>
      <c r="K107" s="250"/>
      <c r="L107" s="250"/>
      <c r="M107" s="250"/>
      <c r="N107" s="250"/>
      <c r="O107" s="9"/>
      <c r="P107" s="250"/>
      <c r="Q107" s="250"/>
      <c r="R107" s="250"/>
      <c r="S107" s="250"/>
      <c r="T107" s="9"/>
      <c r="U107" s="250"/>
      <c r="V107" s="251"/>
      <c r="W107" s="251"/>
      <c r="X107" s="251"/>
      <c r="Y107" s="9"/>
      <c r="Z107" s="251"/>
      <c r="AA107" s="251"/>
      <c r="AB107" s="251"/>
      <c r="AC107" s="251"/>
      <c r="AD107" s="9"/>
      <c r="AE107" s="9"/>
      <c r="AF107" s="9"/>
      <c r="AG107" s="9"/>
      <c r="AH107" s="9"/>
      <c r="AI107" s="9"/>
      <c r="AJ107" s="9"/>
      <c r="AK107" s="9"/>
    </row>
    <row r="108" spans="1:37" ht="13.5" customHeight="1" x14ac:dyDescent="0.25">
      <c r="A108" s="205"/>
      <c r="B108" s="9"/>
      <c r="C108" s="9" t="s">
        <v>282</v>
      </c>
      <c r="D108" s="9"/>
      <c r="E108" s="9"/>
      <c r="F108" s="319">
        <f t="shared" ref="F108:AG108" si="193">F45</f>
        <v>1816</v>
      </c>
      <c r="G108" s="319">
        <f t="shared" si="193"/>
        <v>2174</v>
      </c>
      <c r="H108" s="319">
        <f t="shared" si="193"/>
        <v>2451</v>
      </c>
      <c r="I108" s="319">
        <f t="shared" si="193"/>
        <v>1933</v>
      </c>
      <c r="J108" s="126">
        <f t="shared" si="193"/>
        <v>8374</v>
      </c>
      <c r="K108" s="319">
        <f t="shared" si="193"/>
        <v>2437</v>
      </c>
      <c r="L108" s="319">
        <f t="shared" si="193"/>
        <v>3015</v>
      </c>
      <c r="M108" s="319">
        <f t="shared" si="193"/>
        <v>2507</v>
      </c>
      <c r="N108" s="319">
        <f t="shared" si="193"/>
        <v>2170</v>
      </c>
      <c r="O108" s="126">
        <f t="shared" si="193"/>
        <v>10129</v>
      </c>
      <c r="P108" s="319">
        <f t="shared" si="193"/>
        <v>2584</v>
      </c>
      <c r="Q108" s="319">
        <f t="shared" si="193"/>
        <v>2885</v>
      </c>
      <c r="R108" s="319">
        <f t="shared" si="193"/>
        <v>2902</v>
      </c>
      <c r="S108" s="319">
        <f t="shared" si="193"/>
        <v>2462</v>
      </c>
      <c r="T108" s="126">
        <f t="shared" si="193"/>
        <v>10833</v>
      </c>
      <c r="U108" s="319">
        <f t="shared" ref="U108" si="194">U45</f>
        <v>2971</v>
      </c>
      <c r="V108" s="294">
        <f t="shared" si="193"/>
        <v>2953.3484695859979</v>
      </c>
      <c r="W108" s="294">
        <f t="shared" si="193"/>
        <v>3254.4002979984007</v>
      </c>
      <c r="X108" s="294">
        <f t="shared" si="193"/>
        <v>3471.6294806200799</v>
      </c>
      <c r="Y108" s="126">
        <f t="shared" si="193"/>
        <v>12650.378248204479</v>
      </c>
      <c r="Z108" s="294">
        <f t="shared" si="193"/>
        <v>3528.0570427594084</v>
      </c>
      <c r="AA108" s="294">
        <f t="shared" si="193"/>
        <v>3774.856527622725</v>
      </c>
      <c r="AB108" s="294">
        <f t="shared" si="193"/>
        <v>4050.1688526399221</v>
      </c>
      <c r="AC108" s="294">
        <f t="shared" si="193"/>
        <v>4263.0795759377934</v>
      </c>
      <c r="AD108" s="126">
        <f t="shared" si="193"/>
        <v>15616.161998959851</v>
      </c>
      <c r="AE108" s="126">
        <f t="shared" si="193"/>
        <v>17841.06166189666</v>
      </c>
      <c r="AF108" s="126">
        <f t="shared" si="193"/>
        <v>19545.188056927778</v>
      </c>
      <c r="AG108" s="126">
        <f t="shared" si="193"/>
        <v>21063.726501004181</v>
      </c>
      <c r="AH108" s="9"/>
      <c r="AI108" s="9"/>
      <c r="AJ108" s="9"/>
      <c r="AK108" s="9"/>
    </row>
    <row r="109" spans="1:37" ht="13.5" customHeight="1" x14ac:dyDescent="0.25">
      <c r="A109" s="205"/>
      <c r="B109" s="9"/>
      <c r="C109" s="9" t="s">
        <v>265</v>
      </c>
      <c r="D109" s="9"/>
      <c r="E109" s="9"/>
      <c r="F109" s="319">
        <f t="shared" ref="F109:I109" si="195">-F194+-F208</f>
        <v>412.75</v>
      </c>
      <c r="G109" s="319">
        <f t="shared" si="195"/>
        <v>412.75</v>
      </c>
      <c r="H109" s="319">
        <f t="shared" si="195"/>
        <v>412.75</v>
      </c>
      <c r="I109" s="319">
        <f t="shared" si="195"/>
        <v>412.75</v>
      </c>
      <c r="J109" s="126">
        <f t="shared" ref="J109:J111" si="196">SUM(F109:I109)</f>
        <v>1651</v>
      </c>
      <c r="K109" s="319">
        <f t="shared" ref="K109:N109" si="197">-K194+-K208</f>
        <v>419</v>
      </c>
      <c r="L109" s="319">
        <f t="shared" si="197"/>
        <v>419</v>
      </c>
      <c r="M109" s="319">
        <f t="shared" si="197"/>
        <v>419</v>
      </c>
      <c r="N109" s="319">
        <f t="shared" si="197"/>
        <v>419</v>
      </c>
      <c r="O109" s="126">
        <f t="shared" ref="O109:O111" si="198">SUM(K109:N109)</f>
        <v>1676</v>
      </c>
      <c r="P109" s="319">
        <f t="shared" ref="P109:S109" si="199">-P194+-P208</f>
        <v>444.25</v>
      </c>
      <c r="Q109" s="319">
        <f t="shared" si="199"/>
        <v>444.25</v>
      </c>
      <c r="R109" s="319">
        <f t="shared" si="199"/>
        <v>444.25</v>
      </c>
      <c r="S109" s="319">
        <f t="shared" si="199"/>
        <v>444.25</v>
      </c>
      <c r="T109" s="126">
        <f t="shared" ref="T109:T111" si="200">SUM(P109:S109)</f>
        <v>1777</v>
      </c>
      <c r="U109" s="319">
        <f t="shared" ref="U109" si="201">-U194+-U208</f>
        <v>468</v>
      </c>
      <c r="V109" s="294">
        <f t="shared" ref="V109:X109" si="202">-V194+-V208</f>
        <v>568.95935114101576</v>
      </c>
      <c r="W109" s="294">
        <f t="shared" si="202"/>
        <v>573.76780703883969</v>
      </c>
      <c r="X109" s="294">
        <f t="shared" si="202"/>
        <v>574.28974124429658</v>
      </c>
      <c r="Y109" s="126">
        <f t="shared" ref="Y109:Y111" si="203">SUM(U109:X109)</f>
        <v>2185.0168994241521</v>
      </c>
      <c r="Z109" s="294">
        <f t="shared" ref="Z109:AC109" si="204">-Z194+-Z208</f>
        <v>574.58995910846386</v>
      </c>
      <c r="AA109" s="294">
        <f t="shared" si="204"/>
        <v>578.36971186666483</v>
      </c>
      <c r="AB109" s="294">
        <f t="shared" si="204"/>
        <v>580.3130817961229</v>
      </c>
      <c r="AC109" s="294">
        <f t="shared" si="204"/>
        <v>581.30234087905876</v>
      </c>
      <c r="AD109" s="126">
        <f t="shared" ref="AD109:AD111" si="205">SUM(Z109:AC109)</f>
        <v>2314.57509365031</v>
      </c>
      <c r="AE109" s="126">
        <f t="shared" ref="AE109:AG109" si="206">-AE194+-AE208</f>
        <v>2352.1884470558657</v>
      </c>
      <c r="AF109" s="126">
        <f t="shared" si="206"/>
        <v>2344.2727434071144</v>
      </c>
      <c r="AG109" s="126">
        <f t="shared" si="206"/>
        <v>2557.6407939801302</v>
      </c>
      <c r="AH109" s="9"/>
      <c r="AI109" s="9"/>
      <c r="AJ109" s="9"/>
      <c r="AK109" s="9"/>
    </row>
    <row r="110" spans="1:37" ht="13.5" customHeight="1" x14ac:dyDescent="0.25">
      <c r="A110" s="205"/>
      <c r="B110" s="9"/>
      <c r="C110" s="9" t="s">
        <v>306</v>
      </c>
      <c r="D110" s="9"/>
      <c r="E110" s="9"/>
      <c r="F110" s="319">
        <f t="shared" ref="F110:I110" si="207">F178</f>
        <v>0</v>
      </c>
      <c r="G110" s="319">
        <f t="shared" si="207"/>
        <v>907</v>
      </c>
      <c r="H110" s="319">
        <f t="shared" si="207"/>
        <v>-197</v>
      </c>
      <c r="I110" s="319">
        <f t="shared" si="207"/>
        <v>1673</v>
      </c>
      <c r="J110" s="126">
        <f t="shared" si="196"/>
        <v>2383</v>
      </c>
      <c r="K110" s="319">
        <f t="shared" ref="K110:N110" si="208">K178</f>
        <v>915</v>
      </c>
      <c r="L110" s="319">
        <f t="shared" si="208"/>
        <v>-127</v>
      </c>
      <c r="M110" s="319">
        <f t="shared" si="208"/>
        <v>616</v>
      </c>
      <c r="N110" s="319">
        <f t="shared" si="208"/>
        <v>368</v>
      </c>
      <c r="O110" s="126">
        <f t="shared" si="198"/>
        <v>1772</v>
      </c>
      <c r="P110" s="319">
        <f t="shared" ref="P110:S110" si="209">P178</f>
        <v>565</v>
      </c>
      <c r="Q110" s="319">
        <f t="shared" si="209"/>
        <v>-493</v>
      </c>
      <c r="R110" s="319">
        <f t="shared" si="209"/>
        <v>-831</v>
      </c>
      <c r="S110" s="319">
        <f t="shared" si="209"/>
        <v>-1036</v>
      </c>
      <c r="T110" s="126">
        <f t="shared" si="200"/>
        <v>-1795</v>
      </c>
      <c r="U110" s="319">
        <f t="shared" ref="U110" si="210">U178</f>
        <v>61786</v>
      </c>
      <c r="V110" s="294">
        <f t="shared" ref="V110:X110" si="211">V178</f>
        <v>-65394.418208000003</v>
      </c>
      <c r="W110" s="294">
        <f t="shared" si="211"/>
        <v>-528.19748747390986</v>
      </c>
      <c r="X110" s="294">
        <f t="shared" si="211"/>
        <v>-1970.8946039600996</v>
      </c>
      <c r="Y110" s="126">
        <f t="shared" si="203"/>
        <v>-6107.5102994340123</v>
      </c>
      <c r="Z110" s="294">
        <f t="shared" ref="Z110:AC110" si="212">Z178</f>
        <v>-141.16739453402988</v>
      </c>
      <c r="AA110" s="294">
        <f t="shared" si="212"/>
        <v>-2465.0575805148328</v>
      </c>
      <c r="AB110" s="294">
        <f t="shared" si="212"/>
        <v>-835.21949839099398</v>
      </c>
      <c r="AC110" s="294">
        <f t="shared" si="212"/>
        <v>-2110.3517852024961</v>
      </c>
      <c r="AD110" s="126">
        <f t="shared" si="205"/>
        <v>-5551.7962586423528</v>
      </c>
      <c r="AE110" s="126">
        <f t="shared" ref="AE110:AG110" si="213">AE178</f>
        <v>-2101.7214419234369</v>
      </c>
      <c r="AF110" s="126">
        <f t="shared" si="213"/>
        <v>-4311.6756756136456</v>
      </c>
      <c r="AG110" s="126">
        <f t="shared" si="213"/>
        <v>-3696.3345529600338</v>
      </c>
      <c r="AH110" s="9"/>
      <c r="AI110" s="9"/>
      <c r="AJ110" s="9"/>
      <c r="AK110" s="9"/>
    </row>
    <row r="111" spans="1:37" ht="13.5" customHeight="1" x14ac:dyDescent="0.25">
      <c r="A111" s="205"/>
      <c r="B111" s="9"/>
      <c r="C111" s="9" t="s">
        <v>116</v>
      </c>
      <c r="D111" s="9"/>
      <c r="E111" s="9"/>
      <c r="F111" s="307">
        <f t="shared" ref="F111:I111" si="214">-F193</f>
        <v>-360</v>
      </c>
      <c r="G111" s="307">
        <f t="shared" si="214"/>
        <v>-376</v>
      </c>
      <c r="H111" s="307">
        <f t="shared" si="214"/>
        <v>-401</v>
      </c>
      <c r="I111" s="307">
        <f t="shared" si="214"/>
        <v>-426</v>
      </c>
      <c r="J111" s="290">
        <f t="shared" si="196"/>
        <v>-1563</v>
      </c>
      <c r="K111" s="307">
        <f t="shared" ref="K111:N111" si="215">-K193</f>
        <v>-396</v>
      </c>
      <c r="L111" s="307">
        <f t="shared" si="215"/>
        <v>-565</v>
      </c>
      <c r="M111" s="307">
        <f t="shared" si="215"/>
        <v>-455</v>
      </c>
      <c r="N111" s="307">
        <f t="shared" si="215"/>
        <v>-495</v>
      </c>
      <c r="O111" s="290">
        <f t="shared" si="198"/>
        <v>-1911</v>
      </c>
      <c r="P111" s="307">
        <f t="shared" ref="P111:S111" si="216">-P193</f>
        <v>-430</v>
      </c>
      <c r="Q111" s="307">
        <f t="shared" si="216"/>
        <v>-619</v>
      </c>
      <c r="R111" s="307">
        <f t="shared" si="216"/>
        <v>-654</v>
      </c>
      <c r="S111" s="307">
        <f t="shared" si="216"/>
        <v>-722</v>
      </c>
      <c r="T111" s="290">
        <f t="shared" si="200"/>
        <v>-2425</v>
      </c>
      <c r="U111" s="307">
        <f t="shared" ref="U111" si="217">-U193</f>
        <v>-1149</v>
      </c>
      <c r="V111" s="291">
        <f t="shared" ref="V111:X111" si="218">-V193</f>
        <v>-630.14688700000011</v>
      </c>
      <c r="W111" s="291">
        <f t="shared" si="218"/>
        <v>-580.40941269999996</v>
      </c>
      <c r="X111" s="291">
        <f t="shared" si="218"/>
        <v>-578.11000948000003</v>
      </c>
      <c r="Y111" s="290">
        <f t="shared" si="203"/>
        <v>-2937.6663091800001</v>
      </c>
      <c r="Z111" s="291">
        <f t="shared" ref="Z111:AC111" si="219">-Z193</f>
        <v>-622.68726151591193</v>
      </c>
      <c r="AA111" s="291">
        <f t="shared" si="219"/>
        <v>-603.09906777066851</v>
      </c>
      <c r="AB111" s="291">
        <f t="shared" si="219"/>
        <v>-592.90139016312992</v>
      </c>
      <c r="AC111" s="291">
        <f t="shared" si="219"/>
        <v>-667.12945859634681</v>
      </c>
      <c r="AD111" s="290">
        <f t="shared" si="205"/>
        <v>-2485.8171780460571</v>
      </c>
      <c r="AE111" s="290">
        <f t="shared" ref="AE111:AG111" si="220">-AE193</f>
        <v>-2327.0066417555263</v>
      </c>
      <c r="AF111" s="290">
        <f t="shared" si="220"/>
        <v>-3023.0491283327933</v>
      </c>
      <c r="AG111" s="290">
        <f t="shared" si="220"/>
        <v>-2879.4040499879652</v>
      </c>
      <c r="AH111" s="9"/>
      <c r="AI111" s="9"/>
      <c r="AJ111" s="9"/>
      <c r="AK111" s="9"/>
    </row>
    <row r="112" spans="1:37" ht="13.5" customHeight="1" x14ac:dyDescent="0.25">
      <c r="A112" s="205"/>
      <c r="B112" s="9"/>
      <c r="C112" s="9" t="s">
        <v>307</v>
      </c>
      <c r="D112" s="9"/>
      <c r="E112" s="9"/>
      <c r="F112" s="288">
        <f t="shared" ref="F112:AG112" si="221">SUM(F108:F111)</f>
        <v>1868.75</v>
      </c>
      <c r="G112" s="288">
        <f t="shared" si="221"/>
        <v>3117.75</v>
      </c>
      <c r="H112" s="288">
        <f t="shared" si="221"/>
        <v>2265.75</v>
      </c>
      <c r="I112" s="288">
        <f t="shared" si="221"/>
        <v>3592.75</v>
      </c>
      <c r="J112" s="222">
        <f t="shared" si="221"/>
        <v>10845</v>
      </c>
      <c r="K112" s="288">
        <f t="shared" si="221"/>
        <v>3375</v>
      </c>
      <c r="L112" s="288">
        <f t="shared" si="221"/>
        <v>2742</v>
      </c>
      <c r="M112" s="288">
        <f t="shared" si="221"/>
        <v>3087</v>
      </c>
      <c r="N112" s="288">
        <f t="shared" si="221"/>
        <v>2462</v>
      </c>
      <c r="O112" s="222">
        <f t="shared" si="221"/>
        <v>11666</v>
      </c>
      <c r="P112" s="288">
        <f t="shared" si="221"/>
        <v>3163.25</v>
      </c>
      <c r="Q112" s="288">
        <f t="shared" si="221"/>
        <v>2217.25</v>
      </c>
      <c r="R112" s="288">
        <f t="shared" si="221"/>
        <v>1861.25</v>
      </c>
      <c r="S112" s="288">
        <f t="shared" si="221"/>
        <v>1148.25</v>
      </c>
      <c r="T112" s="222">
        <f t="shared" si="221"/>
        <v>8390</v>
      </c>
      <c r="U112" s="288">
        <f t="shared" ref="U112" si="222">SUM(U108:U111)</f>
        <v>64076</v>
      </c>
      <c r="V112" s="221">
        <f t="shared" ref="V112:X112" si="223">SUM(V108:V111)</f>
        <v>-62502.25727427299</v>
      </c>
      <c r="W112" s="221">
        <f t="shared" si="223"/>
        <v>2719.5612048633307</v>
      </c>
      <c r="X112" s="221">
        <f t="shared" si="223"/>
        <v>1496.914608424277</v>
      </c>
      <c r="Y112" s="222">
        <f t="shared" si="221"/>
        <v>5790.2185390146187</v>
      </c>
      <c r="Z112" s="221">
        <f t="shared" si="221"/>
        <v>3338.7923458179303</v>
      </c>
      <c r="AA112" s="221">
        <f t="shared" si="221"/>
        <v>1285.0695912038882</v>
      </c>
      <c r="AB112" s="221">
        <f t="shared" si="221"/>
        <v>3202.3610458819212</v>
      </c>
      <c r="AC112" s="221">
        <f t="shared" si="221"/>
        <v>2066.900673018009</v>
      </c>
      <c r="AD112" s="222">
        <f t="shared" si="221"/>
        <v>9893.1236559217505</v>
      </c>
      <c r="AE112" s="222">
        <f t="shared" si="221"/>
        <v>15764.522025273562</v>
      </c>
      <c r="AF112" s="222">
        <f t="shared" si="221"/>
        <v>14554.735996388452</v>
      </c>
      <c r="AG112" s="222">
        <f t="shared" si="221"/>
        <v>17045.628692036309</v>
      </c>
      <c r="AH112" s="9"/>
      <c r="AI112" s="9"/>
      <c r="AJ112" s="9"/>
      <c r="AK112" s="9"/>
    </row>
    <row r="113" spans="1:37" ht="13.5" customHeight="1" x14ac:dyDescent="0.25">
      <c r="A113" s="205"/>
      <c r="B113" s="9"/>
      <c r="C113" s="9"/>
      <c r="D113" s="9"/>
      <c r="E113" s="9"/>
      <c r="F113" s="250"/>
      <c r="G113" s="250"/>
      <c r="H113" s="250"/>
      <c r="I113" s="250"/>
      <c r="J113" s="9"/>
      <c r="K113" s="250"/>
      <c r="L113" s="250"/>
      <c r="M113" s="250"/>
      <c r="N113" s="250"/>
      <c r="O113" s="9"/>
      <c r="P113" s="250"/>
      <c r="Q113" s="250"/>
      <c r="R113" s="250"/>
      <c r="S113" s="250"/>
      <c r="T113" s="9"/>
      <c r="U113" s="250"/>
      <c r="V113" s="251"/>
      <c r="W113" s="251"/>
      <c r="X113" s="251"/>
      <c r="Y113" s="9"/>
      <c r="Z113" s="251"/>
      <c r="AA113" s="251"/>
      <c r="AB113" s="251"/>
      <c r="AC113" s="251"/>
      <c r="AD113" s="9"/>
      <c r="AE113" s="9"/>
      <c r="AF113" s="9"/>
      <c r="AG113" s="9"/>
      <c r="AH113" s="9"/>
      <c r="AI113" s="9"/>
      <c r="AJ113" s="9"/>
      <c r="AK113" s="9"/>
    </row>
    <row r="114" spans="1:37" ht="13.5" customHeight="1" x14ac:dyDescent="0.25">
      <c r="A114" s="205"/>
      <c r="B114" s="9"/>
      <c r="C114" s="9" t="s">
        <v>308</v>
      </c>
      <c r="D114" s="9"/>
      <c r="E114" s="9"/>
      <c r="F114" s="332">
        <f t="shared" ref="F114:AG114" si="224">F112/F28</f>
        <v>0.11892261677485046</v>
      </c>
      <c r="G114" s="332">
        <f t="shared" si="224"/>
        <v>0.18642370246352546</v>
      </c>
      <c r="H114" s="332">
        <f t="shared" si="224"/>
        <v>0.13189068048198382</v>
      </c>
      <c r="I114" s="332">
        <f t="shared" si="224"/>
        <v>0.20244266636614638</v>
      </c>
      <c r="J114" s="333">
        <f t="shared" si="224"/>
        <v>0.16099103378659224</v>
      </c>
      <c r="K114" s="332">
        <f t="shared" si="224"/>
        <v>0.18953220643567137</v>
      </c>
      <c r="L114" s="332">
        <f t="shared" si="224"/>
        <v>0.14904604011523617</v>
      </c>
      <c r="M114" s="332">
        <f t="shared" si="224"/>
        <v>0.16438575003993822</v>
      </c>
      <c r="N114" s="332">
        <f t="shared" si="224"/>
        <v>0.12810906441877407</v>
      </c>
      <c r="O114" s="333">
        <f t="shared" si="224"/>
        <v>0.15722160078705139</v>
      </c>
      <c r="P114" s="332">
        <f t="shared" si="224"/>
        <v>0.16707600485924048</v>
      </c>
      <c r="Q114" s="332">
        <f t="shared" si="224"/>
        <v>0.11123513771133296</v>
      </c>
      <c r="R114" s="332">
        <f t="shared" si="224"/>
        <v>9.0540934961327035E-2</v>
      </c>
      <c r="S114" s="332">
        <f t="shared" si="224"/>
        <v>5.457461977186312E-2</v>
      </c>
      <c r="T114" s="333">
        <f t="shared" si="224"/>
        <v>0.10427152852864049</v>
      </c>
      <c r="U114" s="332">
        <f t="shared" ref="U114" si="225">U112/U28</f>
        <v>3.0687739463601531</v>
      </c>
      <c r="V114" s="334">
        <f t="shared" si="224"/>
        <v>-2.8764173851324868</v>
      </c>
      <c r="W114" s="334">
        <f t="shared" si="224"/>
        <v>0.12182536978082092</v>
      </c>
      <c r="X114" s="334">
        <f t="shared" si="224"/>
        <v>6.4733121027031076E-2</v>
      </c>
      <c r="Y114" s="333">
        <f t="shared" si="224"/>
        <v>6.5755314803419909E-2</v>
      </c>
      <c r="Z114" s="334">
        <f t="shared" si="224"/>
        <v>0.14477153927578865</v>
      </c>
      <c r="AA114" s="334">
        <f t="shared" si="224"/>
        <v>5.326942370985982E-2</v>
      </c>
      <c r="AB114" s="334">
        <f t="shared" si="224"/>
        <v>0.1296280737004511</v>
      </c>
      <c r="AC114" s="334">
        <f t="shared" si="224"/>
        <v>8.0553207186408765E-2</v>
      </c>
      <c r="AD114" s="333">
        <f t="shared" si="224"/>
        <v>0.10141644263329613</v>
      </c>
      <c r="AE114" s="333">
        <f t="shared" si="224"/>
        <v>0.15065640916995215</v>
      </c>
      <c r="AF114" s="333">
        <f t="shared" si="224"/>
        <v>0.12999387546149965</v>
      </c>
      <c r="AG114" s="333">
        <f t="shared" si="224"/>
        <v>0.14343308764082499</v>
      </c>
      <c r="AH114" s="9"/>
      <c r="AI114" s="9"/>
      <c r="AJ114" s="9"/>
      <c r="AK114" s="9"/>
    </row>
    <row r="115" spans="1:37" ht="13.5" customHeight="1" x14ac:dyDescent="0.25">
      <c r="A115" s="205"/>
      <c r="B115" s="9"/>
      <c r="C115" s="9" t="s">
        <v>309</v>
      </c>
      <c r="D115" s="9"/>
      <c r="E115" s="9"/>
      <c r="F115" s="305">
        <f t="shared" ref="F115:AG115" si="226">F112/F282</f>
        <v>2.5151413189771197</v>
      </c>
      <c r="G115" s="305">
        <f t="shared" si="226"/>
        <v>4.213175675675676</v>
      </c>
      <c r="H115" s="305">
        <f t="shared" si="226"/>
        <v>3.0952868852459017</v>
      </c>
      <c r="I115" s="305">
        <f t="shared" si="226"/>
        <v>4.8880952380952385</v>
      </c>
      <c r="J115" s="91">
        <f t="shared" si="226"/>
        <v>14.755102040816327</v>
      </c>
      <c r="K115" s="305">
        <f t="shared" si="226"/>
        <v>4.6809986130374481</v>
      </c>
      <c r="L115" s="305">
        <f t="shared" si="226"/>
        <v>3.8296089385474859</v>
      </c>
      <c r="M115" s="305">
        <f t="shared" si="226"/>
        <v>4.3601694915254239</v>
      </c>
      <c r="N115" s="305">
        <f t="shared" si="226"/>
        <v>3.457865168539326</v>
      </c>
      <c r="O115" s="91">
        <f t="shared" si="226"/>
        <v>16.384831460674157</v>
      </c>
      <c r="P115" s="305">
        <f t="shared" si="226"/>
        <v>4.5124821683309557</v>
      </c>
      <c r="Q115" s="305">
        <f t="shared" si="226"/>
        <v>3.1765759312320916</v>
      </c>
      <c r="R115" s="305">
        <f t="shared" si="226"/>
        <v>2.6896676300578033</v>
      </c>
      <c r="S115" s="305">
        <f t="shared" si="226"/>
        <v>1.652158273381295</v>
      </c>
      <c r="T115" s="91">
        <f t="shared" si="226"/>
        <v>12.071942446043165</v>
      </c>
      <c r="U115" s="305">
        <f t="shared" ref="U115" si="227">U112/U282</f>
        <v>93.541605839416064</v>
      </c>
      <c r="V115" s="306">
        <f t="shared" ref="V115:X115" si="228">V112/V282</f>
        <v>-91.275061226069923</v>
      </c>
      <c r="W115" s="306">
        <f t="shared" si="228"/>
        <v>3.9741972799919258</v>
      </c>
      <c r="X115" s="306">
        <f t="shared" si="228"/>
        <v>2.1889808610545507</v>
      </c>
      <c r="Y115" s="91">
        <f t="shared" si="226"/>
        <v>8.4593152322877483</v>
      </c>
      <c r="Z115" s="306">
        <f t="shared" si="226"/>
        <v>4.8856965004236779</v>
      </c>
      <c r="AA115" s="306">
        <f t="shared" si="226"/>
        <v>1.8817141095532004</v>
      </c>
      <c r="AB115" s="306">
        <f t="shared" si="226"/>
        <v>4.6923176133887781</v>
      </c>
      <c r="AC115" s="306">
        <f t="shared" si="226"/>
        <v>3.0305888389084736</v>
      </c>
      <c r="AD115" s="91">
        <f t="shared" si="226"/>
        <v>14.491237149666082</v>
      </c>
      <c r="AE115" s="91">
        <f t="shared" si="226"/>
        <v>23.153320496778292</v>
      </c>
      <c r="AF115" s="91">
        <f t="shared" si="226"/>
        <v>21.433705426036088</v>
      </c>
      <c r="AG115" s="91">
        <f t="shared" si="226"/>
        <v>25.16902538613088</v>
      </c>
      <c r="AH115" s="9"/>
      <c r="AI115" s="9"/>
      <c r="AJ115" s="9"/>
      <c r="AK115" s="9"/>
    </row>
    <row r="116" spans="1:37" ht="13.5" customHeight="1" x14ac:dyDescent="0.25">
      <c r="A116" s="205"/>
      <c r="B116" s="9"/>
      <c r="C116" s="9" t="s">
        <v>310</v>
      </c>
      <c r="D116" s="9"/>
      <c r="E116" s="9"/>
      <c r="F116" s="332">
        <f t="shared" ref="F116:I116" si="229">F115*4/F239</f>
        <v>5.7211062131978838E-2</v>
      </c>
      <c r="G116" s="332">
        <f t="shared" si="229"/>
        <v>0.10459071993236954</v>
      </c>
      <c r="H116" s="332">
        <f t="shared" si="229"/>
        <v>7.6412686175298436E-2</v>
      </c>
      <c r="I116" s="332">
        <f t="shared" si="229"/>
        <v>0.1242762407193857</v>
      </c>
      <c r="J116" s="333">
        <f>J115/J239</f>
        <v>8.9618502138481645E-2</v>
      </c>
      <c r="K116" s="332">
        <f t="shared" ref="K116:N116" si="230">K115*4/K239</f>
        <v>8.766325414181278E-2</v>
      </c>
      <c r="L116" s="332">
        <f t="shared" si="230"/>
        <v>6.4807021847907695E-2</v>
      </c>
      <c r="M116" s="332">
        <f t="shared" si="230"/>
        <v>7.1099380212399893E-2</v>
      </c>
      <c r="N116" s="332">
        <f t="shared" si="230"/>
        <v>4.7037784982680846E-2</v>
      </c>
      <c r="O116" s="333">
        <f>O115/O239</f>
        <v>6.8339831853163821E-2</v>
      </c>
      <c r="P116" s="332">
        <f t="shared" ref="P116:S116" si="231">P115*4/P239</f>
        <v>6.0698552891427587E-2</v>
      </c>
      <c r="Q116" s="332">
        <f t="shared" si="231"/>
        <v>4.3562478486452158E-2</v>
      </c>
      <c r="R116" s="332">
        <f t="shared" si="231"/>
        <v>3.4126341813840048E-2</v>
      </c>
      <c r="S116" s="332">
        <f t="shared" si="231"/>
        <v>1.8324228735686069E-2</v>
      </c>
      <c r="T116" s="333">
        <f>T115/T239</f>
        <v>3.8432861987580946E-2</v>
      </c>
      <c r="U116" s="332">
        <f t="shared" ref="U116" si="232">U115*4/U239</f>
        <v>1.2029527499924904</v>
      </c>
      <c r="V116" s="334">
        <f t="shared" ref="V116:X116" si="233">V115*4/V239</f>
        <v>-1.1738047997179772</v>
      </c>
      <c r="W116" s="334">
        <f t="shared" si="233"/>
        <v>5.1108504115122501E-2</v>
      </c>
      <c r="X116" s="334">
        <f t="shared" si="233"/>
        <v>2.8150474036195351E-2</v>
      </c>
      <c r="Y116" s="333">
        <f>Y115/Y239</f>
        <v>2.7196872531789318E-2</v>
      </c>
      <c r="Z116" s="334">
        <f t="shared" ref="Z116:AC116" si="234">Z115*4/Z239</f>
        <v>6.2830459110386802E-2</v>
      </c>
      <c r="AA116" s="334">
        <f t="shared" si="234"/>
        <v>2.4198998322443419E-2</v>
      </c>
      <c r="AB116" s="334">
        <f t="shared" si="234"/>
        <v>6.0343590707160208E-2</v>
      </c>
      <c r="AC116" s="334">
        <f t="shared" si="234"/>
        <v>3.8973621899543127E-2</v>
      </c>
      <c r="AD116" s="333">
        <f t="shared" ref="AD116:AG116" si="235">AD115/AD239</f>
        <v>4.6589625609780354E-2</v>
      </c>
      <c r="AE116" s="333">
        <f t="shared" si="235"/>
        <v>7.4438401802913737E-2</v>
      </c>
      <c r="AF116" s="333">
        <f t="shared" si="235"/>
        <v>6.8909803967451416E-2</v>
      </c>
      <c r="AG116" s="333">
        <f t="shared" si="235"/>
        <v>8.0918934497591563E-2</v>
      </c>
      <c r="AH116" s="9"/>
      <c r="AI116" s="9"/>
      <c r="AJ116" s="9"/>
      <c r="AK116" s="9"/>
    </row>
    <row r="117" spans="1:37" ht="13.5" customHeight="1" x14ac:dyDescent="0.25">
      <c r="A117" s="205"/>
      <c r="B117" s="9"/>
      <c r="C117" s="9"/>
      <c r="D117" s="9"/>
      <c r="E117" s="9"/>
      <c r="F117" s="250"/>
      <c r="G117" s="250"/>
      <c r="H117" s="250"/>
      <c r="I117" s="250"/>
      <c r="J117" s="9"/>
      <c r="K117" s="250"/>
      <c r="L117" s="250"/>
      <c r="M117" s="250"/>
      <c r="N117" s="250"/>
      <c r="O117" s="9"/>
      <c r="P117" s="250"/>
      <c r="Q117" s="250"/>
      <c r="R117" s="250"/>
      <c r="S117" s="250"/>
      <c r="T117" s="9"/>
      <c r="U117" s="250"/>
      <c r="V117" s="251"/>
      <c r="W117" s="251"/>
      <c r="X117" s="251"/>
      <c r="Y117" s="9"/>
      <c r="Z117" s="251"/>
      <c r="AA117" s="251"/>
      <c r="AB117" s="251"/>
      <c r="AC117" s="251"/>
      <c r="AD117" s="9"/>
      <c r="AE117" s="9"/>
      <c r="AF117" s="9"/>
      <c r="AG117" s="9"/>
      <c r="AH117" s="9"/>
      <c r="AI117" s="9"/>
      <c r="AJ117" s="9"/>
      <c r="AK117" s="9"/>
    </row>
    <row r="118" spans="1:37" ht="13.5" customHeight="1" x14ac:dyDescent="0.25">
      <c r="A118" s="205" t="s">
        <v>0</v>
      </c>
      <c r="B118" s="37"/>
      <c r="C118" s="50" t="s">
        <v>311</v>
      </c>
      <c r="D118" s="12"/>
      <c r="E118" s="12"/>
      <c r="F118" s="248" t="str">
        <f>F$25</f>
        <v>1Q23</v>
      </c>
      <c r="G118" s="51" t="str">
        <f t="shared" ref="G118:AG118" si="236">G$63</f>
        <v>2Q23</v>
      </c>
      <c r="H118" s="51" t="str">
        <f t="shared" si="236"/>
        <v>3Q23</v>
      </c>
      <c r="I118" s="51" t="str">
        <f t="shared" si="236"/>
        <v>4Q23</v>
      </c>
      <c r="J118" s="51">
        <f t="shared" si="236"/>
        <v>2023</v>
      </c>
      <c r="K118" s="51" t="str">
        <f t="shared" si="236"/>
        <v>1Q24</v>
      </c>
      <c r="L118" s="51" t="str">
        <f t="shared" si="236"/>
        <v>2Q24</v>
      </c>
      <c r="M118" s="51" t="str">
        <f t="shared" si="236"/>
        <v>3Q24</v>
      </c>
      <c r="N118" s="51" t="str">
        <f t="shared" si="236"/>
        <v>4Q24</v>
      </c>
      <c r="O118" s="51">
        <f t="shared" si="236"/>
        <v>2024</v>
      </c>
      <c r="P118" s="51" t="str">
        <f t="shared" si="236"/>
        <v>1Q25</v>
      </c>
      <c r="Q118" s="51" t="str">
        <f t="shared" si="236"/>
        <v>2Q25</v>
      </c>
      <c r="R118" s="51" t="str">
        <f t="shared" si="236"/>
        <v>3Q25</v>
      </c>
      <c r="S118" s="51" t="str">
        <f t="shared" si="236"/>
        <v>4Q25</v>
      </c>
      <c r="T118" s="51">
        <f t="shared" si="236"/>
        <v>2025</v>
      </c>
      <c r="U118" s="51" t="str">
        <f t="shared" si="236"/>
        <v>1Q26</v>
      </c>
      <c r="V118" s="51" t="str">
        <f t="shared" si="236"/>
        <v>2Q26e</v>
      </c>
      <c r="W118" s="51" t="str">
        <f t="shared" si="236"/>
        <v>3Q26e</v>
      </c>
      <c r="X118" s="51" t="str">
        <f t="shared" si="236"/>
        <v>4Q26e</v>
      </c>
      <c r="Y118" s="51" t="str">
        <f t="shared" si="236"/>
        <v>2026e</v>
      </c>
      <c r="Z118" s="51" t="str">
        <f t="shared" si="236"/>
        <v>1Q27e</v>
      </c>
      <c r="AA118" s="51" t="str">
        <f t="shared" si="236"/>
        <v>2Q27e</v>
      </c>
      <c r="AB118" s="51" t="str">
        <f t="shared" si="236"/>
        <v>3Q27e</v>
      </c>
      <c r="AC118" s="51" t="str">
        <f t="shared" si="236"/>
        <v>4Q27e</v>
      </c>
      <c r="AD118" s="51" t="str">
        <f t="shared" si="236"/>
        <v>2027e</v>
      </c>
      <c r="AE118" s="51" t="str">
        <f t="shared" si="236"/>
        <v>2028e</v>
      </c>
      <c r="AF118" s="51" t="str">
        <f t="shared" si="236"/>
        <v>2029e</v>
      </c>
      <c r="AG118" s="52" t="str">
        <f t="shared" si="236"/>
        <v>2030e</v>
      </c>
      <c r="AH118" s="205" t="s">
        <v>0</v>
      </c>
      <c r="AI118" s="9"/>
      <c r="AJ118" s="9"/>
      <c r="AK118" s="9"/>
    </row>
    <row r="119" spans="1:37" ht="13.5" customHeight="1" x14ac:dyDescent="0.25">
      <c r="A119" s="205"/>
      <c r="B119" s="9"/>
      <c r="C119" s="9"/>
      <c r="D119" s="9"/>
      <c r="E119" s="9"/>
      <c r="F119" s="250"/>
      <c r="G119" s="250"/>
      <c r="H119" s="250"/>
      <c r="I119" s="250"/>
      <c r="J119" s="9"/>
      <c r="K119" s="250"/>
      <c r="L119" s="250"/>
      <c r="M119" s="250"/>
      <c r="N119" s="250"/>
      <c r="O119" s="9"/>
      <c r="P119" s="250"/>
      <c r="Q119" s="250"/>
      <c r="R119" s="250"/>
      <c r="S119" s="250"/>
      <c r="T119" s="9"/>
      <c r="U119" s="250"/>
      <c r="V119" s="251"/>
      <c r="W119" s="251"/>
      <c r="X119" s="251"/>
      <c r="Y119" s="9"/>
      <c r="Z119" s="251"/>
      <c r="AA119" s="251"/>
      <c r="AB119" s="251"/>
      <c r="AC119" s="251"/>
      <c r="AD119" s="9"/>
      <c r="AE119" s="9"/>
      <c r="AF119" s="9"/>
      <c r="AG119" s="9"/>
      <c r="AH119" s="9"/>
      <c r="AI119" s="9"/>
      <c r="AJ119" s="9"/>
      <c r="AK119" s="9"/>
    </row>
    <row r="120" spans="1:37" ht="13.5" customHeight="1" x14ac:dyDescent="0.25">
      <c r="A120" s="205"/>
      <c r="B120" s="9"/>
      <c r="C120" s="9" t="s">
        <v>312</v>
      </c>
      <c r="D120" s="9"/>
      <c r="E120" s="9"/>
      <c r="F120" s="327">
        <f>40836</f>
        <v>40836</v>
      </c>
      <c r="G120" s="327">
        <f>3379+38869+710</f>
        <v>42958</v>
      </c>
      <c r="H120" s="327">
        <f>5082+38742+84</f>
        <v>43908</v>
      </c>
      <c r="I120" s="327">
        <f>7118+39312+166</f>
        <v>46596</v>
      </c>
      <c r="J120" s="222">
        <f t="shared" ref="J120:J124" si="237">I120</f>
        <v>46596</v>
      </c>
      <c r="K120" s="327">
        <f>6264+47880+69</f>
        <v>54213</v>
      </c>
      <c r="L120" s="327">
        <f>6674+46033+188</f>
        <v>52895</v>
      </c>
      <c r="M120" s="327">
        <f>3205+44593+120</f>
        <v>47918</v>
      </c>
      <c r="N120" s="327">
        <f>3413+37006+221</f>
        <v>40640</v>
      </c>
      <c r="O120" s="222">
        <f t="shared" ref="O120:O124" si="238">N120</f>
        <v>40640</v>
      </c>
      <c r="P120" s="327">
        <f>3024+49223+261</f>
        <v>52508</v>
      </c>
      <c r="Q120" s="327">
        <f>3120+54620+197</f>
        <v>57937</v>
      </c>
      <c r="R120" s="327">
        <f>3234+50201+1271</f>
        <v>54706</v>
      </c>
      <c r="S120" s="327">
        <f>3559+43491+742</f>
        <v>47792</v>
      </c>
      <c r="T120" s="222">
        <f t="shared" ref="T120:T124" si="239">S120</f>
        <v>47792</v>
      </c>
      <c r="U120" s="327">
        <v>53757</v>
      </c>
      <c r="V120" s="221">
        <f t="shared" ref="V120:X120" ca="1" si="240">V104</f>
        <v>62511.832442510888</v>
      </c>
      <c r="W120" s="221">
        <f t="shared" ca="1" si="240"/>
        <v>68333.224136109755</v>
      </c>
      <c r="X120" s="221">
        <f t="shared" ca="1" si="240"/>
        <v>71873.754913976241</v>
      </c>
      <c r="Y120" s="222">
        <f t="shared" ref="Y120:Y124" ca="1" si="241">X120</f>
        <v>71873.754913976241</v>
      </c>
      <c r="Z120" s="221">
        <f t="shared" ref="Z120:AC120" ca="1" si="242">Z104</f>
        <v>75720.921690075382</v>
      </c>
      <c r="AA120" s="221">
        <f t="shared" ca="1" si="242"/>
        <v>86701.190143069078</v>
      </c>
      <c r="AB120" s="221">
        <f t="shared" ca="1" si="242"/>
        <v>90740.151146929129</v>
      </c>
      <c r="AC120" s="221">
        <f t="shared" ca="1" si="242"/>
        <v>93787.339816058011</v>
      </c>
      <c r="AD120" s="222">
        <f t="shared" ref="AD120:AD124" ca="1" si="243">AC120</f>
        <v>93787.339816058011</v>
      </c>
      <c r="AE120" s="222">
        <f t="shared" ref="AE120:AG120" ca="1" si="244">AE104</f>
        <v>109956.47238790397</v>
      </c>
      <c r="AF120" s="222">
        <f t="shared" ca="1" si="244"/>
        <v>133376.00532693666</v>
      </c>
      <c r="AG120" s="222">
        <f t="shared" ca="1" si="244"/>
        <v>156792.60587426255</v>
      </c>
      <c r="AH120" s="9"/>
      <c r="AI120" s="9"/>
      <c r="AJ120" s="9"/>
      <c r="AK120" s="9"/>
    </row>
    <row r="121" spans="1:37" ht="13.5" customHeight="1" x14ac:dyDescent="0.25">
      <c r="A121" s="205"/>
      <c r="B121" s="9"/>
      <c r="C121" s="828" t="s">
        <v>827</v>
      </c>
      <c r="D121" s="9"/>
      <c r="E121" s="9"/>
      <c r="F121" s="293">
        <v>57271</v>
      </c>
      <c r="G121" s="293">
        <v>58011</v>
      </c>
      <c r="H121" s="293">
        <v>58651</v>
      </c>
      <c r="I121" s="293">
        <v>60237</v>
      </c>
      <c r="J121" s="126">
        <f t="shared" si="237"/>
        <v>60237</v>
      </c>
      <c r="K121" s="293">
        <v>59624</v>
      </c>
      <c r="L121" s="293">
        <v>59485</v>
      </c>
      <c r="M121" s="293">
        <v>58886</v>
      </c>
      <c r="N121" s="293">
        <v>59240</v>
      </c>
      <c r="O121" s="126">
        <f t="shared" si="238"/>
        <v>59240</v>
      </c>
      <c r="P121" s="293">
        <v>58355</v>
      </c>
      <c r="Q121" s="293">
        <v>59405</v>
      </c>
      <c r="R121" s="293">
        <v>60823</v>
      </c>
      <c r="S121" s="293">
        <v>61851</v>
      </c>
      <c r="T121" s="126">
        <f t="shared" si="239"/>
        <v>61851</v>
      </c>
      <c r="U121" s="293">
        <v>0</v>
      </c>
      <c r="V121" s="294">
        <f t="shared" ref="V121:X121" si="245">V162</f>
        <v>65187.609000000004</v>
      </c>
      <c r="W121" s="294">
        <f t="shared" si="245"/>
        <v>65999.73254782609</v>
      </c>
      <c r="X121" s="294">
        <f t="shared" si="245"/>
        <v>68367.792425460866</v>
      </c>
      <c r="Y121" s="126">
        <f t="shared" si="241"/>
        <v>68367.792425460866</v>
      </c>
      <c r="Z121" s="294">
        <f t="shared" ref="Z121:AC121" si="246">Z162</f>
        <v>68934.039532897048</v>
      </c>
      <c r="AA121" s="294">
        <f t="shared" si="246"/>
        <v>71974.240395488581</v>
      </c>
      <c r="AB121" s="294">
        <f t="shared" si="246"/>
        <v>72904.314958917457</v>
      </c>
      <c r="AC121" s="294">
        <f t="shared" si="246"/>
        <v>75581.974615221567</v>
      </c>
      <c r="AD121" s="126">
        <f t="shared" si="243"/>
        <v>75581.974615221567</v>
      </c>
      <c r="AE121" s="126">
        <f t="shared" ref="AE121:AG121" si="247">AE162</f>
        <v>77690.805106542946</v>
      </c>
      <c r="AF121" s="126">
        <f t="shared" si="247"/>
        <v>83130.016618791167</v>
      </c>
      <c r="AG121" s="126">
        <f t="shared" si="247"/>
        <v>87909.250259072593</v>
      </c>
      <c r="AH121" s="9"/>
      <c r="AI121" s="9"/>
      <c r="AJ121" s="9"/>
      <c r="AK121" s="9"/>
    </row>
    <row r="122" spans="1:37" ht="13.5" customHeight="1" x14ac:dyDescent="0.25">
      <c r="A122" s="205"/>
      <c r="B122" s="9"/>
      <c r="C122" s="9" t="s">
        <v>313</v>
      </c>
      <c r="D122" s="9"/>
      <c r="E122" s="9"/>
      <c r="F122" s="293">
        <v>0</v>
      </c>
      <c r="G122" s="293">
        <v>0</v>
      </c>
      <c r="H122" s="293">
        <v>0</v>
      </c>
      <c r="I122" s="293">
        <v>0</v>
      </c>
      <c r="J122" s="126">
        <f t="shared" si="237"/>
        <v>0</v>
      </c>
      <c r="K122" s="293">
        <v>0</v>
      </c>
      <c r="L122" s="293">
        <v>0</v>
      </c>
      <c r="M122" s="293">
        <v>0</v>
      </c>
      <c r="N122" s="293">
        <v>0</v>
      </c>
      <c r="O122" s="126">
        <f t="shared" si="238"/>
        <v>0</v>
      </c>
      <c r="P122" s="293">
        <v>0</v>
      </c>
      <c r="Q122" s="293">
        <v>0</v>
      </c>
      <c r="R122" s="293">
        <v>0</v>
      </c>
      <c r="S122" s="293">
        <v>0</v>
      </c>
      <c r="T122" s="126">
        <f t="shared" si="239"/>
        <v>0</v>
      </c>
      <c r="U122" s="293">
        <v>0</v>
      </c>
      <c r="V122" s="294">
        <f t="shared" ref="V122:X122" si="248">V163</f>
        <v>0</v>
      </c>
      <c r="W122" s="294">
        <f t="shared" si="248"/>
        <v>0</v>
      </c>
      <c r="X122" s="294">
        <f t="shared" si="248"/>
        <v>0</v>
      </c>
      <c r="Y122" s="126">
        <f t="shared" si="241"/>
        <v>0</v>
      </c>
      <c r="Z122" s="294">
        <f t="shared" ref="Z122:AC122" si="249">Z163</f>
        <v>0</v>
      </c>
      <c r="AA122" s="294">
        <f t="shared" si="249"/>
        <v>0</v>
      </c>
      <c r="AB122" s="294">
        <f t="shared" si="249"/>
        <v>0</v>
      </c>
      <c r="AC122" s="294">
        <f t="shared" si="249"/>
        <v>0</v>
      </c>
      <c r="AD122" s="126">
        <f t="shared" si="243"/>
        <v>0</v>
      </c>
      <c r="AE122" s="126">
        <f t="shared" ref="AE122:AG122" si="250">AE163</f>
        <v>0</v>
      </c>
      <c r="AF122" s="126">
        <f t="shared" si="250"/>
        <v>0</v>
      </c>
      <c r="AG122" s="126">
        <f t="shared" si="250"/>
        <v>0</v>
      </c>
      <c r="AH122" s="9"/>
      <c r="AI122" s="9"/>
      <c r="AJ122" s="9"/>
      <c r="AK122" s="9"/>
    </row>
    <row r="123" spans="1:37" ht="13.5" customHeight="1" x14ac:dyDescent="0.25">
      <c r="A123" s="205"/>
      <c r="B123" s="9"/>
      <c r="C123" s="9" t="s">
        <v>314</v>
      </c>
      <c r="D123" s="9"/>
      <c r="E123" s="9"/>
      <c r="F123" s="289">
        <v>0</v>
      </c>
      <c r="G123" s="289">
        <v>0</v>
      </c>
      <c r="H123" s="289">
        <v>0</v>
      </c>
      <c r="I123" s="289">
        <v>0</v>
      </c>
      <c r="J123" s="290">
        <f t="shared" si="237"/>
        <v>0</v>
      </c>
      <c r="K123" s="289">
        <v>0</v>
      </c>
      <c r="L123" s="289">
        <v>0</v>
      </c>
      <c r="M123" s="289">
        <v>0</v>
      </c>
      <c r="N123" s="289">
        <v>0</v>
      </c>
      <c r="O123" s="290">
        <f t="shared" si="238"/>
        <v>0</v>
      </c>
      <c r="P123" s="289">
        <v>0</v>
      </c>
      <c r="Q123" s="289">
        <v>0</v>
      </c>
      <c r="R123" s="289">
        <v>0</v>
      </c>
      <c r="S123" s="289">
        <v>0</v>
      </c>
      <c r="T123" s="290">
        <f t="shared" si="239"/>
        <v>0</v>
      </c>
      <c r="U123" s="289">
        <v>0</v>
      </c>
      <c r="V123" s="291">
        <f t="shared" ref="V123:X123" si="251">V164</f>
        <v>0</v>
      </c>
      <c r="W123" s="291">
        <f t="shared" si="251"/>
        <v>0</v>
      </c>
      <c r="X123" s="291">
        <f t="shared" si="251"/>
        <v>0</v>
      </c>
      <c r="Y123" s="290">
        <f t="shared" si="241"/>
        <v>0</v>
      </c>
      <c r="Z123" s="291">
        <f t="shared" ref="Z123:AC123" si="252">Z164</f>
        <v>0</v>
      </c>
      <c r="AA123" s="291">
        <f t="shared" si="252"/>
        <v>0</v>
      </c>
      <c r="AB123" s="291">
        <f t="shared" si="252"/>
        <v>0</v>
      </c>
      <c r="AC123" s="291">
        <f t="shared" si="252"/>
        <v>0</v>
      </c>
      <c r="AD123" s="290">
        <f t="shared" si="243"/>
        <v>0</v>
      </c>
      <c r="AE123" s="290">
        <f t="shared" ref="AE123:AG123" si="253">AE164</f>
        <v>0</v>
      </c>
      <c r="AF123" s="290">
        <f t="shared" si="253"/>
        <v>0</v>
      </c>
      <c r="AG123" s="290">
        <f t="shared" si="253"/>
        <v>0</v>
      </c>
      <c r="AH123" s="9"/>
      <c r="AI123" s="9"/>
      <c r="AJ123" s="9"/>
      <c r="AK123" s="9"/>
    </row>
    <row r="124" spans="1:37" ht="13.5" customHeight="1" x14ac:dyDescent="0.25">
      <c r="A124" s="205"/>
      <c r="B124" s="9"/>
      <c r="C124" s="103" t="s">
        <v>315</v>
      </c>
      <c r="D124" s="9"/>
      <c r="E124" s="9"/>
      <c r="F124" s="288">
        <f t="shared" ref="F124:I124" si="254">SUM(F120:F123)</f>
        <v>98107</v>
      </c>
      <c r="G124" s="288">
        <f t="shared" si="254"/>
        <v>100969</v>
      </c>
      <c r="H124" s="288">
        <f t="shared" si="254"/>
        <v>102559</v>
      </c>
      <c r="I124" s="288">
        <f t="shared" si="254"/>
        <v>106833</v>
      </c>
      <c r="J124" s="222">
        <f t="shared" si="237"/>
        <v>106833</v>
      </c>
      <c r="K124" s="288">
        <f t="shared" ref="K124:N124" si="255">SUM(K120:K123)</f>
        <v>113837</v>
      </c>
      <c r="L124" s="288">
        <f t="shared" si="255"/>
        <v>112380</v>
      </c>
      <c r="M124" s="288">
        <f t="shared" si="255"/>
        <v>106804</v>
      </c>
      <c r="N124" s="288">
        <f t="shared" si="255"/>
        <v>99880</v>
      </c>
      <c r="O124" s="222">
        <f t="shared" si="238"/>
        <v>99880</v>
      </c>
      <c r="P124" s="288">
        <f t="shared" ref="P124:S124" si="256">SUM(P120:P123)</f>
        <v>110863</v>
      </c>
      <c r="Q124" s="288">
        <f t="shared" si="256"/>
        <v>117342</v>
      </c>
      <c r="R124" s="288">
        <f t="shared" si="256"/>
        <v>115529</v>
      </c>
      <c r="S124" s="288">
        <f t="shared" si="256"/>
        <v>109643</v>
      </c>
      <c r="T124" s="222">
        <f t="shared" si="239"/>
        <v>109643</v>
      </c>
      <c r="U124" s="288">
        <f t="shared" ref="U124" si="257">SUM(U120:U123)</f>
        <v>53757</v>
      </c>
      <c r="V124" s="221">
        <f t="shared" ref="V124:X124" ca="1" si="258">SUM(V120:V123)</f>
        <v>130021.56205751088</v>
      </c>
      <c r="W124" s="221">
        <f t="shared" ca="1" si="258"/>
        <v>136376.51870502281</v>
      </c>
      <c r="X124" s="221">
        <f t="shared" ca="1" si="258"/>
        <v>142683.42671765696</v>
      </c>
      <c r="Y124" s="222">
        <f t="shared" ca="1" si="241"/>
        <v>142683.42671765696</v>
      </c>
      <c r="Z124" s="221">
        <f t="shared" ref="Z124:AC124" ca="1" si="259">SUM(Z120:Z123)</f>
        <v>147091.75043898693</v>
      </c>
      <c r="AA124" s="221">
        <f t="shared" ca="1" si="259"/>
        <v>161262.51743476727</v>
      </c>
      <c r="AB124" s="221">
        <f t="shared" ca="1" si="259"/>
        <v>166278.6091735012</v>
      </c>
      <c r="AC124" s="221">
        <f t="shared" ca="1" si="259"/>
        <v>172103.8719939802</v>
      </c>
      <c r="AD124" s="222">
        <f t="shared" ca="1" si="243"/>
        <v>172103.8719939802</v>
      </c>
      <c r="AE124" s="222">
        <f t="shared" ref="AE124:AG124" ca="1" si="260">SUM(AE120:AE123)</f>
        <v>190432.66121750529</v>
      </c>
      <c r="AF124" s="222">
        <f t="shared" ca="1" si="260"/>
        <v>219470.05939807254</v>
      </c>
      <c r="AG124" s="222">
        <f t="shared" ca="1" si="260"/>
        <v>247832.14218079293</v>
      </c>
      <c r="AH124" s="9"/>
      <c r="AI124" s="9"/>
      <c r="AJ124" s="9"/>
      <c r="AK124" s="9"/>
    </row>
    <row r="125" spans="1:37" ht="13.5" customHeight="1" x14ac:dyDescent="0.25">
      <c r="A125" s="205"/>
      <c r="B125" s="9"/>
      <c r="C125" s="9"/>
      <c r="D125" s="9"/>
      <c r="E125" s="9"/>
      <c r="F125" s="250"/>
      <c r="G125" s="250"/>
      <c r="H125" s="250"/>
      <c r="I125" s="250"/>
      <c r="J125" s="9"/>
      <c r="K125" s="250"/>
      <c r="L125" s="250"/>
      <c r="M125" s="250"/>
      <c r="N125" s="250"/>
      <c r="O125" s="9"/>
      <c r="P125" s="250"/>
      <c r="Q125" s="250"/>
      <c r="R125" s="250"/>
      <c r="S125" s="250"/>
      <c r="T125" s="9"/>
      <c r="U125" s="250"/>
      <c r="V125" s="221"/>
      <c r="W125" s="221"/>
      <c r="X125" s="221"/>
      <c r="Y125" s="9"/>
      <c r="Z125" s="221"/>
      <c r="AA125" s="221"/>
      <c r="AB125" s="221"/>
      <c r="AC125" s="221"/>
      <c r="AD125" s="9"/>
      <c r="AE125" s="222"/>
      <c r="AF125" s="222"/>
      <c r="AG125" s="222"/>
      <c r="AH125" s="9"/>
      <c r="AI125" s="9"/>
      <c r="AJ125" s="9"/>
      <c r="AK125" s="9"/>
    </row>
    <row r="126" spans="1:37" ht="13.5" customHeight="1" x14ac:dyDescent="0.25">
      <c r="A126" s="205"/>
      <c r="B126" s="9"/>
      <c r="C126" s="9" t="s">
        <v>316</v>
      </c>
      <c r="D126" s="9"/>
      <c r="E126" s="9"/>
      <c r="F126" s="327">
        <v>5204</v>
      </c>
      <c r="G126" s="327">
        <v>5177</v>
      </c>
      <c r="H126" s="327">
        <v>5124</v>
      </c>
      <c r="I126" s="327">
        <v>5138</v>
      </c>
      <c r="J126" s="222">
        <f t="shared" ref="J126:J130" si="261">I126</f>
        <v>5138</v>
      </c>
      <c r="K126" s="327">
        <v>5138</v>
      </c>
      <c r="L126" s="327">
        <v>5247</v>
      </c>
      <c r="M126" s="327">
        <v>5308</v>
      </c>
      <c r="N126" s="327">
        <v>5371</v>
      </c>
      <c r="O126" s="222">
        <f t="shared" ref="O126:O130" si="262">N126</f>
        <v>5371</v>
      </c>
      <c r="P126" s="327">
        <v>5383</v>
      </c>
      <c r="Q126" s="327">
        <v>5662</v>
      </c>
      <c r="R126" s="327">
        <v>5861</v>
      </c>
      <c r="S126" s="327">
        <v>6118</v>
      </c>
      <c r="T126" s="222">
        <f t="shared" ref="T126:T130" si="263">S126</f>
        <v>6118</v>
      </c>
      <c r="U126" s="327">
        <v>7240</v>
      </c>
      <c r="V126" s="221">
        <f t="shared" ref="V126:X126" si="264">V196</f>
        <v>7301.1875358589841</v>
      </c>
      <c r="W126" s="221">
        <f t="shared" si="264"/>
        <v>7307.8291415201438</v>
      </c>
      <c r="X126" s="221">
        <f t="shared" si="264"/>
        <v>7311.649409755848</v>
      </c>
      <c r="Y126" s="222">
        <f t="shared" ref="Y126:Y130" si="265">X126</f>
        <v>7311.649409755848</v>
      </c>
      <c r="Z126" s="221">
        <f t="shared" ref="Z126:AC126" si="266">Z196</f>
        <v>7359.7467121632963</v>
      </c>
      <c r="AA126" s="221">
        <f t="shared" si="266"/>
        <v>7384.4760680672998</v>
      </c>
      <c r="AB126" s="221">
        <f t="shared" si="266"/>
        <v>7397.0643764343067</v>
      </c>
      <c r="AC126" s="221">
        <f t="shared" si="266"/>
        <v>7482.891494151595</v>
      </c>
      <c r="AD126" s="222">
        <f t="shared" ref="AD126:AD130" si="267">AC126</f>
        <v>7482.891494151595</v>
      </c>
      <c r="AE126" s="222">
        <f t="shared" ref="AE126:AG126" si="268">AE196</f>
        <v>7457.7096888512551</v>
      </c>
      <c r="AF126" s="222">
        <f t="shared" si="268"/>
        <v>8136.4860737769341</v>
      </c>
      <c r="AG126" s="222">
        <f t="shared" si="268"/>
        <v>8458.2493297847686</v>
      </c>
      <c r="AH126" s="9"/>
      <c r="AI126" s="9"/>
      <c r="AJ126" s="126"/>
      <c r="AK126" s="832"/>
    </row>
    <row r="127" spans="1:37" ht="13.5" customHeight="1" x14ac:dyDescent="0.25">
      <c r="A127" s="205"/>
      <c r="B127" s="9"/>
      <c r="C127" s="828" t="s">
        <v>828</v>
      </c>
      <c r="D127" s="9"/>
      <c r="E127" s="9"/>
      <c r="F127" s="293">
        <v>104997</v>
      </c>
      <c r="G127" s="293">
        <v>110212</v>
      </c>
      <c r="H127" s="293">
        <v>113257</v>
      </c>
      <c r="I127" s="293">
        <v>120877</v>
      </c>
      <c r="J127" s="126">
        <f t="shared" si="261"/>
        <v>120877</v>
      </c>
      <c r="K127" s="293">
        <v>121348</v>
      </c>
      <c r="L127" s="293">
        <v>125530</v>
      </c>
      <c r="M127" s="293">
        <v>128960</v>
      </c>
      <c r="N127" s="293">
        <f>133995+758</f>
        <v>134753</v>
      </c>
      <c r="O127" s="126">
        <f t="shared" si="262"/>
        <v>134753</v>
      </c>
      <c r="P127" s="293">
        <f>133611+776</f>
        <v>134387</v>
      </c>
      <c r="Q127" s="293">
        <f>136508+2405</f>
        <v>138913</v>
      </c>
      <c r="R127" s="293">
        <f>138946+2424</f>
        <v>141370</v>
      </c>
      <c r="S127" s="293">
        <f>145923+2457</f>
        <v>148380</v>
      </c>
      <c r="T127" s="126">
        <f t="shared" si="263"/>
        <v>148380</v>
      </c>
      <c r="U127" s="293">
        <f>207247+2477</f>
        <v>209724</v>
      </c>
      <c r="V127" s="294">
        <f t="shared" ref="V127:X127" si="269">V210</f>
        <v>209724</v>
      </c>
      <c r="W127" s="294">
        <f t="shared" si="269"/>
        <v>209724</v>
      </c>
      <c r="X127" s="294">
        <f t="shared" si="269"/>
        <v>209724</v>
      </c>
      <c r="Y127" s="126">
        <f t="shared" si="265"/>
        <v>209724</v>
      </c>
      <c r="Z127" s="294">
        <f t="shared" ref="Z127:AC127" si="270">Z210</f>
        <v>209724</v>
      </c>
      <c r="AA127" s="294">
        <f t="shared" si="270"/>
        <v>209724</v>
      </c>
      <c r="AB127" s="294">
        <f t="shared" si="270"/>
        <v>209724</v>
      </c>
      <c r="AC127" s="294">
        <f t="shared" si="270"/>
        <v>209724</v>
      </c>
      <c r="AD127" s="126">
        <f t="shared" si="267"/>
        <v>209724</v>
      </c>
      <c r="AE127" s="126">
        <f t="shared" ref="AE127:AG127" si="271">AE210</f>
        <v>209724</v>
      </c>
      <c r="AF127" s="126">
        <f t="shared" si="271"/>
        <v>209724</v>
      </c>
      <c r="AG127" s="126">
        <f t="shared" si="271"/>
        <v>209724</v>
      </c>
      <c r="AH127" s="9"/>
      <c r="AI127" s="9"/>
      <c r="AJ127" s="9"/>
      <c r="AK127" s="9"/>
    </row>
    <row r="128" spans="1:37" ht="13.5" customHeight="1" x14ac:dyDescent="0.25">
      <c r="A128" s="205"/>
      <c r="B128" s="9"/>
      <c r="C128" s="828" t="s">
        <v>829</v>
      </c>
      <c r="D128" s="9"/>
      <c r="E128" s="9"/>
      <c r="F128" s="293">
        <v>3964</v>
      </c>
      <c r="G128" s="293">
        <v>4087</v>
      </c>
      <c r="H128" s="293">
        <v>3160</v>
      </c>
      <c r="I128" s="293">
        <v>2186</v>
      </c>
      <c r="J128" s="126">
        <f t="shared" si="261"/>
        <v>2186</v>
      </c>
      <c r="K128" s="293">
        <v>2232</v>
      </c>
      <c r="L128" s="293">
        <v>1210</v>
      </c>
      <c r="M128" s="293">
        <v>1268</v>
      </c>
      <c r="N128" s="293">
        <v>1240</v>
      </c>
      <c r="O128" s="126">
        <f t="shared" si="262"/>
        <v>1240</v>
      </c>
      <c r="P128" s="293">
        <v>1110</v>
      </c>
      <c r="Q128" s="293">
        <v>1258</v>
      </c>
      <c r="R128" s="293">
        <v>1374</v>
      </c>
      <c r="S128" s="293">
        <v>1043</v>
      </c>
      <c r="T128" s="126">
        <f t="shared" si="263"/>
        <v>1043</v>
      </c>
      <c r="U128" s="293">
        <v>2625</v>
      </c>
      <c r="V128" s="294">
        <f t="shared" ref="V128:X128" si="272">V218</f>
        <v>2625</v>
      </c>
      <c r="W128" s="294">
        <f t="shared" si="272"/>
        <v>2625</v>
      </c>
      <c r="X128" s="294">
        <f t="shared" si="272"/>
        <v>2625</v>
      </c>
      <c r="Y128" s="126">
        <f t="shared" si="265"/>
        <v>2625</v>
      </c>
      <c r="Z128" s="294">
        <f t="shared" ref="Z128:AC128" si="273">Z218</f>
        <v>2625</v>
      </c>
      <c r="AA128" s="294">
        <f t="shared" si="273"/>
        <v>2625</v>
      </c>
      <c r="AB128" s="294">
        <f t="shared" si="273"/>
        <v>2625</v>
      </c>
      <c r="AC128" s="294">
        <f t="shared" si="273"/>
        <v>2625</v>
      </c>
      <c r="AD128" s="126">
        <f t="shared" si="267"/>
        <v>2625</v>
      </c>
      <c r="AE128" s="126">
        <f t="shared" ref="AE128:AG128" si="274">AE218</f>
        <v>2625</v>
      </c>
      <c r="AF128" s="126">
        <f t="shared" si="274"/>
        <v>2625</v>
      </c>
      <c r="AG128" s="126">
        <f t="shared" si="274"/>
        <v>2625</v>
      </c>
      <c r="AH128" s="9"/>
      <c r="AI128" s="9"/>
      <c r="AJ128" s="9"/>
      <c r="AK128" s="9"/>
    </row>
    <row r="129" spans="1:37" ht="13.5" customHeight="1" x14ac:dyDescent="0.25">
      <c r="A129" s="205"/>
      <c r="B129" s="9"/>
      <c r="C129" s="828" t="s">
        <v>831</v>
      </c>
      <c r="D129" s="9"/>
      <c r="E129" s="9"/>
      <c r="F129" s="289">
        <f>5818+17752</f>
        <v>23570</v>
      </c>
      <c r="G129" s="289">
        <f>18224+6235</f>
        <v>24459</v>
      </c>
      <c r="H129" s="289">
        <f>20004+6483</f>
        <v>26487</v>
      </c>
      <c r="I129" s="289">
        <f>19114+6960</f>
        <v>26074</v>
      </c>
      <c r="J129" s="290">
        <f t="shared" si="261"/>
        <v>26074</v>
      </c>
      <c r="K129" s="289">
        <f>19241+7465</f>
        <v>26706</v>
      </c>
      <c r="L129" s="289">
        <f>19835+8017</f>
        <v>27852</v>
      </c>
      <c r="M129" s="289">
        <f>20333+8306</f>
        <v>28639</v>
      </c>
      <c r="N129" s="289">
        <f>21179+9038</f>
        <v>30217</v>
      </c>
      <c r="O129" s="290">
        <f t="shared" si="262"/>
        <v>30217</v>
      </c>
      <c r="P129" s="289">
        <f>21067+9434</f>
        <v>30501</v>
      </c>
      <c r="Q129" s="289">
        <f>22550+9831</f>
        <v>32381</v>
      </c>
      <c r="R129" s="289">
        <f>10231+23185</f>
        <v>33416</v>
      </c>
      <c r="S129" s="289">
        <f>24263+10605</f>
        <v>34868</v>
      </c>
      <c r="T129" s="290">
        <f t="shared" si="263"/>
        <v>34868</v>
      </c>
      <c r="U129" s="289">
        <f>25013+10535</f>
        <v>35548</v>
      </c>
      <c r="V129" s="291">
        <f t="shared" ref="V129:X129" si="275">V219</f>
        <v>37041.016000000003</v>
      </c>
      <c r="W129" s="291">
        <f t="shared" si="275"/>
        <v>38226.328512000007</v>
      </c>
      <c r="X129" s="291">
        <f t="shared" si="275"/>
        <v>39564.250009920004</v>
      </c>
      <c r="Y129" s="290">
        <f t="shared" si="265"/>
        <v>39564.250009920004</v>
      </c>
      <c r="Z129" s="291">
        <f t="shared" ref="Z129:AC129" si="276">Z219</f>
        <v>41265.512760346559</v>
      </c>
      <c r="AA129" s="291">
        <f t="shared" si="276"/>
        <v>42668.540194198344</v>
      </c>
      <c r="AB129" s="291">
        <f t="shared" si="276"/>
        <v>43991.264940218491</v>
      </c>
      <c r="AC129" s="291">
        <f t="shared" si="276"/>
        <v>45574.950478066356</v>
      </c>
      <c r="AD129" s="290">
        <f t="shared" si="267"/>
        <v>45574.950478066356</v>
      </c>
      <c r="AE129" s="290">
        <f t="shared" ref="AE129:AG129" si="277">AE219</f>
        <v>52183.31829738598</v>
      </c>
      <c r="AF129" s="290">
        <f t="shared" si="277"/>
        <v>59488.982859020027</v>
      </c>
      <c r="AG129" s="290">
        <f t="shared" si="277"/>
        <v>67519.995544987731</v>
      </c>
      <c r="AH129" s="9"/>
      <c r="AI129" s="9"/>
      <c r="AJ129" s="9"/>
      <c r="AK129" s="9"/>
    </row>
    <row r="130" spans="1:37" ht="13.5" customHeight="1" x14ac:dyDescent="0.25">
      <c r="A130" s="205"/>
      <c r="B130" s="9"/>
      <c r="C130" s="103" t="s">
        <v>319</v>
      </c>
      <c r="D130" s="9"/>
      <c r="E130" s="9"/>
      <c r="F130" s="288">
        <f t="shared" ref="F130:I130" si="278">SUM(F126:F129)</f>
        <v>137735</v>
      </c>
      <c r="G130" s="288">
        <f t="shared" si="278"/>
        <v>143935</v>
      </c>
      <c r="H130" s="288">
        <f t="shared" si="278"/>
        <v>148028</v>
      </c>
      <c r="I130" s="288">
        <f t="shared" si="278"/>
        <v>154275</v>
      </c>
      <c r="J130" s="222">
        <f t="shared" si="261"/>
        <v>154275</v>
      </c>
      <c r="K130" s="288">
        <f t="shared" ref="K130:N130" si="279">SUM(K126:K129)</f>
        <v>155424</v>
      </c>
      <c r="L130" s="288">
        <f t="shared" si="279"/>
        <v>159839</v>
      </c>
      <c r="M130" s="288">
        <f t="shared" si="279"/>
        <v>164175</v>
      </c>
      <c r="N130" s="288">
        <f t="shared" si="279"/>
        <v>171581</v>
      </c>
      <c r="O130" s="222">
        <f t="shared" si="262"/>
        <v>171581</v>
      </c>
      <c r="P130" s="288">
        <f t="shared" ref="P130:S130" si="280">SUM(P126:P129)</f>
        <v>171381</v>
      </c>
      <c r="Q130" s="288">
        <f t="shared" si="280"/>
        <v>178214</v>
      </c>
      <c r="R130" s="288">
        <f t="shared" si="280"/>
        <v>182021</v>
      </c>
      <c r="S130" s="288">
        <f t="shared" si="280"/>
        <v>190409</v>
      </c>
      <c r="T130" s="222">
        <f t="shared" si="263"/>
        <v>190409</v>
      </c>
      <c r="U130" s="288">
        <f t="shared" ref="U130" si="281">SUM(U126:U129)</f>
        <v>255137</v>
      </c>
      <c r="V130" s="221">
        <f t="shared" ref="V130:X130" si="282">SUM(V126:V129)</f>
        <v>256691.20353585898</v>
      </c>
      <c r="W130" s="221">
        <f t="shared" si="282"/>
        <v>257883.15765352015</v>
      </c>
      <c r="X130" s="221">
        <f t="shared" si="282"/>
        <v>259224.89941967587</v>
      </c>
      <c r="Y130" s="222">
        <f t="shared" si="265"/>
        <v>259224.89941967587</v>
      </c>
      <c r="Z130" s="221">
        <f t="shared" ref="Z130:AC130" si="283">SUM(Z126:Z129)</f>
        <v>260974.25947250985</v>
      </c>
      <c r="AA130" s="221">
        <f t="shared" si="283"/>
        <v>262402.01626226562</v>
      </c>
      <c r="AB130" s="221">
        <f t="shared" si="283"/>
        <v>263737.32931665279</v>
      </c>
      <c r="AC130" s="221">
        <f t="shared" si="283"/>
        <v>265406.84197221795</v>
      </c>
      <c r="AD130" s="222">
        <f t="shared" si="267"/>
        <v>265406.84197221795</v>
      </c>
      <c r="AE130" s="222">
        <f t="shared" ref="AE130:AG130" si="284">SUM(AE126:AE129)</f>
        <v>271990.02798623726</v>
      </c>
      <c r="AF130" s="222">
        <f t="shared" si="284"/>
        <v>279974.46893279697</v>
      </c>
      <c r="AG130" s="222">
        <f t="shared" si="284"/>
        <v>288327.2448747725</v>
      </c>
      <c r="AH130" s="9"/>
      <c r="AI130" s="9"/>
      <c r="AJ130" s="9"/>
      <c r="AK130" s="9"/>
    </row>
    <row r="131" spans="1:37" ht="13.5" customHeight="1" x14ac:dyDescent="0.25">
      <c r="A131" s="205"/>
      <c r="B131" s="9"/>
      <c r="C131" s="9"/>
      <c r="D131" s="9"/>
      <c r="E131" s="9"/>
      <c r="F131" s="250"/>
      <c r="G131" s="250"/>
      <c r="H131" s="250"/>
      <c r="I131" s="250"/>
      <c r="J131" s="9"/>
      <c r="K131" s="288"/>
      <c r="L131" s="250"/>
      <c r="M131" s="250"/>
      <c r="N131" s="250"/>
      <c r="O131" s="9"/>
      <c r="P131" s="250"/>
      <c r="Q131" s="250"/>
      <c r="R131" s="250"/>
      <c r="S131" s="250"/>
      <c r="T131" s="9"/>
      <c r="U131" s="250"/>
      <c r="V131" s="221"/>
      <c r="W131" s="221"/>
      <c r="X131" s="221"/>
      <c r="Y131" s="9"/>
      <c r="Z131" s="221"/>
      <c r="AA131" s="221"/>
      <c r="AB131" s="221"/>
      <c r="AC131" s="221"/>
      <c r="AD131" s="9"/>
      <c r="AE131" s="222"/>
      <c r="AF131" s="222"/>
      <c r="AG131" s="222"/>
      <c r="AH131" s="9"/>
      <c r="AI131" s="9"/>
      <c r="AJ131" s="9"/>
      <c r="AK131" s="9"/>
    </row>
    <row r="132" spans="1:37" ht="13.5" customHeight="1" x14ac:dyDescent="0.25">
      <c r="A132" s="205"/>
      <c r="B132" s="9"/>
      <c r="C132" s="103" t="s">
        <v>320</v>
      </c>
      <c r="D132" s="9"/>
      <c r="E132" s="9"/>
      <c r="F132" s="288">
        <f t="shared" ref="F132:AG132" si="285">SUM(F124,F130)</f>
        <v>235842</v>
      </c>
      <c r="G132" s="288">
        <f t="shared" si="285"/>
        <v>244904</v>
      </c>
      <c r="H132" s="288">
        <f t="shared" si="285"/>
        <v>250587</v>
      </c>
      <c r="I132" s="288">
        <f t="shared" si="285"/>
        <v>261108</v>
      </c>
      <c r="J132" s="222">
        <f t="shared" si="285"/>
        <v>261108</v>
      </c>
      <c r="K132" s="288">
        <f t="shared" si="285"/>
        <v>269261</v>
      </c>
      <c r="L132" s="288">
        <f t="shared" si="285"/>
        <v>272219</v>
      </c>
      <c r="M132" s="288">
        <f t="shared" si="285"/>
        <v>270979</v>
      </c>
      <c r="N132" s="288">
        <f t="shared" si="285"/>
        <v>271461</v>
      </c>
      <c r="O132" s="222">
        <f t="shared" si="285"/>
        <v>271461</v>
      </c>
      <c r="P132" s="288">
        <f t="shared" si="285"/>
        <v>282244</v>
      </c>
      <c r="Q132" s="288">
        <f t="shared" si="285"/>
        <v>295556</v>
      </c>
      <c r="R132" s="288">
        <f t="shared" si="285"/>
        <v>297550</v>
      </c>
      <c r="S132" s="288">
        <f t="shared" si="285"/>
        <v>300052</v>
      </c>
      <c r="T132" s="222">
        <f t="shared" si="285"/>
        <v>300052</v>
      </c>
      <c r="U132" s="288">
        <f t="shared" ref="U132" si="286">SUM(U124,U130)</f>
        <v>308894</v>
      </c>
      <c r="V132" s="221">
        <f t="shared" ref="V132:X132" ca="1" si="287">SUM(V124,V130)</f>
        <v>324124.24959986308</v>
      </c>
      <c r="W132" s="221">
        <f t="shared" ca="1" si="287"/>
        <v>331797.19958791457</v>
      </c>
      <c r="X132" s="221">
        <f t="shared" ca="1" si="287"/>
        <v>339572.73552307044</v>
      </c>
      <c r="Y132" s="222">
        <f t="shared" ca="1" si="285"/>
        <v>339572.73552307044</v>
      </c>
      <c r="Z132" s="221">
        <f t="shared" ca="1" si="285"/>
        <v>345864.0904982806</v>
      </c>
      <c r="AA132" s="221">
        <f t="shared" ca="1" si="285"/>
        <v>361580.04096899473</v>
      </c>
      <c r="AB132" s="221">
        <f t="shared" ca="1" si="285"/>
        <v>368040.37289595173</v>
      </c>
      <c r="AC132" s="221">
        <f t="shared" ca="1" si="285"/>
        <v>375650.2195547577</v>
      </c>
      <c r="AD132" s="222">
        <f t="shared" ca="1" si="285"/>
        <v>375650.2195547577</v>
      </c>
      <c r="AE132" s="222">
        <f t="shared" ca="1" si="285"/>
        <v>400998.53642741474</v>
      </c>
      <c r="AF132" s="222">
        <f t="shared" ca="1" si="285"/>
        <v>438435.08134695957</v>
      </c>
      <c r="AG132" s="222">
        <f t="shared" ca="1" si="285"/>
        <v>475528.31689366873</v>
      </c>
      <c r="AH132" s="9"/>
      <c r="AI132" s="9"/>
      <c r="AJ132" s="9"/>
      <c r="AK132" s="9"/>
    </row>
    <row r="133" spans="1:37" ht="13.5" customHeight="1" x14ac:dyDescent="0.25">
      <c r="A133" s="205"/>
      <c r="B133" s="9"/>
      <c r="C133" s="9"/>
      <c r="D133" s="9"/>
      <c r="E133" s="9"/>
      <c r="F133" s="250"/>
      <c r="G133" s="250"/>
      <c r="H133" s="250"/>
      <c r="I133" s="250"/>
      <c r="J133" s="9"/>
      <c r="K133" s="250"/>
      <c r="L133" s="250"/>
      <c r="M133" s="250"/>
      <c r="N133" s="250"/>
      <c r="O133" s="9"/>
      <c r="P133" s="250"/>
      <c r="Q133" s="250"/>
      <c r="R133" s="250"/>
      <c r="S133" s="250"/>
      <c r="T133" s="9"/>
      <c r="U133" s="250"/>
      <c r="V133" s="251"/>
      <c r="W133" s="251"/>
      <c r="X133" s="251"/>
      <c r="Y133" s="9"/>
      <c r="Z133" s="251"/>
      <c r="AA133" s="251"/>
      <c r="AB133" s="251"/>
      <c r="AC133" s="251"/>
      <c r="AD133" s="9"/>
      <c r="AE133" s="9"/>
      <c r="AF133" s="9"/>
      <c r="AG133" s="9"/>
      <c r="AH133" s="9"/>
      <c r="AI133" s="9"/>
      <c r="AJ133" s="9"/>
      <c r="AK133" s="9"/>
    </row>
    <row r="134" spans="1:37" ht="13.5" customHeight="1" x14ac:dyDescent="0.25">
      <c r="A134" s="205"/>
      <c r="B134" s="9"/>
      <c r="C134" s="9" t="s">
        <v>321</v>
      </c>
      <c r="D134" s="9"/>
      <c r="E134" s="9"/>
      <c r="F134" s="327">
        <v>12526</v>
      </c>
      <c r="G134" s="327">
        <v>12359</v>
      </c>
      <c r="H134" s="327">
        <v>13196</v>
      </c>
      <c r="I134" s="327">
        <v>13109</v>
      </c>
      <c r="J134" s="222">
        <f t="shared" ref="J134:J137" si="288">I134</f>
        <v>13109</v>
      </c>
      <c r="K134" s="327">
        <v>13411</v>
      </c>
      <c r="L134" s="327">
        <v>13145</v>
      </c>
      <c r="M134" s="327">
        <v>13162</v>
      </c>
      <c r="N134" s="327">
        <v>13884</v>
      </c>
      <c r="O134" s="222">
        <f t="shared" ref="O134:O137" si="289">N134</f>
        <v>13884</v>
      </c>
      <c r="P134" s="327">
        <v>13564</v>
      </c>
      <c r="Q134" s="327">
        <v>14121</v>
      </c>
      <c r="R134" s="327">
        <v>14708</v>
      </c>
      <c r="S134" s="327">
        <v>14700</v>
      </c>
      <c r="T134" s="222">
        <f t="shared" ref="T134:T137" si="290">S134</f>
        <v>14700</v>
      </c>
      <c r="U134" s="327">
        <v>14635</v>
      </c>
      <c r="V134" s="221">
        <f t="shared" ref="V134:X134" si="291">V167</f>
        <v>14428.190792000003</v>
      </c>
      <c r="W134" s="221">
        <f t="shared" si="291"/>
        <v>14712.116852352174</v>
      </c>
      <c r="X134" s="221">
        <f t="shared" si="291"/>
        <v>15109.282126026854</v>
      </c>
      <c r="Y134" s="222">
        <f t="shared" ref="Y134:Y137" si="292">X134</f>
        <v>15109.282126026854</v>
      </c>
      <c r="Z134" s="221">
        <f t="shared" ref="Z134:AC134" si="293">Z167</f>
        <v>15534.36183892901</v>
      </c>
      <c r="AA134" s="221">
        <f t="shared" si="293"/>
        <v>16109.505121005706</v>
      </c>
      <c r="AB134" s="221">
        <f t="shared" si="293"/>
        <v>16204.360186043585</v>
      </c>
      <c r="AC134" s="221">
        <f t="shared" si="293"/>
        <v>16771.668057145205</v>
      </c>
      <c r="AD134" s="222">
        <f t="shared" ref="AD134:AD137" si="294">AC134</f>
        <v>16771.668057145205</v>
      </c>
      <c r="AE134" s="222">
        <f t="shared" ref="AE134:AG134" si="295">AE167</f>
        <v>16778.777106543144</v>
      </c>
      <c r="AF134" s="222">
        <f t="shared" si="295"/>
        <v>17906.312943177716</v>
      </c>
      <c r="AG134" s="222">
        <f t="shared" si="295"/>
        <v>18989.212030499115</v>
      </c>
      <c r="AH134" s="9"/>
      <c r="AI134" s="9"/>
      <c r="AJ134" s="9"/>
      <c r="AK134" s="9"/>
    </row>
    <row r="135" spans="1:37" ht="13.5" customHeight="1" x14ac:dyDescent="0.25">
      <c r="A135" s="205"/>
      <c r="B135" s="9"/>
      <c r="C135" s="828" t="s">
        <v>830</v>
      </c>
      <c r="D135" s="9"/>
      <c r="E135" s="9"/>
      <c r="F135" s="293">
        <v>120806</v>
      </c>
      <c r="G135" s="293">
        <v>122756</v>
      </c>
      <c r="H135" s="293">
        <v>124439</v>
      </c>
      <c r="I135" s="293">
        <v>129144</v>
      </c>
      <c r="J135" s="126">
        <f t="shared" si="288"/>
        <v>129144</v>
      </c>
      <c r="K135" s="293">
        <v>134418</v>
      </c>
      <c r="L135" s="293">
        <v>133746</v>
      </c>
      <c r="M135" s="293">
        <v>135438</v>
      </c>
      <c r="N135" s="293">
        <v>139413</v>
      </c>
      <c r="O135" s="126">
        <f t="shared" si="289"/>
        <v>139413</v>
      </c>
      <c r="P135" s="293">
        <v>146396</v>
      </c>
      <c r="Q135" s="293">
        <v>149386</v>
      </c>
      <c r="R135" s="293">
        <v>149883</v>
      </c>
      <c r="S135" s="293">
        <v>152488</v>
      </c>
      <c r="T135" s="126">
        <f t="shared" si="290"/>
        <v>152488</v>
      </c>
      <c r="U135" s="293">
        <v>157948</v>
      </c>
      <c r="V135" s="221">
        <f t="shared" ref="V135:X135" si="296">V168</f>
        <v>162969.02250000002</v>
      </c>
      <c r="W135" s="221">
        <f t="shared" si="296"/>
        <v>165395.32976485215</v>
      </c>
      <c r="X135" s="221">
        <f t="shared" si="296"/>
        <v>171261.32002577945</v>
      </c>
      <c r="Y135" s="126">
        <f t="shared" si="292"/>
        <v>171261.32002577945</v>
      </c>
      <c r="Z135" s="221">
        <f t="shared" ref="Z135:AC135" si="297">Z168</f>
        <v>173024.43922757157</v>
      </c>
      <c r="AA135" s="221">
        <f t="shared" si="297"/>
        <v>181087.18883504928</v>
      </c>
      <c r="AB135" s="221">
        <f t="shared" si="297"/>
        <v>183864.68232638983</v>
      </c>
      <c r="AC135" s="221">
        <f t="shared" si="297"/>
        <v>190466.57603035835</v>
      </c>
      <c r="AD135" s="126">
        <f t="shared" si="294"/>
        <v>190466.57603035835</v>
      </c>
      <c r="AE135" s="222">
        <f t="shared" ref="AE135:AG135" si="298">AE168</f>
        <v>196557.73691955363</v>
      </c>
      <c r="AF135" s="222">
        <f t="shared" si="298"/>
        <v>211150.24221172958</v>
      </c>
      <c r="AG135" s="222">
        <f t="shared" si="298"/>
        <v>224168.58816063509</v>
      </c>
      <c r="AH135" s="9"/>
      <c r="AI135" s="9"/>
      <c r="AJ135" s="9"/>
      <c r="AK135" s="9"/>
    </row>
    <row r="136" spans="1:37" ht="13.5" customHeight="1" x14ac:dyDescent="0.25">
      <c r="A136" s="205"/>
      <c r="B136" s="9"/>
      <c r="C136" s="9" t="s">
        <v>322</v>
      </c>
      <c r="D136" s="9"/>
      <c r="E136" s="9"/>
      <c r="F136" s="289">
        <v>0</v>
      </c>
      <c r="G136" s="289">
        <v>0</v>
      </c>
      <c r="H136" s="289">
        <v>0</v>
      </c>
      <c r="I136" s="289">
        <v>0</v>
      </c>
      <c r="J136" s="290">
        <f t="shared" si="288"/>
        <v>0</v>
      </c>
      <c r="K136" s="289">
        <v>0</v>
      </c>
      <c r="L136" s="289">
        <v>0</v>
      </c>
      <c r="M136" s="289">
        <v>0</v>
      </c>
      <c r="N136" s="289">
        <v>0</v>
      </c>
      <c r="O136" s="290">
        <f t="shared" si="289"/>
        <v>0</v>
      </c>
      <c r="P136" s="289">
        <v>0</v>
      </c>
      <c r="Q136" s="289">
        <v>0</v>
      </c>
      <c r="R136" s="289">
        <v>0</v>
      </c>
      <c r="S136" s="289">
        <v>0</v>
      </c>
      <c r="T136" s="290">
        <f t="shared" si="290"/>
        <v>0</v>
      </c>
      <c r="U136" s="289">
        <v>0</v>
      </c>
      <c r="V136" s="291">
        <f t="shared" ref="V136:X136" si="299">V169</f>
        <v>0</v>
      </c>
      <c r="W136" s="291">
        <f t="shared" si="299"/>
        <v>0</v>
      </c>
      <c r="X136" s="291">
        <f t="shared" si="299"/>
        <v>0</v>
      </c>
      <c r="Y136" s="290">
        <f t="shared" si="292"/>
        <v>0</v>
      </c>
      <c r="Z136" s="291">
        <f t="shared" ref="Z136:AC136" si="300">Z169</f>
        <v>0</v>
      </c>
      <c r="AA136" s="291">
        <f t="shared" si="300"/>
        <v>0</v>
      </c>
      <c r="AB136" s="291">
        <f t="shared" si="300"/>
        <v>0</v>
      </c>
      <c r="AC136" s="291">
        <f t="shared" si="300"/>
        <v>0</v>
      </c>
      <c r="AD136" s="290">
        <f t="shared" si="294"/>
        <v>0</v>
      </c>
      <c r="AE136" s="290">
        <f t="shared" ref="AE136:AG136" si="301">AE169</f>
        <v>0</v>
      </c>
      <c r="AF136" s="290">
        <f t="shared" si="301"/>
        <v>0</v>
      </c>
      <c r="AG136" s="290">
        <f t="shared" si="301"/>
        <v>0</v>
      </c>
      <c r="AH136" s="9"/>
      <c r="AI136" s="9"/>
      <c r="AJ136" s="9"/>
      <c r="AK136" s="9"/>
    </row>
    <row r="137" spans="1:37" ht="13.5" customHeight="1" x14ac:dyDescent="0.25">
      <c r="A137" s="205"/>
      <c r="B137" s="9"/>
      <c r="C137" s="103" t="s">
        <v>323</v>
      </c>
      <c r="D137" s="9"/>
      <c r="E137" s="9"/>
      <c r="F137" s="288">
        <f t="shared" ref="F137:I137" si="302">SUM(F134:F136)</f>
        <v>133332</v>
      </c>
      <c r="G137" s="288">
        <f t="shared" si="302"/>
        <v>135115</v>
      </c>
      <c r="H137" s="288">
        <f t="shared" si="302"/>
        <v>137635</v>
      </c>
      <c r="I137" s="288">
        <f t="shared" si="302"/>
        <v>142253</v>
      </c>
      <c r="J137" s="222">
        <f t="shared" si="288"/>
        <v>142253</v>
      </c>
      <c r="K137" s="288">
        <f t="shared" ref="K137:N137" si="303">SUM(K134:K136)</f>
        <v>147829</v>
      </c>
      <c r="L137" s="288">
        <f t="shared" si="303"/>
        <v>146891</v>
      </c>
      <c r="M137" s="288">
        <f t="shared" si="303"/>
        <v>148600</v>
      </c>
      <c r="N137" s="288">
        <f t="shared" si="303"/>
        <v>153297</v>
      </c>
      <c r="O137" s="222">
        <f t="shared" si="289"/>
        <v>153297</v>
      </c>
      <c r="P137" s="288">
        <f t="shared" ref="P137:S137" si="304">SUM(P134:P136)</f>
        <v>159960</v>
      </c>
      <c r="Q137" s="288">
        <f t="shared" si="304"/>
        <v>163507</v>
      </c>
      <c r="R137" s="288">
        <f t="shared" si="304"/>
        <v>164591</v>
      </c>
      <c r="S137" s="288">
        <f t="shared" si="304"/>
        <v>167188</v>
      </c>
      <c r="T137" s="222">
        <f t="shared" si="290"/>
        <v>167188</v>
      </c>
      <c r="U137" s="288">
        <f t="shared" ref="U137" si="305">SUM(U134:U136)</f>
        <v>172583</v>
      </c>
      <c r="V137" s="221">
        <f t="shared" ref="V137:X137" si="306">SUM(V134:V136)</f>
        <v>177397.21329200003</v>
      </c>
      <c r="W137" s="221">
        <f t="shared" si="306"/>
        <v>180107.44661720432</v>
      </c>
      <c r="X137" s="221">
        <f t="shared" si="306"/>
        <v>186370.60215180629</v>
      </c>
      <c r="Y137" s="222">
        <f t="shared" si="292"/>
        <v>186370.60215180629</v>
      </c>
      <c r="Z137" s="221">
        <f t="shared" ref="Z137:AC137" si="307">SUM(Z134:Z136)</f>
        <v>188558.80106650057</v>
      </c>
      <c r="AA137" s="221">
        <f t="shared" si="307"/>
        <v>197196.69395605498</v>
      </c>
      <c r="AB137" s="221">
        <f t="shared" si="307"/>
        <v>200069.0425124334</v>
      </c>
      <c r="AC137" s="221">
        <f t="shared" si="307"/>
        <v>207238.24408750355</v>
      </c>
      <c r="AD137" s="222">
        <f t="shared" si="294"/>
        <v>207238.24408750355</v>
      </c>
      <c r="AE137" s="222">
        <f t="shared" ref="AE137:AG137" si="308">SUM(AE134:AE136)</f>
        <v>213336.51402609679</v>
      </c>
      <c r="AF137" s="222">
        <f t="shared" si="308"/>
        <v>229056.55515490728</v>
      </c>
      <c r="AG137" s="222">
        <f t="shared" si="308"/>
        <v>243157.80019113421</v>
      </c>
      <c r="AH137" s="9"/>
      <c r="AI137" s="9"/>
      <c r="AJ137" s="9"/>
      <c r="AK137" s="9"/>
    </row>
    <row r="138" spans="1:37" ht="13.5" customHeight="1" x14ac:dyDescent="0.25">
      <c r="A138" s="205"/>
      <c r="B138" s="9"/>
      <c r="C138" s="9"/>
      <c r="D138" s="9"/>
      <c r="E138" s="9"/>
      <c r="F138" s="319"/>
      <c r="G138" s="319"/>
      <c r="H138" s="319"/>
      <c r="I138" s="319"/>
      <c r="J138" s="9"/>
      <c r="K138" s="319"/>
      <c r="L138" s="319"/>
      <c r="M138" s="319"/>
      <c r="N138" s="319"/>
      <c r="O138" s="9"/>
      <c r="P138" s="319"/>
      <c r="Q138" s="319"/>
      <c r="R138" s="319"/>
      <c r="S138" s="319"/>
      <c r="T138" s="9"/>
      <c r="U138" s="319"/>
      <c r="V138" s="251"/>
      <c r="W138" s="251"/>
      <c r="X138" s="251"/>
      <c r="Y138" s="9"/>
      <c r="Z138" s="251"/>
      <c r="AA138" s="251"/>
      <c r="AB138" s="251"/>
      <c r="AC138" s="251"/>
      <c r="AD138" s="9"/>
      <c r="AE138" s="9"/>
      <c r="AF138" s="9"/>
      <c r="AG138" s="9"/>
      <c r="AH138" s="9"/>
      <c r="AI138" s="9"/>
      <c r="AJ138" s="9"/>
      <c r="AK138" s="9"/>
    </row>
    <row r="139" spans="1:37" ht="13.5" customHeight="1" x14ac:dyDescent="0.25">
      <c r="A139" s="205"/>
      <c r="B139" s="9"/>
      <c r="C139" s="9" t="s">
        <v>832</v>
      </c>
      <c r="D139" s="9"/>
      <c r="E139" s="9"/>
      <c r="F139" s="327">
        <v>1724</v>
      </c>
      <c r="G139" s="327">
        <v>1583</v>
      </c>
      <c r="H139" s="327">
        <v>1613</v>
      </c>
      <c r="I139" s="327">
        <v>1293</v>
      </c>
      <c r="J139" s="222">
        <f t="shared" ref="J139:J143" si="309">I139</f>
        <v>1293</v>
      </c>
      <c r="K139" s="327">
        <v>1742</v>
      </c>
      <c r="L139" s="327">
        <v>1639</v>
      </c>
      <c r="M139" s="327">
        <v>1457</v>
      </c>
      <c r="N139" s="327">
        <v>1374</v>
      </c>
      <c r="O139" s="222">
        <f t="shared" ref="O139:O143" si="310">N139</f>
        <v>1374</v>
      </c>
      <c r="P139" s="327">
        <v>1559</v>
      </c>
      <c r="Q139" s="327">
        <v>1493</v>
      </c>
      <c r="R139" s="327">
        <v>1446</v>
      </c>
      <c r="S139" s="327">
        <v>1371</v>
      </c>
      <c r="T139" s="222">
        <f t="shared" ref="T139:T143" si="311">S139</f>
        <v>1371</v>
      </c>
      <c r="U139" s="327">
        <v>1692</v>
      </c>
      <c r="V139" s="221">
        <f t="shared" ref="V139:X139" ca="1" si="312">V304</f>
        <v>0</v>
      </c>
      <c r="W139" s="221">
        <f t="shared" ca="1" si="312"/>
        <v>0</v>
      </c>
      <c r="X139" s="221">
        <f t="shared" ca="1" si="312"/>
        <v>0</v>
      </c>
      <c r="Y139" s="222">
        <f t="shared" ref="Y139:Y143" ca="1" si="313">X139</f>
        <v>0</v>
      </c>
      <c r="Z139" s="221">
        <f t="shared" ref="Z139:AC139" ca="1" si="314">Z304</f>
        <v>0</v>
      </c>
      <c r="AA139" s="221">
        <f t="shared" ca="1" si="314"/>
        <v>0</v>
      </c>
      <c r="AB139" s="221">
        <f t="shared" ca="1" si="314"/>
        <v>0</v>
      </c>
      <c r="AC139" s="221">
        <f t="shared" ca="1" si="314"/>
        <v>0</v>
      </c>
      <c r="AD139" s="222">
        <f t="shared" ref="AD139:AD143" ca="1" si="315">AC139</f>
        <v>0</v>
      </c>
      <c r="AE139" s="222">
        <f t="shared" ref="AE139:AG139" ca="1" si="316">AE304</f>
        <v>0</v>
      </c>
      <c r="AF139" s="222">
        <f t="shared" ca="1" si="316"/>
        <v>0</v>
      </c>
      <c r="AG139" s="222">
        <f t="shared" ca="1" si="316"/>
        <v>0</v>
      </c>
      <c r="AH139" s="9"/>
      <c r="AI139" s="9"/>
      <c r="AJ139" s="9"/>
      <c r="AK139" s="9"/>
    </row>
    <row r="140" spans="1:37" ht="13.5" customHeight="1" x14ac:dyDescent="0.25">
      <c r="A140" s="205"/>
      <c r="B140" s="9"/>
      <c r="C140" s="9" t="s">
        <v>324</v>
      </c>
      <c r="D140" s="9"/>
      <c r="E140" s="9"/>
      <c r="F140" s="293">
        <v>41138</v>
      </c>
      <c r="G140" s="293">
        <v>46725</v>
      </c>
      <c r="H140" s="293">
        <v>46447</v>
      </c>
      <c r="I140" s="293">
        <v>47866</v>
      </c>
      <c r="J140" s="126">
        <f t="shared" si="309"/>
        <v>47866</v>
      </c>
      <c r="K140" s="293">
        <v>48826</v>
      </c>
      <c r="L140" s="293">
        <v>51521</v>
      </c>
      <c r="M140" s="293">
        <v>53546</v>
      </c>
      <c r="N140" s="293">
        <v>49715</v>
      </c>
      <c r="O140" s="126">
        <f t="shared" si="310"/>
        <v>49715</v>
      </c>
      <c r="P140" s="293">
        <v>51236</v>
      </c>
      <c r="Q140" s="293">
        <v>58202</v>
      </c>
      <c r="R140" s="293">
        <v>57787</v>
      </c>
      <c r="S140" s="293">
        <v>56387</v>
      </c>
      <c r="T140" s="126">
        <f t="shared" si="311"/>
        <v>56387</v>
      </c>
      <c r="U140" s="293">
        <v>58750</v>
      </c>
      <c r="V140" s="294">
        <f t="shared" ref="V140:X140" si="317">V310</f>
        <v>61950</v>
      </c>
      <c r="W140" s="294">
        <f t="shared" si="317"/>
        <v>64950</v>
      </c>
      <c r="X140" s="294">
        <f t="shared" si="317"/>
        <v>62450</v>
      </c>
      <c r="Y140" s="126">
        <f t="shared" si="313"/>
        <v>62450</v>
      </c>
      <c r="Z140" s="294">
        <f t="shared" ref="Z140:AC140" si="318">Z310</f>
        <v>63650</v>
      </c>
      <c r="AA140" s="294">
        <f t="shared" si="318"/>
        <v>67150</v>
      </c>
      <c r="AB140" s="294">
        <f t="shared" si="318"/>
        <v>67150</v>
      </c>
      <c r="AC140" s="294">
        <f t="shared" si="318"/>
        <v>63650</v>
      </c>
      <c r="AD140" s="126">
        <f t="shared" si="315"/>
        <v>63650</v>
      </c>
      <c r="AE140" s="126">
        <f t="shared" ref="AE140:AG140" si="319">AE310</f>
        <v>67650</v>
      </c>
      <c r="AF140" s="126">
        <f t="shared" si="319"/>
        <v>71850</v>
      </c>
      <c r="AG140" s="126">
        <f t="shared" si="319"/>
        <v>75850</v>
      </c>
      <c r="AH140" s="9"/>
      <c r="AI140" s="9"/>
      <c r="AJ140" s="9"/>
      <c r="AK140" s="9"/>
    </row>
    <row r="141" spans="1:37" ht="13.5" customHeight="1" x14ac:dyDescent="0.25">
      <c r="A141" s="205"/>
      <c r="B141" s="9"/>
      <c r="C141" s="9" t="s">
        <v>325</v>
      </c>
      <c r="D141" s="9"/>
      <c r="E141" s="9"/>
      <c r="F141" s="293">
        <v>0</v>
      </c>
      <c r="G141" s="293">
        <v>0</v>
      </c>
      <c r="H141" s="293">
        <v>0</v>
      </c>
      <c r="I141" s="293">
        <v>0</v>
      </c>
      <c r="J141" s="126">
        <f t="shared" si="309"/>
        <v>0</v>
      </c>
      <c r="K141" s="293">
        <v>0</v>
      </c>
      <c r="L141" s="293">
        <v>0</v>
      </c>
      <c r="M141" s="293">
        <v>0</v>
      </c>
      <c r="N141" s="293">
        <v>0</v>
      </c>
      <c r="O141" s="126">
        <f t="shared" si="310"/>
        <v>0</v>
      </c>
      <c r="P141" s="293">
        <v>0</v>
      </c>
      <c r="Q141" s="293">
        <v>0</v>
      </c>
      <c r="R141" s="293">
        <v>0</v>
      </c>
      <c r="S141" s="293">
        <v>0</v>
      </c>
      <c r="T141" s="126">
        <f t="shared" si="311"/>
        <v>0</v>
      </c>
      <c r="U141" s="293">
        <v>0</v>
      </c>
      <c r="V141" s="294">
        <f t="shared" ref="V141:X141" si="320">V223</f>
        <v>0</v>
      </c>
      <c r="W141" s="294">
        <f t="shared" si="320"/>
        <v>0</v>
      </c>
      <c r="X141" s="294">
        <f t="shared" si="320"/>
        <v>0</v>
      </c>
      <c r="Y141" s="126">
        <f t="shared" si="313"/>
        <v>0</v>
      </c>
      <c r="Z141" s="294">
        <f t="shared" ref="Z141:AC141" si="321">Z223</f>
        <v>0</v>
      </c>
      <c r="AA141" s="294">
        <f t="shared" si="321"/>
        <v>0</v>
      </c>
      <c r="AB141" s="294">
        <f t="shared" si="321"/>
        <v>0</v>
      </c>
      <c r="AC141" s="294">
        <f t="shared" si="321"/>
        <v>0</v>
      </c>
      <c r="AD141" s="126">
        <f t="shared" si="315"/>
        <v>0</v>
      </c>
      <c r="AE141" s="126">
        <f t="shared" ref="AE141:AG141" si="322">AE223</f>
        <v>0</v>
      </c>
      <c r="AF141" s="126">
        <f t="shared" si="322"/>
        <v>0</v>
      </c>
      <c r="AG141" s="126">
        <f t="shared" si="322"/>
        <v>0</v>
      </c>
      <c r="AH141" s="9"/>
      <c r="AI141" s="9"/>
      <c r="AJ141" s="9"/>
      <c r="AK141" s="9"/>
    </row>
    <row r="142" spans="1:37" ht="13.5" customHeight="1" x14ac:dyDescent="0.25">
      <c r="A142" s="205"/>
      <c r="B142" s="9"/>
      <c r="C142" s="9" t="s">
        <v>326</v>
      </c>
      <c r="D142" s="9"/>
      <c r="E142" s="9"/>
      <c r="F142" s="289">
        <v>33656</v>
      </c>
      <c r="G142" s="289">
        <v>34778</v>
      </c>
      <c r="H142" s="289">
        <v>37568</v>
      </c>
      <c r="I142" s="289">
        <v>41639</v>
      </c>
      <c r="J142" s="290">
        <f t="shared" si="309"/>
        <v>41639</v>
      </c>
      <c r="K142" s="289">
        <v>42100</v>
      </c>
      <c r="L142" s="289">
        <v>42628</v>
      </c>
      <c r="M142" s="289">
        <v>37669</v>
      </c>
      <c r="N142" s="289">
        <v>36811</v>
      </c>
      <c r="O142" s="290">
        <f t="shared" si="310"/>
        <v>36811</v>
      </c>
      <c r="P142" s="831">
        <v>38287</v>
      </c>
      <c r="Q142" s="289">
        <v>40043</v>
      </c>
      <c r="R142" s="289">
        <v>41309</v>
      </c>
      <c r="S142" s="289">
        <v>41632</v>
      </c>
      <c r="T142" s="290">
        <f t="shared" si="311"/>
        <v>41632</v>
      </c>
      <c r="U142" s="831">
        <v>41874</v>
      </c>
      <c r="V142" s="291">
        <f t="shared" ref="V142:X142" si="323">V224</f>
        <v>41874</v>
      </c>
      <c r="W142" s="291">
        <f t="shared" si="323"/>
        <v>41874</v>
      </c>
      <c r="X142" s="291">
        <f t="shared" si="323"/>
        <v>41874</v>
      </c>
      <c r="Y142" s="290">
        <f t="shared" si="313"/>
        <v>41874</v>
      </c>
      <c r="Z142" s="291">
        <f t="shared" ref="Z142:AC142" si="324">Z224</f>
        <v>41874</v>
      </c>
      <c r="AA142" s="291">
        <f t="shared" si="324"/>
        <v>41874</v>
      </c>
      <c r="AB142" s="291">
        <f t="shared" si="324"/>
        <v>41874</v>
      </c>
      <c r="AC142" s="291">
        <f t="shared" si="324"/>
        <v>41874</v>
      </c>
      <c r="AD142" s="290">
        <f t="shared" si="315"/>
        <v>41874</v>
      </c>
      <c r="AE142" s="290">
        <f t="shared" ref="AE142:AG142" si="325">AE224</f>
        <v>41874</v>
      </c>
      <c r="AF142" s="290">
        <f t="shared" si="325"/>
        <v>41874</v>
      </c>
      <c r="AG142" s="290">
        <f t="shared" si="325"/>
        <v>41874</v>
      </c>
      <c r="AH142" s="9"/>
      <c r="AI142" s="9"/>
      <c r="AJ142" s="9"/>
      <c r="AK142" s="9"/>
    </row>
    <row r="143" spans="1:37" ht="13.5" customHeight="1" x14ac:dyDescent="0.25">
      <c r="A143" s="205"/>
      <c r="B143" s="9"/>
      <c r="C143" s="103" t="s">
        <v>327</v>
      </c>
      <c r="D143" s="9"/>
      <c r="E143" s="9"/>
      <c r="F143" s="288">
        <f t="shared" ref="F143:I143" si="326">SUM(F139:F142)</f>
        <v>76518</v>
      </c>
      <c r="G143" s="288">
        <f t="shared" si="326"/>
        <v>83086</v>
      </c>
      <c r="H143" s="288">
        <f t="shared" si="326"/>
        <v>85628</v>
      </c>
      <c r="I143" s="288">
        <f t="shared" si="326"/>
        <v>90798</v>
      </c>
      <c r="J143" s="222">
        <f t="shared" si="309"/>
        <v>90798</v>
      </c>
      <c r="K143" s="288">
        <f t="shared" ref="K143:N143" si="327">SUM(K139:K142)</f>
        <v>92668</v>
      </c>
      <c r="L143" s="288">
        <f t="shared" si="327"/>
        <v>95788</v>
      </c>
      <c r="M143" s="288">
        <f t="shared" si="327"/>
        <v>92672</v>
      </c>
      <c r="N143" s="288">
        <f t="shared" si="327"/>
        <v>87900</v>
      </c>
      <c r="O143" s="222">
        <f t="shared" si="310"/>
        <v>87900</v>
      </c>
      <c r="P143" s="288">
        <f t="shared" ref="P143:S143" si="328">SUM(P139:P142)</f>
        <v>91082</v>
      </c>
      <c r="Q143" s="288">
        <f t="shared" si="328"/>
        <v>99738</v>
      </c>
      <c r="R143" s="288">
        <f t="shared" si="328"/>
        <v>100542</v>
      </c>
      <c r="S143" s="288">
        <f t="shared" si="328"/>
        <v>99390</v>
      </c>
      <c r="T143" s="222">
        <f t="shared" si="311"/>
        <v>99390</v>
      </c>
      <c r="U143" s="288">
        <f t="shared" ref="U143" si="329">SUM(U139:U142)</f>
        <v>102316</v>
      </c>
      <c r="V143" s="221">
        <f t="shared" ref="V143:X143" ca="1" si="330">SUM(V139:V142)</f>
        <v>102419</v>
      </c>
      <c r="W143" s="221">
        <f t="shared" ca="1" si="330"/>
        <v>105419</v>
      </c>
      <c r="X143" s="221">
        <f t="shared" ca="1" si="330"/>
        <v>102919</v>
      </c>
      <c r="Y143" s="222">
        <f t="shared" ca="1" si="313"/>
        <v>102919</v>
      </c>
      <c r="Z143" s="221">
        <f t="shared" ref="Z143:AC143" ca="1" si="331">SUM(Z139:Z142)</f>
        <v>104119</v>
      </c>
      <c r="AA143" s="221">
        <f t="shared" ca="1" si="331"/>
        <v>107619</v>
      </c>
      <c r="AB143" s="221">
        <f t="shared" ca="1" si="331"/>
        <v>107619</v>
      </c>
      <c r="AC143" s="221">
        <f t="shared" ca="1" si="331"/>
        <v>104119</v>
      </c>
      <c r="AD143" s="222">
        <f t="shared" ca="1" si="315"/>
        <v>104119</v>
      </c>
      <c r="AE143" s="222">
        <f t="shared" ref="AE143:AG143" ca="1" si="332">SUM(AE139:AE142)</f>
        <v>108119</v>
      </c>
      <c r="AF143" s="222">
        <f t="shared" ca="1" si="332"/>
        <v>112319</v>
      </c>
      <c r="AG143" s="222">
        <f t="shared" ca="1" si="332"/>
        <v>116319</v>
      </c>
      <c r="AH143" s="9"/>
      <c r="AI143" s="9"/>
      <c r="AJ143" s="9"/>
      <c r="AK143" s="9"/>
    </row>
    <row r="144" spans="1:37" ht="13.5" customHeight="1" x14ac:dyDescent="0.25">
      <c r="A144" s="205"/>
      <c r="B144" s="9"/>
      <c r="C144" s="9"/>
      <c r="D144" s="9"/>
      <c r="E144" s="9"/>
      <c r="F144" s="250"/>
      <c r="G144" s="250"/>
      <c r="H144" s="250"/>
      <c r="I144" s="250"/>
      <c r="J144" s="9"/>
      <c r="K144" s="250"/>
      <c r="L144" s="250"/>
      <c r="M144" s="250"/>
      <c r="N144" s="250"/>
      <c r="O144" s="9"/>
      <c r="P144" s="250"/>
      <c r="Q144" s="250"/>
      <c r="R144" s="250"/>
      <c r="S144" s="250"/>
      <c r="T144" s="9"/>
      <c r="U144" s="250"/>
      <c r="V144" s="251"/>
      <c r="W144" s="251"/>
      <c r="X144" s="251"/>
      <c r="Y144" s="9"/>
      <c r="Z144" s="251"/>
      <c r="AA144" s="251"/>
      <c r="AB144" s="251"/>
      <c r="AC144" s="251"/>
      <c r="AD144" s="9"/>
      <c r="AE144" s="9"/>
      <c r="AF144" s="9"/>
      <c r="AG144" s="9"/>
      <c r="AH144" s="9"/>
      <c r="AI144" s="9"/>
      <c r="AJ144" s="9"/>
      <c r="AK144" s="9"/>
    </row>
    <row r="145" spans="1:37" ht="13.5" customHeight="1" x14ac:dyDescent="0.25">
      <c r="A145" s="205"/>
      <c r="B145" s="9"/>
      <c r="C145" s="103" t="s">
        <v>328</v>
      </c>
      <c r="D145" s="9"/>
      <c r="E145" s="9"/>
      <c r="F145" s="288">
        <f t="shared" ref="F145:AG145" si="333">SUM(F137,F143)</f>
        <v>209850</v>
      </c>
      <c r="G145" s="288">
        <f t="shared" si="333"/>
        <v>218201</v>
      </c>
      <c r="H145" s="288">
        <f t="shared" si="333"/>
        <v>223263</v>
      </c>
      <c r="I145" s="288">
        <f t="shared" si="333"/>
        <v>233051</v>
      </c>
      <c r="J145" s="222">
        <f t="shared" si="333"/>
        <v>233051</v>
      </c>
      <c r="K145" s="288">
        <f t="shared" si="333"/>
        <v>240497</v>
      </c>
      <c r="L145" s="288">
        <f t="shared" si="333"/>
        <v>242679</v>
      </c>
      <c r="M145" s="288">
        <f t="shared" si="333"/>
        <v>241272</v>
      </c>
      <c r="N145" s="288">
        <f t="shared" si="333"/>
        <v>241197</v>
      </c>
      <c r="O145" s="222">
        <f t="shared" si="333"/>
        <v>241197</v>
      </c>
      <c r="P145" s="288">
        <f t="shared" si="333"/>
        <v>251042</v>
      </c>
      <c r="Q145" s="288">
        <f t="shared" si="333"/>
        <v>263245</v>
      </c>
      <c r="R145" s="288">
        <f t="shared" si="333"/>
        <v>265133</v>
      </c>
      <c r="S145" s="288">
        <f t="shared" si="333"/>
        <v>266578</v>
      </c>
      <c r="T145" s="222">
        <f t="shared" si="333"/>
        <v>266578</v>
      </c>
      <c r="U145" s="288">
        <f t="shared" ref="U145" si="334">SUM(U137,U143)</f>
        <v>274899</v>
      </c>
      <c r="V145" s="221">
        <f t="shared" ref="V145:X145" ca="1" si="335">SUM(V137,V143)</f>
        <v>286135.47752561996</v>
      </c>
      <c r="W145" s="221">
        <f t="shared" ca="1" si="335"/>
        <v>291103.14705845469</v>
      </c>
      <c r="X145" s="221">
        <f t="shared" ca="1" si="335"/>
        <v>295946.16533683357</v>
      </c>
      <c r="Y145" s="222">
        <f t="shared" ca="1" si="333"/>
        <v>295946.16533683357</v>
      </c>
      <c r="Z145" s="221">
        <f t="shared" ca="1" si="333"/>
        <v>299343.27513616096</v>
      </c>
      <c r="AA145" s="221">
        <f t="shared" ca="1" si="333"/>
        <v>311903.85466614075</v>
      </c>
      <c r="AB145" s="221">
        <f t="shared" ca="1" si="333"/>
        <v>314916.83934953972</v>
      </c>
      <c r="AC145" s="221">
        <f t="shared" ca="1" si="333"/>
        <v>318855.12847773416</v>
      </c>
      <c r="AD145" s="222">
        <f t="shared" ca="1" si="333"/>
        <v>318855.12847773416</v>
      </c>
      <c r="AE145" s="222">
        <f t="shared" ca="1" si="333"/>
        <v>329104.09036518092</v>
      </c>
      <c r="AF145" s="222">
        <f t="shared" ca="1" si="333"/>
        <v>349542.66777919058</v>
      </c>
      <c r="AG145" s="222">
        <f t="shared" ca="1" si="333"/>
        <v>368135.20038253249</v>
      </c>
      <c r="AH145" s="9"/>
      <c r="AI145" s="9"/>
      <c r="AJ145" s="9"/>
      <c r="AK145" s="9"/>
    </row>
    <row r="146" spans="1:37" ht="13.5" customHeight="1" x14ac:dyDescent="0.25">
      <c r="A146" s="205"/>
      <c r="B146" s="9"/>
      <c r="C146" s="9"/>
      <c r="D146" s="9"/>
      <c r="E146" s="9"/>
      <c r="F146" s="250"/>
      <c r="G146" s="250"/>
      <c r="H146" s="250"/>
      <c r="I146" s="250"/>
      <c r="J146" s="9"/>
      <c r="K146" s="250"/>
      <c r="L146" s="250"/>
      <c r="M146" s="250"/>
      <c r="N146" s="250"/>
      <c r="O146" s="9"/>
      <c r="P146" s="250"/>
      <c r="Q146" s="250"/>
      <c r="R146" s="250"/>
      <c r="S146" s="250"/>
      <c r="T146" s="9"/>
      <c r="U146" s="250"/>
      <c r="V146" s="251"/>
      <c r="W146" s="251"/>
      <c r="X146" s="251"/>
      <c r="Y146" s="9"/>
      <c r="Z146" s="251"/>
      <c r="AA146" s="251"/>
      <c r="AB146" s="251"/>
      <c r="AC146" s="251"/>
      <c r="AD146" s="9"/>
      <c r="AE146" s="9"/>
      <c r="AF146" s="9"/>
      <c r="AG146" s="9"/>
      <c r="AH146" s="9"/>
      <c r="AI146" s="9"/>
      <c r="AJ146" s="9"/>
      <c r="AK146" s="9"/>
    </row>
    <row r="147" spans="1:37" ht="13.5" customHeight="1" x14ac:dyDescent="0.25">
      <c r="A147" s="205"/>
      <c r="B147" s="9"/>
      <c r="C147" s="9" t="s">
        <v>329</v>
      </c>
      <c r="D147" s="9"/>
      <c r="E147" s="9"/>
      <c r="F147" s="327">
        <f>149+11522</f>
        <v>11671</v>
      </c>
      <c r="G147" s="327">
        <f>148+11509</f>
        <v>11657</v>
      </c>
      <c r="H147" s="327">
        <f>146+11401</f>
        <v>11547</v>
      </c>
      <c r="I147" s="327">
        <f>145+11372</f>
        <v>11517</v>
      </c>
      <c r="J147" s="222">
        <f t="shared" ref="J147:J151" si="336">I147</f>
        <v>11517</v>
      </c>
      <c r="K147" s="327">
        <f>144+11354</f>
        <v>11498</v>
      </c>
      <c r="L147" s="327">
        <f>143+11332</f>
        <v>11475</v>
      </c>
      <c r="M147" s="327">
        <f>141+11295</f>
        <v>11436</v>
      </c>
      <c r="N147" s="327">
        <f>141+11370</f>
        <v>11511</v>
      </c>
      <c r="O147" s="222">
        <f t="shared" ref="O147:O151" si="337">N147</f>
        <v>11511</v>
      </c>
      <c r="P147" s="327">
        <f>140+11037</f>
        <v>11177</v>
      </c>
      <c r="Q147" s="327">
        <f>140+11052</f>
        <v>11192</v>
      </c>
      <c r="R147" s="327">
        <f>138+11059</f>
        <v>11197</v>
      </c>
      <c r="S147" s="327">
        <f>138+11126</f>
        <v>11264</v>
      </c>
      <c r="T147" s="222">
        <f t="shared" ref="T147:T151" si="338">S147</f>
        <v>11264</v>
      </c>
      <c r="U147" s="327">
        <f>11081+137</f>
        <v>11218</v>
      </c>
      <c r="V147" s="221">
        <f t="shared" ref="V147:X147" si="339">V247</f>
        <v>11429.256140277777</v>
      </c>
      <c r="W147" s="221">
        <f t="shared" si="339"/>
        <v>11646.289574513889</v>
      </c>
      <c r="X147" s="221">
        <f t="shared" si="339"/>
        <v>11871.11013375611</v>
      </c>
      <c r="Y147" s="222">
        <f t="shared" ref="Y147:Y151" si="340">X147</f>
        <v>11871.11013375611</v>
      </c>
      <c r="Z147" s="221">
        <f t="shared" ref="Z147:AC147" si="341">Z247</f>
        <v>12095.32879788221</v>
      </c>
      <c r="AA147" s="221">
        <f t="shared" si="341"/>
        <v>12329.86732423747</v>
      </c>
      <c r="AB147" s="221">
        <f t="shared" si="341"/>
        <v>12570.047285530405</v>
      </c>
      <c r="AC147" s="221">
        <f t="shared" si="341"/>
        <v>12819.508087355962</v>
      </c>
      <c r="AD147" s="222">
        <f t="shared" ref="AD147:AD151" si="342">AC147</f>
        <v>12819.508087355962</v>
      </c>
      <c r="AE147" s="222">
        <f t="shared" ref="AE147:AG147" si="343">AE247</f>
        <v>13836.830796700044</v>
      </c>
      <c r="AF147" s="222">
        <f t="shared" si="343"/>
        <v>14925.377293527696</v>
      </c>
      <c r="AG147" s="222">
        <f t="shared" si="343"/>
        <v>16080.768931449149</v>
      </c>
      <c r="AH147" s="9"/>
      <c r="AI147" s="9"/>
      <c r="AJ147" s="9"/>
      <c r="AK147" s="9"/>
    </row>
    <row r="148" spans="1:37" ht="13.5" customHeight="1" x14ac:dyDescent="0.25">
      <c r="A148" s="205"/>
      <c r="B148" s="9"/>
      <c r="C148" s="9" t="s">
        <v>330</v>
      </c>
      <c r="D148" s="9"/>
      <c r="E148" s="9"/>
      <c r="F148" s="293">
        <v>17427</v>
      </c>
      <c r="G148" s="293">
        <v>18130</v>
      </c>
      <c r="H148" s="293">
        <v>18953</v>
      </c>
      <c r="I148" s="293">
        <v>19612</v>
      </c>
      <c r="J148" s="126">
        <f t="shared" si="336"/>
        <v>19612</v>
      </c>
      <c r="K148" s="293">
        <v>20421</v>
      </c>
      <c r="L148" s="293">
        <v>21265</v>
      </c>
      <c r="M148" s="293">
        <v>21466</v>
      </c>
      <c r="N148" s="293">
        <v>22148</v>
      </c>
      <c r="O148" s="126">
        <f t="shared" si="337"/>
        <v>22148</v>
      </c>
      <c r="P148" s="293">
        <v>23391</v>
      </c>
      <c r="Q148" s="293">
        <v>24367</v>
      </c>
      <c r="R148" s="293">
        <v>24469</v>
      </c>
      <c r="S148" s="293">
        <v>25487</v>
      </c>
      <c r="T148" s="126">
        <f t="shared" si="338"/>
        <v>25487</v>
      </c>
      <c r="U148" s="293">
        <v>26088</v>
      </c>
      <c r="V148" s="294">
        <f t="shared" ref="V148:X148" si="344">V256</f>
        <v>28379.428469585997</v>
      </c>
      <c r="W148" s="294">
        <f t="shared" si="344"/>
        <v>30977.298767584398</v>
      </c>
      <c r="X148" s="294">
        <f t="shared" si="344"/>
        <v>33791.268248204477</v>
      </c>
      <c r="Y148" s="126">
        <f t="shared" si="340"/>
        <v>33791.268248204477</v>
      </c>
      <c r="Z148" s="294">
        <f t="shared" ref="Z148:AC148" si="345">Z256</f>
        <v>36566.745290963881</v>
      </c>
      <c r="AA148" s="294">
        <f t="shared" si="345"/>
        <v>39593.632218586608</v>
      </c>
      <c r="AB148" s="294">
        <f t="shared" si="345"/>
        <v>42898.639521226534</v>
      </c>
      <c r="AC148" s="294">
        <f t="shared" si="345"/>
        <v>46417.247977164327</v>
      </c>
      <c r="AD148" s="126">
        <f t="shared" si="342"/>
        <v>46417.247977164327</v>
      </c>
      <c r="AE148" s="126">
        <f t="shared" ref="AE148:AG148" si="346">AE256</f>
        <v>60879.403673960995</v>
      </c>
      <c r="AF148" s="126">
        <f t="shared" si="346"/>
        <v>77153.81075667197</v>
      </c>
      <c r="AG148" s="126">
        <f t="shared" si="346"/>
        <v>94848.632854232856</v>
      </c>
      <c r="AH148" s="9"/>
      <c r="AI148" s="9"/>
      <c r="AJ148" s="9"/>
      <c r="AK148" s="9"/>
    </row>
    <row r="149" spans="1:37" ht="13.5" customHeight="1" x14ac:dyDescent="0.25">
      <c r="A149" s="205"/>
      <c r="B149" s="9"/>
      <c r="C149" s="9" t="s">
        <v>331</v>
      </c>
      <c r="D149" s="9"/>
      <c r="E149" s="9"/>
      <c r="F149" s="293">
        <v>0</v>
      </c>
      <c r="G149" s="293">
        <v>0</v>
      </c>
      <c r="H149" s="293">
        <v>0</v>
      </c>
      <c r="I149" s="293">
        <v>0</v>
      </c>
      <c r="J149" s="126">
        <f t="shared" si="336"/>
        <v>0</v>
      </c>
      <c r="K149" s="293">
        <v>0</v>
      </c>
      <c r="L149" s="293">
        <v>0</v>
      </c>
      <c r="M149" s="293">
        <v>0</v>
      </c>
      <c r="N149" s="293">
        <v>0</v>
      </c>
      <c r="O149" s="126">
        <f t="shared" si="337"/>
        <v>0</v>
      </c>
      <c r="P149" s="293">
        <v>0</v>
      </c>
      <c r="Q149" s="293">
        <v>0</v>
      </c>
      <c r="R149" s="293">
        <v>0</v>
      </c>
      <c r="S149" s="293">
        <v>0</v>
      </c>
      <c r="T149" s="126">
        <f t="shared" si="338"/>
        <v>0</v>
      </c>
      <c r="U149" s="293">
        <v>0</v>
      </c>
      <c r="V149" s="294">
        <f t="shared" ref="V149" si="347">-V241+U149</f>
        <v>-144.21250000000001</v>
      </c>
      <c r="W149" s="294">
        <f t="shared" ref="W149" si="348">-W241+V149</f>
        <v>-288.42500000000001</v>
      </c>
      <c r="X149" s="294">
        <f t="shared" ref="X149" si="349">-X241+W149</f>
        <v>-432.63750000000005</v>
      </c>
      <c r="Y149" s="126">
        <f t="shared" si="340"/>
        <v>-432.63750000000005</v>
      </c>
      <c r="Z149" s="294">
        <f t="shared" ref="Z149:AC149" si="350">-Z241+Y149</f>
        <v>-574.48638026861499</v>
      </c>
      <c r="AA149" s="294">
        <f t="shared" si="350"/>
        <v>-716.33526053722994</v>
      </c>
      <c r="AB149" s="294">
        <f t="shared" si="350"/>
        <v>-858.18414080584489</v>
      </c>
      <c r="AC149" s="294">
        <f t="shared" si="350"/>
        <v>-1000.0330210744598</v>
      </c>
      <c r="AD149" s="126">
        <f t="shared" si="342"/>
        <v>-1000.0330210744598</v>
      </c>
      <c r="AE149" s="126">
        <f t="shared" ref="AE149:AG149" si="351">-AE241+AD149</f>
        <v>-1565.9144658806204</v>
      </c>
      <c r="AF149" s="126">
        <f t="shared" si="351"/>
        <v>-2130.2858746811576</v>
      </c>
      <c r="AG149" s="126">
        <f t="shared" si="351"/>
        <v>-2693.1512769574392</v>
      </c>
      <c r="AH149" s="9"/>
      <c r="AI149" s="9"/>
      <c r="AJ149" s="9"/>
      <c r="AK149" s="9"/>
    </row>
    <row r="150" spans="1:37" ht="13.5" customHeight="1" x14ac:dyDescent="0.25">
      <c r="A150" s="205"/>
      <c r="B150" s="9"/>
      <c r="C150" s="9" t="s">
        <v>332</v>
      </c>
      <c r="D150" s="9"/>
      <c r="E150" s="9"/>
      <c r="F150" s="289">
        <v>-3106</v>
      </c>
      <c r="G150" s="289">
        <v>-3084</v>
      </c>
      <c r="H150" s="289">
        <v>-3176</v>
      </c>
      <c r="I150" s="289">
        <v>-3072</v>
      </c>
      <c r="J150" s="290">
        <f t="shared" si="336"/>
        <v>-3072</v>
      </c>
      <c r="K150" s="289">
        <v>-3155</v>
      </c>
      <c r="L150" s="289">
        <v>-3200</v>
      </c>
      <c r="M150" s="289">
        <v>-3195</v>
      </c>
      <c r="N150" s="289">
        <v>-3395</v>
      </c>
      <c r="O150" s="290">
        <f t="shared" si="337"/>
        <v>-3395</v>
      </c>
      <c r="P150" s="831">
        <v>-3366</v>
      </c>
      <c r="Q150" s="831">
        <v>-3248</v>
      </c>
      <c r="R150" s="831">
        <v>-3249</v>
      </c>
      <c r="S150" s="289">
        <v>-3277</v>
      </c>
      <c r="T150" s="290">
        <f t="shared" si="338"/>
        <v>-3277</v>
      </c>
      <c r="U150" s="831">
        <v>-3311</v>
      </c>
      <c r="V150" s="291">
        <f t="shared" ref="V150:X150" si="352">V261</f>
        <v>-3311</v>
      </c>
      <c r="W150" s="291">
        <f t="shared" si="352"/>
        <v>-3311</v>
      </c>
      <c r="X150" s="291">
        <f t="shared" si="352"/>
        <v>-3311</v>
      </c>
      <c r="Y150" s="290">
        <f t="shared" si="340"/>
        <v>-3311</v>
      </c>
      <c r="Z150" s="291">
        <f t="shared" ref="Z150:AC150" si="353">Z261</f>
        <v>-3311</v>
      </c>
      <c r="AA150" s="291">
        <f t="shared" si="353"/>
        <v>-3311</v>
      </c>
      <c r="AB150" s="291">
        <f t="shared" si="353"/>
        <v>-3311</v>
      </c>
      <c r="AC150" s="291">
        <f t="shared" si="353"/>
        <v>-3311</v>
      </c>
      <c r="AD150" s="290">
        <f t="shared" si="342"/>
        <v>-3311</v>
      </c>
      <c r="AE150" s="290">
        <f t="shared" ref="AE150:AG150" si="354">AE261</f>
        <v>-3311</v>
      </c>
      <c r="AF150" s="290">
        <f t="shared" si="354"/>
        <v>-3311</v>
      </c>
      <c r="AG150" s="290">
        <f t="shared" si="354"/>
        <v>-3311</v>
      </c>
      <c r="AH150" s="9"/>
      <c r="AI150" s="9"/>
      <c r="AJ150" s="9"/>
      <c r="AK150" s="9"/>
    </row>
    <row r="151" spans="1:37" ht="13.5" customHeight="1" x14ac:dyDescent="0.25">
      <c r="A151" s="205"/>
      <c r="B151" s="9"/>
      <c r="C151" s="103" t="s">
        <v>333</v>
      </c>
      <c r="D151" s="9"/>
      <c r="E151" s="9"/>
      <c r="F151" s="288">
        <f t="shared" ref="F151:I151" si="355">SUM(F147:F150)</f>
        <v>25992</v>
      </c>
      <c r="G151" s="288">
        <f t="shared" si="355"/>
        <v>26703</v>
      </c>
      <c r="H151" s="288">
        <f t="shared" si="355"/>
        <v>27324</v>
      </c>
      <c r="I151" s="288">
        <f t="shared" si="355"/>
        <v>28057</v>
      </c>
      <c r="J151" s="222">
        <f t="shared" si="336"/>
        <v>28057</v>
      </c>
      <c r="K151" s="288">
        <f t="shared" ref="K151:N151" si="356">SUM(K147:K150)</f>
        <v>28764</v>
      </c>
      <c r="L151" s="288">
        <f t="shared" si="356"/>
        <v>29540</v>
      </c>
      <c r="M151" s="288">
        <f t="shared" si="356"/>
        <v>29707</v>
      </c>
      <c r="N151" s="288">
        <f t="shared" si="356"/>
        <v>30264</v>
      </c>
      <c r="O151" s="222">
        <f t="shared" si="337"/>
        <v>30264</v>
      </c>
      <c r="P151" s="288">
        <f t="shared" ref="P151:S151" si="357">SUM(P147:P150)</f>
        <v>31202</v>
      </c>
      <c r="Q151" s="288">
        <f t="shared" si="357"/>
        <v>32311</v>
      </c>
      <c r="R151" s="288">
        <f t="shared" si="357"/>
        <v>32417</v>
      </c>
      <c r="S151" s="288">
        <f t="shared" si="357"/>
        <v>33474</v>
      </c>
      <c r="T151" s="222">
        <f t="shared" si="338"/>
        <v>33474</v>
      </c>
      <c r="U151" s="288">
        <f t="shared" ref="U151" si="358">SUM(U147:U150)</f>
        <v>33995</v>
      </c>
      <c r="V151" s="221">
        <f t="shared" ref="V151:X151" si="359">SUM(V147:V150)</f>
        <v>36353.472109863775</v>
      </c>
      <c r="W151" s="221">
        <f t="shared" si="359"/>
        <v>39024.163342098283</v>
      </c>
      <c r="X151" s="221">
        <f t="shared" si="359"/>
        <v>41918.740881960592</v>
      </c>
      <c r="Y151" s="222">
        <f t="shared" si="340"/>
        <v>41918.740881960592</v>
      </c>
      <c r="Z151" s="221">
        <f t="shared" ref="Z151:AC151" si="360">SUM(Z147:Z150)</f>
        <v>44776.587708577477</v>
      </c>
      <c r="AA151" s="221">
        <f t="shared" si="360"/>
        <v>47896.164282286853</v>
      </c>
      <c r="AB151" s="221">
        <f t="shared" si="360"/>
        <v>51299.502665951091</v>
      </c>
      <c r="AC151" s="221">
        <f t="shared" si="360"/>
        <v>54925.723043445832</v>
      </c>
      <c r="AD151" s="222">
        <f t="shared" si="342"/>
        <v>54925.723043445832</v>
      </c>
      <c r="AE151" s="222">
        <f t="shared" ref="AE151:AG151" si="361">SUM(AE147:AE150)</f>
        <v>69839.320004780413</v>
      </c>
      <c r="AF151" s="222">
        <f t="shared" si="361"/>
        <v>86637.902175518509</v>
      </c>
      <c r="AG151" s="222">
        <f t="shared" si="361"/>
        <v>104925.25050872457</v>
      </c>
      <c r="AH151" s="9"/>
      <c r="AI151" s="9"/>
      <c r="AJ151" s="9"/>
      <c r="AK151" s="9"/>
    </row>
    <row r="152" spans="1:37" ht="13.5" customHeight="1" x14ac:dyDescent="0.25">
      <c r="A152" s="205"/>
      <c r="B152" s="9"/>
      <c r="C152" s="9"/>
      <c r="D152" s="9"/>
      <c r="E152" s="9"/>
      <c r="F152" s="250"/>
      <c r="G152" s="250"/>
      <c r="H152" s="250"/>
      <c r="I152" s="250"/>
      <c r="J152" s="9"/>
      <c r="K152" s="250"/>
      <c r="L152" s="250"/>
      <c r="M152" s="250"/>
      <c r="N152" s="250"/>
      <c r="O152" s="9"/>
      <c r="P152" s="250"/>
      <c r="Q152" s="250"/>
      <c r="R152" s="250"/>
      <c r="S152" s="250"/>
      <c r="T152" s="9"/>
      <c r="U152" s="250"/>
      <c r="V152" s="251"/>
      <c r="W152" s="251"/>
      <c r="X152" s="251"/>
      <c r="Y152" s="9"/>
      <c r="Z152" s="251"/>
      <c r="AA152" s="251"/>
      <c r="AB152" s="251"/>
      <c r="AC152" s="251"/>
      <c r="AD152" s="9"/>
      <c r="AE152" s="9"/>
      <c r="AF152" s="9"/>
      <c r="AG152" s="9"/>
      <c r="AH152" s="9"/>
      <c r="AI152" s="9"/>
      <c r="AJ152" s="9"/>
      <c r="AK152" s="9"/>
    </row>
    <row r="153" spans="1:37" ht="13.5" customHeight="1" x14ac:dyDescent="0.25">
      <c r="A153" s="205"/>
      <c r="B153" s="9"/>
      <c r="C153" s="9" t="s">
        <v>334</v>
      </c>
      <c r="D153" s="9"/>
      <c r="E153" s="9"/>
      <c r="F153" s="289">
        <v>0</v>
      </c>
      <c r="G153" s="289">
        <v>0</v>
      </c>
      <c r="H153" s="289">
        <v>0</v>
      </c>
      <c r="I153" s="289">
        <v>0</v>
      </c>
      <c r="J153" s="290">
        <f t="shared" ref="J153:J154" si="362">I153</f>
        <v>0</v>
      </c>
      <c r="K153" s="289">
        <v>0</v>
      </c>
      <c r="L153" s="289">
        <v>0</v>
      </c>
      <c r="M153" s="289">
        <v>0</v>
      </c>
      <c r="N153" s="289">
        <v>0</v>
      </c>
      <c r="O153" s="290">
        <f t="shared" ref="O153:O154" si="363">N153</f>
        <v>0</v>
      </c>
      <c r="P153" s="289">
        <v>0</v>
      </c>
      <c r="Q153" s="289">
        <v>0</v>
      </c>
      <c r="R153" s="289">
        <v>0</v>
      </c>
      <c r="S153" s="289">
        <v>0</v>
      </c>
      <c r="T153" s="290">
        <f t="shared" ref="T153:T154" si="364">S153</f>
        <v>0</v>
      </c>
      <c r="U153" s="289">
        <v>0</v>
      </c>
      <c r="V153" s="291">
        <f>U153+Drivers!V108</f>
        <v>0</v>
      </c>
      <c r="W153" s="291">
        <f>V153+Drivers!W108</f>
        <v>0</v>
      </c>
      <c r="X153" s="291">
        <f>W153+Drivers!X108</f>
        <v>0</v>
      </c>
      <c r="Y153" s="290">
        <f t="shared" ref="Y153:Y154" si="365">X153</f>
        <v>0</v>
      </c>
      <c r="Z153" s="291">
        <f>Y153+Drivers!Z108</f>
        <v>0</v>
      </c>
      <c r="AA153" s="291">
        <f>Z153+Drivers!AA108</f>
        <v>0</v>
      </c>
      <c r="AB153" s="291">
        <f>AA153+Drivers!AB108</f>
        <v>0</v>
      </c>
      <c r="AC153" s="291">
        <f>AB153+Drivers!AC108</f>
        <v>0</v>
      </c>
      <c r="AD153" s="290">
        <f t="shared" ref="AD153:AD154" si="366">AC153</f>
        <v>0</v>
      </c>
      <c r="AE153" s="290">
        <f>AD153+Drivers!AE108</f>
        <v>0</v>
      </c>
      <c r="AF153" s="290">
        <f>AE153+Drivers!AF108</f>
        <v>0</v>
      </c>
      <c r="AG153" s="290">
        <f>AF153+Drivers!AG108</f>
        <v>0</v>
      </c>
      <c r="AH153" s="9"/>
      <c r="AI153" s="9"/>
      <c r="AJ153" s="9"/>
      <c r="AK153" s="9"/>
    </row>
    <row r="154" spans="1:37" ht="13.5" customHeight="1" x14ac:dyDescent="0.25">
      <c r="A154" s="205"/>
      <c r="B154" s="9"/>
      <c r="C154" s="103" t="s">
        <v>335</v>
      </c>
      <c r="D154" s="9"/>
      <c r="E154" s="9"/>
      <c r="F154" s="288">
        <f t="shared" ref="F154:I154" si="367">SUM(F151:F153)</f>
        <v>25992</v>
      </c>
      <c r="G154" s="288">
        <f t="shared" si="367"/>
        <v>26703</v>
      </c>
      <c r="H154" s="288">
        <f t="shared" si="367"/>
        <v>27324</v>
      </c>
      <c r="I154" s="288">
        <f t="shared" si="367"/>
        <v>28057</v>
      </c>
      <c r="J154" s="222">
        <f t="shared" si="362"/>
        <v>28057</v>
      </c>
      <c r="K154" s="288">
        <f t="shared" ref="K154:N154" si="368">SUM(K151:K153)</f>
        <v>28764</v>
      </c>
      <c r="L154" s="288">
        <f t="shared" si="368"/>
        <v>29540</v>
      </c>
      <c r="M154" s="288">
        <f t="shared" si="368"/>
        <v>29707</v>
      </c>
      <c r="N154" s="288">
        <f t="shared" si="368"/>
        <v>30264</v>
      </c>
      <c r="O154" s="222">
        <f t="shared" si="363"/>
        <v>30264</v>
      </c>
      <c r="P154" s="288">
        <f t="shared" ref="P154:S154" si="369">SUM(P151:P153)</f>
        <v>31202</v>
      </c>
      <c r="Q154" s="288">
        <f t="shared" si="369"/>
        <v>32311</v>
      </c>
      <c r="R154" s="288">
        <f t="shared" si="369"/>
        <v>32417</v>
      </c>
      <c r="S154" s="288">
        <f t="shared" si="369"/>
        <v>33474</v>
      </c>
      <c r="T154" s="222">
        <f t="shared" si="364"/>
        <v>33474</v>
      </c>
      <c r="U154" s="288">
        <f t="shared" ref="U154" si="370">SUM(U151:U153)</f>
        <v>33995</v>
      </c>
      <c r="V154" s="221">
        <f t="shared" ref="V154:X154" si="371">SUM(V151:V153)</f>
        <v>36353.472109863775</v>
      </c>
      <c r="W154" s="221">
        <f t="shared" si="371"/>
        <v>39024.163342098283</v>
      </c>
      <c r="X154" s="221">
        <f t="shared" si="371"/>
        <v>41918.740881960592</v>
      </c>
      <c r="Y154" s="222">
        <f t="shared" si="365"/>
        <v>41918.740881960592</v>
      </c>
      <c r="Z154" s="221">
        <f t="shared" ref="Z154:AC154" si="372">SUM(Z151:Z153)</f>
        <v>44776.587708577477</v>
      </c>
      <c r="AA154" s="221">
        <f t="shared" si="372"/>
        <v>47896.164282286853</v>
      </c>
      <c r="AB154" s="221">
        <f t="shared" si="372"/>
        <v>51299.502665951091</v>
      </c>
      <c r="AC154" s="221">
        <f t="shared" si="372"/>
        <v>54925.723043445832</v>
      </c>
      <c r="AD154" s="222">
        <f t="shared" si="366"/>
        <v>54925.723043445832</v>
      </c>
      <c r="AE154" s="222">
        <f t="shared" ref="AE154:AG154" si="373">SUM(AE151:AE153)</f>
        <v>69839.320004780413</v>
      </c>
      <c r="AF154" s="222">
        <f t="shared" si="373"/>
        <v>86637.902175518509</v>
      </c>
      <c r="AG154" s="222">
        <f t="shared" si="373"/>
        <v>104925.25050872457</v>
      </c>
      <c r="AH154" s="9"/>
      <c r="AI154" s="9"/>
      <c r="AJ154" s="9"/>
      <c r="AK154" s="9"/>
    </row>
    <row r="155" spans="1:37" ht="13.5" customHeight="1" x14ac:dyDescent="0.25">
      <c r="A155" s="205"/>
      <c r="B155" s="9"/>
      <c r="C155" s="103"/>
      <c r="D155" s="9"/>
      <c r="E155" s="9"/>
      <c r="F155" s="250"/>
      <c r="G155" s="250"/>
      <c r="H155" s="250"/>
      <c r="I155" s="250"/>
      <c r="J155" s="9"/>
      <c r="K155" s="250"/>
      <c r="L155" s="250"/>
      <c r="M155" s="250"/>
      <c r="N155" s="250"/>
      <c r="O155" s="9"/>
      <c r="P155" s="250"/>
      <c r="Q155" s="250"/>
      <c r="R155" s="250"/>
      <c r="S155" s="250"/>
      <c r="T155" s="9"/>
      <c r="U155" s="250"/>
      <c r="V155" s="251"/>
      <c r="W155" s="251"/>
      <c r="X155" s="251"/>
      <c r="Y155" s="9"/>
      <c r="Z155" s="251"/>
      <c r="AA155" s="251"/>
      <c r="AB155" s="251"/>
      <c r="AC155" s="251"/>
      <c r="AD155" s="9"/>
      <c r="AE155" s="9"/>
      <c r="AF155" s="9"/>
      <c r="AG155" s="9"/>
      <c r="AH155" s="9"/>
      <c r="AI155" s="9"/>
      <c r="AJ155" s="9"/>
      <c r="AK155" s="9"/>
    </row>
    <row r="156" spans="1:37" ht="13.5" customHeight="1" x14ac:dyDescent="0.25">
      <c r="A156" s="205"/>
      <c r="B156" s="9"/>
      <c r="C156" s="103" t="s">
        <v>336</v>
      </c>
      <c r="D156" s="9"/>
      <c r="E156" s="9"/>
      <c r="F156" s="288">
        <f t="shared" ref="F156:AG156" si="374">SUM(F145,F154)</f>
        <v>235842</v>
      </c>
      <c r="G156" s="288">
        <f t="shared" si="374"/>
        <v>244904</v>
      </c>
      <c r="H156" s="288">
        <f t="shared" si="374"/>
        <v>250587</v>
      </c>
      <c r="I156" s="288">
        <f t="shared" si="374"/>
        <v>261108</v>
      </c>
      <c r="J156" s="222">
        <f t="shared" si="374"/>
        <v>261108</v>
      </c>
      <c r="K156" s="288">
        <f t="shared" si="374"/>
        <v>269261</v>
      </c>
      <c r="L156" s="288">
        <f t="shared" si="374"/>
        <v>272219</v>
      </c>
      <c r="M156" s="288">
        <f t="shared" si="374"/>
        <v>270979</v>
      </c>
      <c r="N156" s="288">
        <f t="shared" si="374"/>
        <v>271461</v>
      </c>
      <c r="O156" s="222">
        <f t="shared" si="374"/>
        <v>271461</v>
      </c>
      <c r="P156" s="288">
        <f t="shared" si="374"/>
        <v>282244</v>
      </c>
      <c r="Q156" s="288">
        <f t="shared" si="374"/>
        <v>295556</v>
      </c>
      <c r="R156" s="288">
        <f t="shared" si="374"/>
        <v>297550</v>
      </c>
      <c r="S156" s="288">
        <f t="shared" si="374"/>
        <v>300052</v>
      </c>
      <c r="T156" s="222">
        <f t="shared" si="374"/>
        <v>300052</v>
      </c>
      <c r="U156" s="288">
        <f t="shared" ref="U156" si="375">SUM(U145,U154)</f>
        <v>308894</v>
      </c>
      <c r="V156" s="221">
        <f t="shared" ref="V156:X156" ca="1" si="376">SUM(V145,V154)</f>
        <v>324124.24959986308</v>
      </c>
      <c r="W156" s="221">
        <f t="shared" ca="1" si="376"/>
        <v>331797.19958791457</v>
      </c>
      <c r="X156" s="221">
        <f t="shared" ca="1" si="376"/>
        <v>339572.73552307038</v>
      </c>
      <c r="Y156" s="222">
        <f t="shared" ca="1" si="374"/>
        <v>339572.73552307038</v>
      </c>
      <c r="Z156" s="221">
        <f t="shared" ca="1" si="374"/>
        <v>345864.0904982806</v>
      </c>
      <c r="AA156" s="221">
        <f t="shared" ca="1" si="374"/>
        <v>361580.04096899478</v>
      </c>
      <c r="AB156" s="221">
        <f t="shared" ca="1" si="374"/>
        <v>368040.37289595173</v>
      </c>
      <c r="AC156" s="221">
        <f t="shared" ca="1" si="374"/>
        <v>375650.2195547577</v>
      </c>
      <c r="AD156" s="222">
        <f t="shared" ca="1" si="374"/>
        <v>375650.2195547577</v>
      </c>
      <c r="AE156" s="222">
        <f t="shared" ca="1" si="374"/>
        <v>400998.53642741474</v>
      </c>
      <c r="AF156" s="222">
        <f t="shared" ca="1" si="374"/>
        <v>438435.08134695957</v>
      </c>
      <c r="AG156" s="222">
        <f t="shared" ca="1" si="374"/>
        <v>475528.31689366873</v>
      </c>
      <c r="AH156" s="9"/>
      <c r="AI156" s="9"/>
      <c r="AJ156" s="9"/>
      <c r="AK156" s="9"/>
    </row>
    <row r="157" spans="1:37" ht="13.5" customHeight="1" x14ac:dyDescent="0.25">
      <c r="A157" s="205"/>
      <c r="B157" s="9"/>
      <c r="C157" s="103"/>
      <c r="D157" s="9"/>
      <c r="E157" s="9"/>
      <c r="F157" s="250"/>
      <c r="G157" s="250"/>
      <c r="H157" s="250"/>
      <c r="I157" s="250"/>
      <c r="J157" s="9"/>
      <c r="K157" s="250"/>
      <c r="L157" s="250"/>
      <c r="M157" s="250"/>
      <c r="N157" s="250"/>
      <c r="O157" s="9"/>
      <c r="P157" s="250"/>
      <c r="Q157" s="250"/>
      <c r="R157" s="250"/>
      <c r="S157" s="250"/>
      <c r="T157" s="9"/>
      <c r="U157" s="250"/>
      <c r="V157" s="251"/>
      <c r="W157" s="251"/>
      <c r="X157" s="251"/>
      <c r="Y157" s="9"/>
      <c r="Z157" s="251"/>
      <c r="AA157" s="251"/>
      <c r="AB157" s="251"/>
      <c r="AC157" s="251"/>
      <c r="AD157" s="9"/>
      <c r="AE157" s="9"/>
      <c r="AF157" s="9"/>
      <c r="AG157" s="9"/>
      <c r="AH157" s="9"/>
      <c r="AI157" s="9"/>
      <c r="AJ157" s="9"/>
      <c r="AK157" s="9"/>
    </row>
    <row r="158" spans="1:37" ht="13.5" customHeight="1" x14ac:dyDescent="0.25">
      <c r="A158" s="205"/>
      <c r="B158" s="321"/>
      <c r="C158" s="335" t="s">
        <v>337</v>
      </c>
      <c r="D158" s="336"/>
      <c r="E158" s="336"/>
      <c r="F158" s="337">
        <f t="shared" ref="F158:AG158" si="377">F132-F156</f>
        <v>0</v>
      </c>
      <c r="G158" s="337">
        <f t="shared" si="377"/>
        <v>0</v>
      </c>
      <c r="H158" s="337">
        <f t="shared" si="377"/>
        <v>0</v>
      </c>
      <c r="I158" s="337">
        <f t="shared" si="377"/>
        <v>0</v>
      </c>
      <c r="J158" s="338">
        <f t="shared" si="377"/>
        <v>0</v>
      </c>
      <c r="K158" s="337">
        <f t="shared" si="377"/>
        <v>0</v>
      </c>
      <c r="L158" s="337">
        <f t="shared" si="377"/>
        <v>0</v>
      </c>
      <c r="M158" s="337">
        <f t="shared" si="377"/>
        <v>0</v>
      </c>
      <c r="N158" s="337">
        <f t="shared" si="377"/>
        <v>0</v>
      </c>
      <c r="O158" s="338">
        <f t="shared" si="377"/>
        <v>0</v>
      </c>
      <c r="P158" s="337">
        <f t="shared" si="377"/>
        <v>0</v>
      </c>
      <c r="Q158" s="337">
        <f t="shared" si="377"/>
        <v>0</v>
      </c>
      <c r="R158" s="337">
        <f t="shared" si="377"/>
        <v>0</v>
      </c>
      <c r="S158" s="337">
        <f t="shared" si="377"/>
        <v>0</v>
      </c>
      <c r="T158" s="338">
        <f t="shared" si="377"/>
        <v>0</v>
      </c>
      <c r="U158" s="337">
        <f t="shared" ref="U158" si="378">U132-U156</f>
        <v>0</v>
      </c>
      <c r="V158" s="339">
        <f t="shared" ref="V158:X158" ca="1" si="379">V132-V156</f>
        <v>0</v>
      </c>
      <c r="W158" s="339">
        <f t="shared" ca="1" si="379"/>
        <v>0</v>
      </c>
      <c r="X158" s="339">
        <f t="shared" ca="1" si="379"/>
        <v>0</v>
      </c>
      <c r="Y158" s="338">
        <f t="shared" ca="1" si="377"/>
        <v>0</v>
      </c>
      <c r="Z158" s="339">
        <f t="shared" ca="1" si="377"/>
        <v>0</v>
      </c>
      <c r="AA158" s="339">
        <f t="shared" ca="1" si="377"/>
        <v>0</v>
      </c>
      <c r="AB158" s="339">
        <f t="shared" ca="1" si="377"/>
        <v>0</v>
      </c>
      <c r="AC158" s="339">
        <f t="shared" ca="1" si="377"/>
        <v>0</v>
      </c>
      <c r="AD158" s="338">
        <f t="shared" ca="1" si="377"/>
        <v>0</v>
      </c>
      <c r="AE158" s="338">
        <f t="shared" ca="1" si="377"/>
        <v>0</v>
      </c>
      <c r="AF158" s="338">
        <f t="shared" ca="1" si="377"/>
        <v>0</v>
      </c>
      <c r="AG158" s="340">
        <f t="shared" ca="1" si="377"/>
        <v>0</v>
      </c>
      <c r="AH158" s="243"/>
      <c r="AI158" s="243"/>
      <c r="AJ158" s="243"/>
      <c r="AK158" s="243"/>
    </row>
    <row r="159" spans="1:37" ht="13.5" customHeight="1" x14ac:dyDescent="0.25">
      <c r="A159" s="205"/>
      <c r="B159" s="9"/>
      <c r="C159" s="9"/>
      <c r="D159" s="9"/>
      <c r="E159" s="9"/>
      <c r="F159" s="250"/>
      <c r="G159" s="250"/>
      <c r="H159" s="250"/>
      <c r="I159" s="250"/>
      <c r="J159" s="9"/>
      <c r="K159" s="250"/>
      <c r="L159" s="250"/>
      <c r="M159" s="250"/>
      <c r="N159" s="250"/>
      <c r="O159" s="9"/>
      <c r="P159" s="250"/>
      <c r="Q159" s="250"/>
      <c r="R159" s="250"/>
      <c r="S159" s="250"/>
      <c r="T159" s="9"/>
      <c r="U159" s="250"/>
      <c r="V159" s="251"/>
      <c r="W159" s="251"/>
      <c r="X159" s="251"/>
      <c r="Y159" s="9"/>
      <c r="Z159" s="251"/>
      <c r="AA159" s="251"/>
      <c r="AB159" s="251"/>
      <c r="AC159" s="251"/>
      <c r="AD159" s="9"/>
      <c r="AE159" s="9"/>
      <c r="AF159" s="9"/>
      <c r="AG159" s="9"/>
      <c r="AH159" s="9"/>
      <c r="AI159" s="9"/>
      <c r="AJ159" s="9"/>
      <c r="AK159" s="9"/>
    </row>
    <row r="160" spans="1:37" ht="13.5" customHeight="1" x14ac:dyDescent="0.25">
      <c r="A160" s="205" t="s">
        <v>0</v>
      </c>
      <c r="B160" s="37"/>
      <c r="C160" s="50" t="s">
        <v>338</v>
      </c>
      <c r="D160" s="12"/>
      <c r="E160" s="12"/>
      <c r="F160" s="248" t="str">
        <f>F$25</f>
        <v>1Q23</v>
      </c>
      <c r="G160" s="51" t="str">
        <f t="shared" ref="G160:AG160" si="380">G$63</f>
        <v>2Q23</v>
      </c>
      <c r="H160" s="51" t="str">
        <f t="shared" si="380"/>
        <v>3Q23</v>
      </c>
      <c r="I160" s="51" t="str">
        <f t="shared" si="380"/>
        <v>4Q23</v>
      </c>
      <c r="J160" s="51">
        <f t="shared" si="380"/>
        <v>2023</v>
      </c>
      <c r="K160" s="51" t="str">
        <f t="shared" si="380"/>
        <v>1Q24</v>
      </c>
      <c r="L160" s="51" t="str">
        <f t="shared" si="380"/>
        <v>2Q24</v>
      </c>
      <c r="M160" s="51" t="str">
        <f t="shared" si="380"/>
        <v>3Q24</v>
      </c>
      <c r="N160" s="51" t="str">
        <f t="shared" si="380"/>
        <v>4Q24</v>
      </c>
      <c r="O160" s="51">
        <f t="shared" si="380"/>
        <v>2024</v>
      </c>
      <c r="P160" s="51" t="str">
        <f t="shared" si="380"/>
        <v>1Q25</v>
      </c>
      <c r="Q160" s="51" t="str">
        <f t="shared" si="380"/>
        <v>2Q25</v>
      </c>
      <c r="R160" s="51" t="str">
        <f t="shared" si="380"/>
        <v>3Q25</v>
      </c>
      <c r="S160" s="51" t="str">
        <f t="shared" si="380"/>
        <v>4Q25</v>
      </c>
      <c r="T160" s="51">
        <f t="shared" si="380"/>
        <v>2025</v>
      </c>
      <c r="U160" s="51" t="str">
        <f t="shared" si="380"/>
        <v>1Q26</v>
      </c>
      <c r="V160" s="51" t="str">
        <f t="shared" si="380"/>
        <v>2Q26e</v>
      </c>
      <c r="W160" s="51" t="str">
        <f t="shared" si="380"/>
        <v>3Q26e</v>
      </c>
      <c r="X160" s="51" t="str">
        <f t="shared" si="380"/>
        <v>4Q26e</v>
      </c>
      <c r="Y160" s="51" t="str">
        <f t="shared" si="380"/>
        <v>2026e</v>
      </c>
      <c r="Z160" s="51" t="str">
        <f t="shared" si="380"/>
        <v>1Q27e</v>
      </c>
      <c r="AA160" s="51" t="str">
        <f t="shared" si="380"/>
        <v>2Q27e</v>
      </c>
      <c r="AB160" s="51" t="str">
        <f t="shared" si="380"/>
        <v>3Q27e</v>
      </c>
      <c r="AC160" s="51" t="str">
        <f t="shared" si="380"/>
        <v>4Q27e</v>
      </c>
      <c r="AD160" s="51" t="str">
        <f t="shared" si="380"/>
        <v>2027e</v>
      </c>
      <c r="AE160" s="51" t="str">
        <f t="shared" si="380"/>
        <v>2028e</v>
      </c>
      <c r="AF160" s="51" t="str">
        <f t="shared" si="380"/>
        <v>2029e</v>
      </c>
      <c r="AG160" s="52" t="str">
        <f t="shared" si="380"/>
        <v>2030e</v>
      </c>
      <c r="AH160" s="205" t="s">
        <v>0</v>
      </c>
      <c r="AI160" s="9"/>
      <c r="AJ160" s="9"/>
      <c r="AK160" s="9"/>
    </row>
    <row r="161" spans="1:37" ht="13.5" customHeight="1" x14ac:dyDescent="0.25">
      <c r="A161" s="205"/>
      <c r="B161" s="9"/>
      <c r="C161" s="9"/>
      <c r="D161" s="9"/>
      <c r="E161" s="9"/>
      <c r="F161" s="250"/>
      <c r="G161" s="250"/>
      <c r="H161" s="250"/>
      <c r="I161" s="250"/>
      <c r="J161" s="9"/>
      <c r="K161" s="250"/>
      <c r="L161" s="250"/>
      <c r="M161" s="250"/>
      <c r="N161" s="250"/>
      <c r="O161" s="9"/>
      <c r="P161" s="250"/>
      <c r="Q161" s="250"/>
      <c r="R161" s="250"/>
      <c r="S161" s="250"/>
      <c r="T161" s="9"/>
      <c r="U161" s="250"/>
      <c r="V161" s="251"/>
      <c r="W161" s="251"/>
      <c r="X161" s="251"/>
      <c r="Y161" s="9"/>
      <c r="Z161" s="251"/>
      <c r="AA161" s="251"/>
      <c r="AB161" s="251"/>
      <c r="AC161" s="251"/>
      <c r="AD161" s="9"/>
      <c r="AE161" s="9"/>
      <c r="AF161" s="9"/>
      <c r="AG161" s="9"/>
      <c r="AH161" s="9"/>
      <c r="AI161" s="9"/>
      <c r="AJ161" s="9"/>
      <c r="AK161" s="9"/>
    </row>
    <row r="162" spans="1:37" ht="13.5" customHeight="1" x14ac:dyDescent="0.25">
      <c r="A162" s="205"/>
      <c r="B162" s="9"/>
      <c r="C162" s="103" t="str">
        <f t="shared" ref="C162:C164" si="381">C121</f>
        <v>Card Member Recievables</v>
      </c>
      <c r="D162" s="9"/>
      <c r="E162" s="9"/>
      <c r="F162" s="288">
        <f t="shared" ref="F162:T162" si="382">F121</f>
        <v>57271</v>
      </c>
      <c r="G162" s="288">
        <f t="shared" si="382"/>
        <v>58011</v>
      </c>
      <c r="H162" s="288">
        <f t="shared" si="382"/>
        <v>58651</v>
      </c>
      <c r="I162" s="288">
        <f t="shared" si="382"/>
        <v>60237</v>
      </c>
      <c r="J162" s="222">
        <f t="shared" si="382"/>
        <v>60237</v>
      </c>
      <c r="K162" s="288">
        <f t="shared" si="382"/>
        <v>59624</v>
      </c>
      <c r="L162" s="288">
        <f t="shared" si="382"/>
        <v>59485</v>
      </c>
      <c r="M162" s="288">
        <f t="shared" si="382"/>
        <v>58886</v>
      </c>
      <c r="N162" s="288">
        <f t="shared" si="382"/>
        <v>59240</v>
      </c>
      <c r="O162" s="222">
        <f t="shared" si="382"/>
        <v>59240</v>
      </c>
      <c r="P162" s="288">
        <f t="shared" si="382"/>
        <v>58355</v>
      </c>
      <c r="Q162" s="288">
        <f t="shared" si="382"/>
        <v>59405</v>
      </c>
      <c r="R162" s="288">
        <f t="shared" si="382"/>
        <v>60823</v>
      </c>
      <c r="S162" s="288">
        <f t="shared" si="382"/>
        <v>61851</v>
      </c>
      <c r="T162" s="222">
        <f t="shared" si="382"/>
        <v>61851</v>
      </c>
      <c r="U162" s="288">
        <f t="shared" ref="U162" si="383">U121</f>
        <v>0</v>
      </c>
      <c r="V162" s="221">
        <f>V182*V28/V$26</f>
        <v>65187.609000000004</v>
      </c>
      <c r="W162" s="221">
        <f>W182*W28/W$26</f>
        <v>65999.73254782609</v>
      </c>
      <c r="X162" s="221">
        <f>X182*X28/X$26</f>
        <v>68367.792425460866</v>
      </c>
      <c r="Y162" s="222">
        <f t="shared" ref="Y162:Y164" si="384">X162</f>
        <v>68367.792425460866</v>
      </c>
      <c r="Z162" s="221">
        <f>Z182*Z28/Z$26</f>
        <v>68934.039532897048</v>
      </c>
      <c r="AA162" s="221">
        <f>AA182*AA28/AA$26</f>
        <v>71974.240395488581</v>
      </c>
      <c r="AB162" s="221">
        <f>AB182*AB28/AB$26</f>
        <v>72904.314958917457</v>
      </c>
      <c r="AC162" s="221">
        <f>AC182*AC28/AC$26</f>
        <v>75581.974615221567</v>
      </c>
      <c r="AD162" s="222">
        <f t="shared" ref="AD162:AD164" si="385">AC162</f>
        <v>75581.974615221567</v>
      </c>
      <c r="AE162" s="222">
        <f>AE182*AE28/AE$26</f>
        <v>77690.805106542946</v>
      </c>
      <c r="AF162" s="222">
        <f>AF182*AF28/AF$26</f>
        <v>83130.016618791167</v>
      </c>
      <c r="AG162" s="222">
        <f>AG182*AG28/AG$26</f>
        <v>87909.250259072593</v>
      </c>
      <c r="AH162" s="9"/>
      <c r="AI162" s="9"/>
      <c r="AJ162" s="9"/>
      <c r="AK162" s="9"/>
    </row>
    <row r="163" spans="1:37" ht="13.5" customHeight="1" x14ac:dyDescent="0.25">
      <c r="A163" s="205"/>
      <c r="B163" s="9"/>
      <c r="C163" s="103" t="str">
        <f t="shared" si="381"/>
        <v>Inventory</v>
      </c>
      <c r="D163" s="9"/>
      <c r="E163" s="9"/>
      <c r="F163" s="319">
        <f t="shared" ref="F163:T163" si="386">F122</f>
        <v>0</v>
      </c>
      <c r="G163" s="319">
        <f t="shared" si="386"/>
        <v>0</v>
      </c>
      <c r="H163" s="319">
        <f t="shared" si="386"/>
        <v>0</v>
      </c>
      <c r="I163" s="319">
        <f t="shared" si="386"/>
        <v>0</v>
      </c>
      <c r="J163" s="126">
        <f t="shared" si="386"/>
        <v>0</v>
      </c>
      <c r="K163" s="319">
        <f t="shared" si="386"/>
        <v>0</v>
      </c>
      <c r="L163" s="319">
        <f t="shared" si="386"/>
        <v>0</v>
      </c>
      <c r="M163" s="319">
        <f t="shared" si="386"/>
        <v>0</v>
      </c>
      <c r="N163" s="319">
        <f t="shared" si="386"/>
        <v>0</v>
      </c>
      <c r="O163" s="126">
        <f t="shared" si="386"/>
        <v>0</v>
      </c>
      <c r="P163" s="319">
        <f t="shared" si="386"/>
        <v>0</v>
      </c>
      <c r="Q163" s="319">
        <f t="shared" si="386"/>
        <v>0</v>
      </c>
      <c r="R163" s="319">
        <f t="shared" si="386"/>
        <v>0</v>
      </c>
      <c r="S163" s="319">
        <f t="shared" si="386"/>
        <v>0</v>
      </c>
      <c r="T163" s="126">
        <f t="shared" si="386"/>
        <v>0</v>
      </c>
      <c r="U163" s="319">
        <f t="shared" ref="U163" si="387">U122</f>
        <v>0</v>
      </c>
      <c r="V163" s="294">
        <f>V183*-V31/V$26</f>
        <v>0</v>
      </c>
      <c r="W163" s="294">
        <f>W183*-W31/W$26</f>
        <v>0</v>
      </c>
      <c r="X163" s="294">
        <f>X183*-X31/X$26</f>
        <v>0</v>
      </c>
      <c r="Y163" s="126">
        <f t="shared" si="384"/>
        <v>0</v>
      </c>
      <c r="Z163" s="294">
        <f>Z183*-Z31/Z$26</f>
        <v>0</v>
      </c>
      <c r="AA163" s="294">
        <f>AA183*-AA31/AA$26</f>
        <v>0</v>
      </c>
      <c r="AB163" s="294">
        <f>AB183*-AB31/AB$26</f>
        <v>0</v>
      </c>
      <c r="AC163" s="294">
        <f>AC183*-AC31/AC$26</f>
        <v>0</v>
      </c>
      <c r="AD163" s="126">
        <f t="shared" si="385"/>
        <v>0</v>
      </c>
      <c r="AE163" s="126">
        <f>AE183*-AE31/AE$26</f>
        <v>0</v>
      </c>
      <c r="AF163" s="126">
        <f>AF183*-AF31/AF$26</f>
        <v>0</v>
      </c>
      <c r="AG163" s="126">
        <f>AG183*-AG31/AG$26</f>
        <v>0</v>
      </c>
      <c r="AH163" s="9"/>
      <c r="AI163" s="9"/>
      <c r="AJ163" s="9"/>
      <c r="AK163" s="9"/>
    </row>
    <row r="164" spans="1:37" ht="13.5" customHeight="1" x14ac:dyDescent="0.25">
      <c r="A164" s="205"/>
      <c r="B164" s="9"/>
      <c r="C164" s="103" t="str">
        <f t="shared" si="381"/>
        <v>Prepaid &amp; Other Current Assets</v>
      </c>
      <c r="D164" s="9"/>
      <c r="E164" s="9"/>
      <c r="F164" s="307">
        <f t="shared" ref="F164:T164" si="388">F123</f>
        <v>0</v>
      </c>
      <c r="G164" s="307">
        <f t="shared" si="388"/>
        <v>0</v>
      </c>
      <c r="H164" s="307">
        <f t="shared" si="388"/>
        <v>0</v>
      </c>
      <c r="I164" s="307">
        <f t="shared" si="388"/>
        <v>0</v>
      </c>
      <c r="J164" s="290">
        <f t="shared" si="388"/>
        <v>0</v>
      </c>
      <c r="K164" s="307">
        <f t="shared" si="388"/>
        <v>0</v>
      </c>
      <c r="L164" s="307">
        <f t="shared" si="388"/>
        <v>0</v>
      </c>
      <c r="M164" s="307">
        <f t="shared" si="388"/>
        <v>0</v>
      </c>
      <c r="N164" s="307">
        <f t="shared" si="388"/>
        <v>0</v>
      </c>
      <c r="O164" s="290">
        <f t="shared" si="388"/>
        <v>0</v>
      </c>
      <c r="P164" s="307">
        <f t="shared" si="388"/>
        <v>0</v>
      </c>
      <c r="Q164" s="307">
        <f t="shared" si="388"/>
        <v>0</v>
      </c>
      <c r="R164" s="307">
        <f t="shared" si="388"/>
        <v>0</v>
      </c>
      <c r="S164" s="307">
        <f t="shared" si="388"/>
        <v>0</v>
      </c>
      <c r="T164" s="290">
        <f t="shared" si="388"/>
        <v>0</v>
      </c>
      <c r="U164" s="307">
        <f t="shared" ref="U164" si="389">U123</f>
        <v>0</v>
      </c>
      <c r="V164" s="291">
        <f>V186*V28*4</f>
        <v>0</v>
      </c>
      <c r="W164" s="291">
        <f>W186*W28*4</f>
        <v>0</v>
      </c>
      <c r="X164" s="291">
        <f>X186*X28*4</f>
        <v>0</v>
      </c>
      <c r="Y164" s="290">
        <f t="shared" si="384"/>
        <v>0</v>
      </c>
      <c r="Z164" s="291">
        <f>Z186*Z28*4</f>
        <v>0</v>
      </c>
      <c r="AA164" s="291">
        <f>AA186*AA28*4</f>
        <v>0</v>
      </c>
      <c r="AB164" s="291">
        <f>AB186*AB28*4</f>
        <v>0</v>
      </c>
      <c r="AC164" s="291">
        <f>AC186*AC28*4</f>
        <v>0</v>
      </c>
      <c r="AD164" s="290">
        <f t="shared" si="385"/>
        <v>0</v>
      </c>
      <c r="AE164" s="290">
        <f>AE186*AE28</f>
        <v>0</v>
      </c>
      <c r="AF164" s="290">
        <f>AF186*AF28</f>
        <v>0</v>
      </c>
      <c r="AG164" s="290">
        <f>AG186*AG28</f>
        <v>0</v>
      </c>
      <c r="AH164" s="9"/>
      <c r="AI164" s="9"/>
      <c r="AJ164" s="9"/>
      <c r="AK164" s="9"/>
    </row>
    <row r="165" spans="1:37" ht="13.5" customHeight="1" x14ac:dyDescent="0.25">
      <c r="A165" s="205"/>
      <c r="B165" s="9"/>
      <c r="C165" s="9" t="s">
        <v>339</v>
      </c>
      <c r="D165" s="9"/>
      <c r="E165" s="9"/>
      <c r="F165" s="288">
        <f t="shared" ref="F165:AG165" si="390">SUM(F162:F164)</f>
        <v>57271</v>
      </c>
      <c r="G165" s="288">
        <f t="shared" si="390"/>
        <v>58011</v>
      </c>
      <c r="H165" s="288">
        <f t="shared" si="390"/>
        <v>58651</v>
      </c>
      <c r="I165" s="288">
        <f t="shared" si="390"/>
        <v>60237</v>
      </c>
      <c r="J165" s="222">
        <f t="shared" si="390"/>
        <v>60237</v>
      </c>
      <c r="K165" s="288">
        <f t="shared" si="390"/>
        <v>59624</v>
      </c>
      <c r="L165" s="288">
        <f t="shared" si="390"/>
        <v>59485</v>
      </c>
      <c r="M165" s="288">
        <f t="shared" si="390"/>
        <v>58886</v>
      </c>
      <c r="N165" s="288">
        <f t="shared" si="390"/>
        <v>59240</v>
      </c>
      <c r="O165" s="222">
        <f t="shared" si="390"/>
        <v>59240</v>
      </c>
      <c r="P165" s="288">
        <f t="shared" si="390"/>
        <v>58355</v>
      </c>
      <c r="Q165" s="288">
        <f t="shared" si="390"/>
        <v>59405</v>
      </c>
      <c r="R165" s="288">
        <f t="shared" si="390"/>
        <v>60823</v>
      </c>
      <c r="S165" s="288">
        <f t="shared" si="390"/>
        <v>61851</v>
      </c>
      <c r="T165" s="222">
        <f t="shared" si="390"/>
        <v>61851</v>
      </c>
      <c r="U165" s="288">
        <f t="shared" ref="U165" si="391">SUM(U162:U164)</f>
        <v>0</v>
      </c>
      <c r="V165" s="221">
        <f t="shared" ref="V165:X165" si="392">SUM(V162:V164)</f>
        <v>65187.609000000004</v>
      </c>
      <c r="W165" s="221">
        <f t="shared" si="392"/>
        <v>65999.73254782609</v>
      </c>
      <c r="X165" s="221">
        <f t="shared" si="392"/>
        <v>68367.792425460866</v>
      </c>
      <c r="Y165" s="222">
        <f t="shared" si="390"/>
        <v>68367.792425460866</v>
      </c>
      <c r="Z165" s="221">
        <f t="shared" si="390"/>
        <v>68934.039532897048</v>
      </c>
      <c r="AA165" s="221">
        <f t="shared" si="390"/>
        <v>71974.240395488581</v>
      </c>
      <c r="AB165" s="221">
        <f t="shared" si="390"/>
        <v>72904.314958917457</v>
      </c>
      <c r="AC165" s="221">
        <f t="shared" si="390"/>
        <v>75581.974615221567</v>
      </c>
      <c r="AD165" s="222">
        <f t="shared" si="390"/>
        <v>75581.974615221567</v>
      </c>
      <c r="AE165" s="222">
        <f t="shared" si="390"/>
        <v>77690.805106542946</v>
      </c>
      <c r="AF165" s="222">
        <f t="shared" si="390"/>
        <v>83130.016618791167</v>
      </c>
      <c r="AG165" s="222">
        <f t="shared" si="390"/>
        <v>87909.250259072593</v>
      </c>
      <c r="AH165" s="9"/>
      <c r="AI165" s="9"/>
      <c r="AJ165" s="9"/>
      <c r="AK165" s="9"/>
    </row>
    <row r="166" spans="1:37" ht="13.5" customHeight="1" x14ac:dyDescent="0.25">
      <c r="A166" s="205"/>
      <c r="B166" s="9"/>
      <c r="C166" s="9"/>
      <c r="D166" s="9"/>
      <c r="E166" s="9"/>
      <c r="F166" s="250"/>
      <c r="G166" s="250"/>
      <c r="H166" s="250"/>
      <c r="I166" s="250"/>
      <c r="J166" s="9"/>
      <c r="K166" s="250"/>
      <c r="L166" s="250"/>
      <c r="M166" s="250"/>
      <c r="N166" s="250"/>
      <c r="O166" s="9"/>
      <c r="P166" s="250"/>
      <c r="Q166" s="250"/>
      <c r="R166" s="250"/>
      <c r="S166" s="250"/>
      <c r="T166" s="9"/>
      <c r="U166" s="250"/>
      <c r="V166" s="251"/>
      <c r="W166" s="251"/>
      <c r="X166" s="251"/>
      <c r="Y166" s="9"/>
      <c r="Z166" s="251"/>
      <c r="AA166" s="251"/>
      <c r="AB166" s="251"/>
      <c r="AC166" s="251"/>
      <c r="AD166" s="9"/>
      <c r="AE166" s="9"/>
      <c r="AF166" s="9"/>
      <c r="AG166" s="9"/>
      <c r="AH166" s="9"/>
      <c r="AI166" s="9"/>
      <c r="AJ166" s="9"/>
      <c r="AK166" s="9"/>
    </row>
    <row r="167" spans="1:37" ht="13.5" customHeight="1" x14ac:dyDescent="0.25">
      <c r="A167" s="205"/>
      <c r="B167" s="9"/>
      <c r="C167" s="103" t="str">
        <f t="shared" ref="C167:C169" si="393">C134</f>
        <v>Accounts Payable</v>
      </c>
      <c r="D167" s="9"/>
      <c r="E167" s="9"/>
      <c r="F167" s="288">
        <f t="shared" ref="F167:T167" si="394">F134</f>
        <v>12526</v>
      </c>
      <c r="G167" s="288">
        <f t="shared" si="394"/>
        <v>12359</v>
      </c>
      <c r="H167" s="288">
        <f t="shared" si="394"/>
        <v>13196</v>
      </c>
      <c r="I167" s="288">
        <f t="shared" si="394"/>
        <v>13109</v>
      </c>
      <c r="J167" s="222">
        <f t="shared" si="394"/>
        <v>13109</v>
      </c>
      <c r="K167" s="288">
        <f t="shared" si="394"/>
        <v>13411</v>
      </c>
      <c r="L167" s="288">
        <f t="shared" si="394"/>
        <v>13145</v>
      </c>
      <c r="M167" s="288">
        <f t="shared" si="394"/>
        <v>13162</v>
      </c>
      <c r="N167" s="288">
        <f t="shared" si="394"/>
        <v>13884</v>
      </c>
      <c r="O167" s="222">
        <f t="shared" si="394"/>
        <v>13884</v>
      </c>
      <c r="P167" s="288">
        <f t="shared" si="394"/>
        <v>13564</v>
      </c>
      <c r="Q167" s="288">
        <f t="shared" si="394"/>
        <v>14121</v>
      </c>
      <c r="R167" s="288">
        <f t="shared" si="394"/>
        <v>14708</v>
      </c>
      <c r="S167" s="288">
        <f t="shared" si="394"/>
        <v>14700</v>
      </c>
      <c r="T167" s="222">
        <f t="shared" si="394"/>
        <v>14700</v>
      </c>
      <c r="U167" s="288">
        <f t="shared" ref="U167" si="395">U134</f>
        <v>14635</v>
      </c>
      <c r="V167" s="221" cm="1">
        <f t="array" ref="V167">V184*SUM(-V34:V35)/V26</f>
        <v>14428.190792000003</v>
      </c>
      <c r="W167" s="221" cm="1">
        <f t="array" ref="W167">W184*SUM(-W34:W35)/W26</f>
        <v>14712.116852352174</v>
      </c>
      <c r="X167" s="221" cm="1">
        <f t="array" ref="X167">X184*SUM(-X34:X35)/X26</f>
        <v>15109.282126026854</v>
      </c>
      <c r="Y167" s="222">
        <f t="shared" ref="Y167:Y169" si="396">X167</f>
        <v>15109.282126026854</v>
      </c>
      <c r="Z167" s="221" cm="1">
        <f t="array" ref="Z167">Z184*SUM(-Z34:Z35)/Z26</f>
        <v>15534.36183892901</v>
      </c>
      <c r="AA167" s="221" cm="1">
        <f t="array" ref="AA167">AA184*SUM(-AA34:AA35)/AA26</f>
        <v>16109.505121005706</v>
      </c>
      <c r="AB167" s="221" cm="1">
        <f t="array" ref="AB167">AB184*SUM(-AB34:AB35)/AB26</f>
        <v>16204.360186043585</v>
      </c>
      <c r="AC167" s="221" cm="1">
        <f t="array" ref="AC167">AC184*SUM(-AC34:AC35)/AC26</f>
        <v>16771.668057145205</v>
      </c>
      <c r="AD167" s="222">
        <f t="shared" ref="AD167:AD169" si="397">AC167</f>
        <v>16771.668057145205</v>
      </c>
      <c r="AE167" s="222" cm="1">
        <f t="array" ref="AE167">AE184*SUM(-AE34:AE35)/AE26</f>
        <v>16778.777106543144</v>
      </c>
      <c r="AF167" s="222" cm="1">
        <f t="array" ref="AF167">AF184*SUM(-AF34:AF35)/AF26</f>
        <v>17906.312943177716</v>
      </c>
      <c r="AG167" s="222" cm="1">
        <f t="array" ref="AG167">AG184*SUM(-AG34:AG35)/AG26</f>
        <v>18989.212030499115</v>
      </c>
      <c r="AH167" s="9"/>
      <c r="AI167" s="9"/>
      <c r="AJ167" s="9"/>
      <c r="AK167" s="9"/>
    </row>
    <row r="168" spans="1:37" ht="13.5" customHeight="1" x14ac:dyDescent="0.25">
      <c r="A168" s="205"/>
      <c r="B168" s="9"/>
      <c r="C168" s="103" t="str">
        <f t="shared" si="393"/>
        <v>Customer Deposits</v>
      </c>
      <c r="D168" s="9"/>
      <c r="E168" s="9"/>
      <c r="F168" s="319">
        <f t="shared" ref="F168:T168" si="398">F135</f>
        <v>120806</v>
      </c>
      <c r="G168" s="319">
        <f t="shared" si="398"/>
        <v>122756</v>
      </c>
      <c r="H168" s="319">
        <f t="shared" si="398"/>
        <v>124439</v>
      </c>
      <c r="I168" s="319">
        <f t="shared" si="398"/>
        <v>129144</v>
      </c>
      <c r="J168" s="126">
        <f t="shared" si="398"/>
        <v>129144</v>
      </c>
      <c r="K168" s="319">
        <f t="shared" si="398"/>
        <v>134418</v>
      </c>
      <c r="L168" s="319">
        <f t="shared" si="398"/>
        <v>133746</v>
      </c>
      <c r="M168" s="319">
        <f t="shared" si="398"/>
        <v>135438</v>
      </c>
      <c r="N168" s="319">
        <f t="shared" si="398"/>
        <v>139413</v>
      </c>
      <c r="O168" s="126">
        <f t="shared" si="398"/>
        <v>139413</v>
      </c>
      <c r="P168" s="319">
        <f t="shared" si="398"/>
        <v>146396</v>
      </c>
      <c r="Q168" s="319">
        <f t="shared" si="398"/>
        <v>149386</v>
      </c>
      <c r="R168" s="319">
        <f t="shared" si="398"/>
        <v>149883</v>
      </c>
      <c r="S168" s="319">
        <f t="shared" si="398"/>
        <v>152488</v>
      </c>
      <c r="T168" s="126">
        <f t="shared" si="398"/>
        <v>152488</v>
      </c>
      <c r="U168" s="319">
        <f t="shared" ref="U168" si="399">U135</f>
        <v>157948</v>
      </c>
      <c r="V168" s="294">
        <f t="shared" ref="V168:X168" si="400">V187*V162</f>
        <v>162969.02250000002</v>
      </c>
      <c r="W168" s="294">
        <f t="shared" si="400"/>
        <v>165395.32976485215</v>
      </c>
      <c r="X168" s="294">
        <f t="shared" si="400"/>
        <v>171261.32002577945</v>
      </c>
      <c r="Y168" s="126">
        <f t="shared" si="396"/>
        <v>171261.32002577945</v>
      </c>
      <c r="Z168" s="294">
        <f>Z187*Z162</f>
        <v>173024.43922757157</v>
      </c>
      <c r="AA168" s="294">
        <f t="shared" ref="AA168:AG168" si="401">AA187*AA162</f>
        <v>181087.18883504928</v>
      </c>
      <c r="AB168" s="294">
        <f t="shared" si="401"/>
        <v>183864.68232638983</v>
      </c>
      <c r="AC168" s="294">
        <f t="shared" si="401"/>
        <v>190466.57603035835</v>
      </c>
      <c r="AD168" s="126">
        <f t="shared" si="397"/>
        <v>190466.57603035835</v>
      </c>
      <c r="AE168" s="126">
        <f t="shared" si="401"/>
        <v>196557.73691955363</v>
      </c>
      <c r="AF168" s="126">
        <f t="shared" si="401"/>
        <v>211150.24221172958</v>
      </c>
      <c r="AG168" s="126">
        <f t="shared" si="401"/>
        <v>224168.58816063509</v>
      </c>
      <c r="AH168" s="9"/>
      <c r="AI168" s="9"/>
      <c r="AJ168" s="9"/>
      <c r="AK168" s="9"/>
    </row>
    <row r="169" spans="1:37" ht="13.5" customHeight="1" x14ac:dyDescent="0.25">
      <c r="A169" s="205"/>
      <c r="B169" s="9"/>
      <c r="C169" s="103" t="str">
        <f t="shared" si="393"/>
        <v>Other Current Liabilities</v>
      </c>
      <c r="D169" s="9"/>
      <c r="E169" s="9"/>
      <c r="F169" s="307">
        <f t="shared" ref="F169:T169" si="402">F136</f>
        <v>0</v>
      </c>
      <c r="G169" s="307">
        <f t="shared" si="402"/>
        <v>0</v>
      </c>
      <c r="H169" s="307">
        <f t="shared" si="402"/>
        <v>0</v>
      </c>
      <c r="I169" s="307">
        <f t="shared" si="402"/>
        <v>0</v>
      </c>
      <c r="J169" s="290">
        <f t="shared" si="402"/>
        <v>0</v>
      </c>
      <c r="K169" s="307">
        <f t="shared" si="402"/>
        <v>0</v>
      </c>
      <c r="L169" s="307">
        <f t="shared" si="402"/>
        <v>0</v>
      </c>
      <c r="M169" s="307">
        <f t="shared" si="402"/>
        <v>0</v>
      </c>
      <c r="N169" s="307">
        <f t="shared" si="402"/>
        <v>0</v>
      </c>
      <c r="O169" s="290">
        <f t="shared" si="402"/>
        <v>0</v>
      </c>
      <c r="P169" s="307">
        <f t="shared" si="402"/>
        <v>0</v>
      </c>
      <c r="Q169" s="307">
        <f t="shared" si="402"/>
        <v>0</v>
      </c>
      <c r="R169" s="307">
        <f t="shared" si="402"/>
        <v>0</v>
      </c>
      <c r="S169" s="307">
        <f t="shared" si="402"/>
        <v>0</v>
      </c>
      <c r="T169" s="290">
        <f t="shared" si="402"/>
        <v>0</v>
      </c>
      <c r="U169" s="307">
        <f t="shared" ref="U169" si="403">U136</f>
        <v>0</v>
      </c>
      <c r="V169" s="291">
        <f>V188*-V31*4</f>
        <v>0</v>
      </c>
      <c r="W169" s="291">
        <f>W188*-W31*4</f>
        <v>0</v>
      </c>
      <c r="X169" s="291">
        <f>X188*-X31*4</f>
        <v>0</v>
      </c>
      <c r="Y169" s="290">
        <f t="shared" si="396"/>
        <v>0</v>
      </c>
      <c r="Z169" s="291">
        <f>Z188*-Z31*4</f>
        <v>0</v>
      </c>
      <c r="AA169" s="291">
        <f>AA188*-AA31*4</f>
        <v>0</v>
      </c>
      <c r="AB169" s="291">
        <f>AB188*-AB31*4</f>
        <v>0</v>
      </c>
      <c r="AC169" s="291">
        <f>AC188*-AC31*4</f>
        <v>0</v>
      </c>
      <c r="AD169" s="290">
        <f t="shared" si="397"/>
        <v>0</v>
      </c>
      <c r="AE169" s="290">
        <f>AE188*-AE31</f>
        <v>0</v>
      </c>
      <c r="AF169" s="290">
        <f>AF188*-AF31</f>
        <v>0</v>
      </c>
      <c r="AG169" s="290">
        <f>AG188*-AG31</f>
        <v>0</v>
      </c>
      <c r="AH169" s="9"/>
      <c r="AI169" s="9"/>
      <c r="AJ169" s="9"/>
      <c r="AK169" s="9"/>
    </row>
    <row r="170" spans="1:37" ht="13.5" customHeight="1" x14ac:dyDescent="0.25">
      <c r="A170" s="205"/>
      <c r="B170" s="9"/>
      <c r="C170" s="9" t="s">
        <v>340</v>
      </c>
      <c r="D170" s="9"/>
      <c r="E170" s="9"/>
      <c r="F170" s="288">
        <f t="shared" ref="F170:AG170" si="404">SUM(F167:F169)</f>
        <v>133332</v>
      </c>
      <c r="G170" s="288">
        <f t="shared" si="404"/>
        <v>135115</v>
      </c>
      <c r="H170" s="288">
        <f t="shared" si="404"/>
        <v>137635</v>
      </c>
      <c r="I170" s="288">
        <f t="shared" si="404"/>
        <v>142253</v>
      </c>
      <c r="J170" s="222">
        <f t="shared" si="404"/>
        <v>142253</v>
      </c>
      <c r="K170" s="288">
        <f t="shared" si="404"/>
        <v>147829</v>
      </c>
      <c r="L170" s="288">
        <f t="shared" si="404"/>
        <v>146891</v>
      </c>
      <c r="M170" s="288">
        <f t="shared" si="404"/>
        <v>148600</v>
      </c>
      <c r="N170" s="288">
        <f t="shared" si="404"/>
        <v>153297</v>
      </c>
      <c r="O170" s="222">
        <f t="shared" si="404"/>
        <v>153297</v>
      </c>
      <c r="P170" s="288">
        <f t="shared" si="404"/>
        <v>159960</v>
      </c>
      <c r="Q170" s="288">
        <f t="shared" si="404"/>
        <v>163507</v>
      </c>
      <c r="R170" s="288">
        <f t="shared" si="404"/>
        <v>164591</v>
      </c>
      <c r="S170" s="288">
        <f t="shared" si="404"/>
        <v>167188</v>
      </c>
      <c r="T170" s="222">
        <f t="shared" si="404"/>
        <v>167188</v>
      </c>
      <c r="U170" s="288">
        <f t="shared" ref="U170" si="405">SUM(U167:U169)</f>
        <v>172583</v>
      </c>
      <c r="V170" s="221">
        <f t="shared" ref="V170:X170" si="406">SUM(V167:V169)</f>
        <v>177397.21329200003</v>
      </c>
      <c r="W170" s="221">
        <f t="shared" si="406"/>
        <v>180107.44661720432</v>
      </c>
      <c r="X170" s="221">
        <f t="shared" si="406"/>
        <v>186370.60215180629</v>
      </c>
      <c r="Y170" s="222">
        <f t="shared" si="404"/>
        <v>186370.60215180629</v>
      </c>
      <c r="Z170" s="221">
        <f t="shared" si="404"/>
        <v>188558.80106650057</v>
      </c>
      <c r="AA170" s="221">
        <f t="shared" si="404"/>
        <v>197196.69395605498</v>
      </c>
      <c r="AB170" s="221">
        <f t="shared" si="404"/>
        <v>200069.0425124334</v>
      </c>
      <c r="AC170" s="221">
        <f t="shared" si="404"/>
        <v>207238.24408750355</v>
      </c>
      <c r="AD170" s="222">
        <f t="shared" si="404"/>
        <v>207238.24408750355</v>
      </c>
      <c r="AE170" s="222">
        <f t="shared" si="404"/>
        <v>213336.51402609679</v>
      </c>
      <c r="AF170" s="222">
        <f t="shared" si="404"/>
        <v>229056.55515490728</v>
      </c>
      <c r="AG170" s="222">
        <f t="shared" si="404"/>
        <v>243157.80019113421</v>
      </c>
      <c r="AH170" s="9"/>
      <c r="AI170" s="9"/>
      <c r="AJ170" s="9"/>
      <c r="AK170" s="9"/>
    </row>
    <row r="171" spans="1:37" ht="13.5" customHeight="1" x14ac:dyDescent="0.25">
      <c r="A171" s="205"/>
      <c r="B171" s="9"/>
      <c r="C171" s="9"/>
      <c r="D171" s="9"/>
      <c r="E171" s="9"/>
      <c r="F171" s="250"/>
      <c r="G171" s="250"/>
      <c r="H171" s="250"/>
      <c r="I171" s="250"/>
      <c r="J171" s="9"/>
      <c r="K171" s="250"/>
      <c r="L171" s="250"/>
      <c r="M171" s="250"/>
      <c r="N171" s="250"/>
      <c r="O171" s="9"/>
      <c r="P171" s="250"/>
      <c r="Q171" s="250"/>
      <c r="R171" s="250"/>
      <c r="S171" s="250"/>
      <c r="T171" s="9"/>
      <c r="U171" s="250"/>
      <c r="V171" s="251"/>
      <c r="W171" s="251"/>
      <c r="X171" s="251"/>
      <c r="Y171" s="9"/>
      <c r="Z171" s="251"/>
      <c r="AA171" s="251"/>
      <c r="AB171" s="251"/>
      <c r="AC171" s="251"/>
      <c r="AD171" s="9"/>
      <c r="AE171" s="9"/>
      <c r="AF171" s="9"/>
      <c r="AG171" s="9"/>
      <c r="AH171" s="9"/>
      <c r="AI171" s="9"/>
      <c r="AJ171" s="9"/>
      <c r="AK171" s="9"/>
    </row>
    <row r="172" spans="1:37" ht="13.5" customHeight="1" x14ac:dyDescent="0.25">
      <c r="A172" s="205"/>
      <c r="B172" s="9"/>
      <c r="C172" s="9" t="s">
        <v>341</v>
      </c>
      <c r="D172" s="9"/>
      <c r="E172" s="9"/>
      <c r="F172" s="288">
        <f t="shared" ref="F172:AG172" si="407">F165-F170</f>
        <v>-76061</v>
      </c>
      <c r="G172" s="288">
        <f t="shared" si="407"/>
        <v>-77104</v>
      </c>
      <c r="H172" s="288">
        <f t="shared" si="407"/>
        <v>-78984</v>
      </c>
      <c r="I172" s="288">
        <f t="shared" si="407"/>
        <v>-82016</v>
      </c>
      <c r="J172" s="222">
        <f t="shared" si="407"/>
        <v>-82016</v>
      </c>
      <c r="K172" s="288">
        <f t="shared" si="407"/>
        <v>-88205</v>
      </c>
      <c r="L172" s="288">
        <f t="shared" si="407"/>
        <v>-87406</v>
      </c>
      <c r="M172" s="288">
        <f t="shared" si="407"/>
        <v>-89714</v>
      </c>
      <c r="N172" s="288">
        <f t="shared" si="407"/>
        <v>-94057</v>
      </c>
      <c r="O172" s="222">
        <f t="shared" si="407"/>
        <v>-94057</v>
      </c>
      <c r="P172" s="288">
        <f t="shared" si="407"/>
        <v>-101605</v>
      </c>
      <c r="Q172" s="288">
        <f t="shared" si="407"/>
        <v>-104102</v>
      </c>
      <c r="R172" s="288">
        <f t="shared" si="407"/>
        <v>-103768</v>
      </c>
      <c r="S172" s="288">
        <f t="shared" si="407"/>
        <v>-105337</v>
      </c>
      <c r="T172" s="222">
        <f t="shared" si="407"/>
        <v>-105337</v>
      </c>
      <c r="U172" s="288">
        <f t="shared" ref="U172" si="408">U165-U170</f>
        <v>-172583</v>
      </c>
      <c r="V172" s="221">
        <f t="shared" ref="V172:X172" si="409">V165-V170</f>
        <v>-112209.60429200003</v>
      </c>
      <c r="W172" s="221">
        <f t="shared" si="409"/>
        <v>-114107.71406937823</v>
      </c>
      <c r="X172" s="221">
        <f t="shared" si="409"/>
        <v>-118002.80972634543</v>
      </c>
      <c r="Y172" s="222">
        <f t="shared" si="407"/>
        <v>-118002.80972634543</v>
      </c>
      <c r="Z172" s="221">
        <f t="shared" si="407"/>
        <v>-119624.76153360352</v>
      </c>
      <c r="AA172" s="221">
        <f t="shared" si="407"/>
        <v>-125222.4535605664</v>
      </c>
      <c r="AB172" s="221">
        <f t="shared" si="407"/>
        <v>-127164.72755351594</v>
      </c>
      <c r="AC172" s="221">
        <f t="shared" si="407"/>
        <v>-131656.26947228197</v>
      </c>
      <c r="AD172" s="222">
        <f t="shared" si="407"/>
        <v>-131656.26947228197</v>
      </c>
      <c r="AE172" s="222">
        <f t="shared" si="407"/>
        <v>-135645.70891955384</v>
      </c>
      <c r="AF172" s="222">
        <f t="shared" si="407"/>
        <v>-145926.53853611613</v>
      </c>
      <c r="AG172" s="222">
        <f t="shared" si="407"/>
        <v>-155248.54993206164</v>
      </c>
      <c r="AH172" s="9"/>
      <c r="AI172" s="9"/>
      <c r="AJ172" s="9"/>
      <c r="AK172" s="9"/>
    </row>
    <row r="173" spans="1:37" ht="13.5" customHeight="1" x14ac:dyDescent="0.25">
      <c r="A173" s="205"/>
      <c r="B173" s="9"/>
      <c r="C173" s="9"/>
      <c r="D173" s="9"/>
      <c r="E173" s="9"/>
      <c r="F173" s="250"/>
      <c r="G173" s="250"/>
      <c r="H173" s="250"/>
      <c r="I173" s="250"/>
      <c r="J173" s="9"/>
      <c r="K173" s="250"/>
      <c r="L173" s="250"/>
      <c r="M173" s="250"/>
      <c r="N173" s="250"/>
      <c r="O173" s="9"/>
      <c r="P173" s="250"/>
      <c r="Q173" s="250"/>
      <c r="R173" s="250"/>
      <c r="S173" s="250"/>
      <c r="T173" s="9"/>
      <c r="U173" s="250"/>
      <c r="V173" s="251"/>
      <c r="W173" s="251"/>
      <c r="X173" s="251"/>
      <c r="Y173" s="9"/>
      <c r="Z173" s="251"/>
      <c r="AA173" s="251"/>
      <c r="AB173" s="251"/>
      <c r="AC173" s="251"/>
      <c r="AD173" s="9"/>
      <c r="AE173" s="9"/>
      <c r="AF173" s="9"/>
      <c r="AG173" s="9"/>
      <c r="AH173" s="9"/>
      <c r="AI173" s="9"/>
      <c r="AJ173" s="9"/>
      <c r="AK173" s="9"/>
    </row>
    <row r="174" spans="1:37" ht="13.5" customHeight="1" x14ac:dyDescent="0.25">
      <c r="A174" s="205"/>
      <c r="B174" s="9"/>
      <c r="C174" s="341" t="s">
        <v>342</v>
      </c>
      <c r="D174" s="70"/>
      <c r="E174" s="70"/>
      <c r="F174" s="323"/>
      <c r="G174" s="323">
        <f t="shared" ref="G174:I174" si="410">G172-F172</f>
        <v>-1043</v>
      </c>
      <c r="H174" s="323">
        <f t="shared" si="410"/>
        <v>-1880</v>
      </c>
      <c r="I174" s="323">
        <f t="shared" si="410"/>
        <v>-3032</v>
      </c>
      <c r="J174" s="70"/>
      <c r="K174" s="323">
        <f t="shared" ref="K174:N174" si="411">-(K172-J172)</f>
        <v>6189</v>
      </c>
      <c r="L174" s="323">
        <f t="shared" si="411"/>
        <v>-799</v>
      </c>
      <c r="M174" s="323">
        <f t="shared" si="411"/>
        <v>2308</v>
      </c>
      <c r="N174" s="323">
        <f t="shared" si="411"/>
        <v>4343</v>
      </c>
      <c r="O174" s="324">
        <f>-(O172-J172)</f>
        <v>12041</v>
      </c>
      <c r="P174" s="323">
        <f t="shared" ref="P174:U174" si="412">-(P172-O172)</f>
        <v>7548</v>
      </c>
      <c r="Q174" s="323">
        <f t="shared" si="412"/>
        <v>2497</v>
      </c>
      <c r="R174" s="323">
        <f t="shared" si="412"/>
        <v>-334</v>
      </c>
      <c r="S174" s="323">
        <f t="shared" si="412"/>
        <v>1569</v>
      </c>
      <c r="T174" s="324">
        <f>-(T172-O172)</f>
        <v>11280</v>
      </c>
      <c r="U174" s="323">
        <f t="shared" si="412"/>
        <v>67246</v>
      </c>
      <c r="V174" s="325">
        <f t="shared" ref="V174" si="413">-(V172-U172)</f>
        <v>-60373.395707999967</v>
      </c>
      <c r="W174" s="325">
        <f t="shared" ref="W174" si="414">-(W172-V172)</f>
        <v>1898.1097773781948</v>
      </c>
      <c r="X174" s="325">
        <f t="shared" ref="X174" si="415">-(X172-W172)</f>
        <v>3895.095656967198</v>
      </c>
      <c r="Y174" s="324">
        <f>-(Y172-T172)</f>
        <v>12665.809726345426</v>
      </c>
      <c r="Z174" s="325">
        <f t="shared" ref="Z174:AC174" si="416">-(Z172-Y172)</f>
        <v>1621.9518072580977</v>
      </c>
      <c r="AA174" s="325">
        <f t="shared" si="416"/>
        <v>5597.6920269628754</v>
      </c>
      <c r="AB174" s="325">
        <f t="shared" si="416"/>
        <v>1942.2739929495438</v>
      </c>
      <c r="AC174" s="325">
        <f t="shared" si="416"/>
        <v>4491.54191876603</v>
      </c>
      <c r="AD174" s="324">
        <f>-(AD172-Y172)</f>
        <v>13653.459745936547</v>
      </c>
      <c r="AE174" s="324">
        <f t="shared" ref="AE174:AG174" si="417">-(AE172-AD172)</f>
        <v>3989.4394472718704</v>
      </c>
      <c r="AF174" s="324">
        <f t="shared" si="417"/>
        <v>10280.829616562289</v>
      </c>
      <c r="AG174" s="342">
        <f t="shared" si="417"/>
        <v>9322.0113959455048</v>
      </c>
      <c r="AH174" s="9"/>
      <c r="AI174" s="9"/>
      <c r="AJ174" s="9"/>
      <c r="AK174" s="9"/>
    </row>
    <row r="175" spans="1:37" ht="13.5" customHeight="1" x14ac:dyDescent="0.25">
      <c r="A175" s="205"/>
      <c r="B175" s="9"/>
      <c r="C175" s="9"/>
      <c r="D175" s="9"/>
      <c r="E175" s="9"/>
      <c r="F175" s="250"/>
      <c r="G175" s="250"/>
      <c r="H175" s="250"/>
      <c r="I175" s="250"/>
      <c r="J175" s="9"/>
      <c r="K175" s="250"/>
      <c r="L175" s="250"/>
      <c r="M175" s="250"/>
      <c r="N175" s="250"/>
      <c r="O175" s="9"/>
      <c r="P175" s="250"/>
      <c r="Q175" s="250"/>
      <c r="R175" s="250"/>
      <c r="S175" s="250"/>
      <c r="T175" s="9"/>
      <c r="U175" s="250"/>
      <c r="V175" s="251"/>
      <c r="W175" s="251"/>
      <c r="X175" s="251"/>
      <c r="Y175" s="9"/>
      <c r="Z175" s="251"/>
      <c r="AA175" s="251"/>
      <c r="AB175" s="251"/>
      <c r="AC175" s="251"/>
      <c r="AD175" s="9"/>
      <c r="AE175" s="9"/>
      <c r="AF175" s="9"/>
      <c r="AG175" s="9"/>
      <c r="AH175" s="9"/>
      <c r="AI175" s="9"/>
      <c r="AJ175" s="9"/>
      <c r="AK175" s="9"/>
    </row>
    <row r="176" spans="1:37" ht="13.5" customHeight="1" x14ac:dyDescent="0.25">
      <c r="A176" s="205"/>
      <c r="B176" s="9"/>
      <c r="C176" s="9" t="s">
        <v>343</v>
      </c>
      <c r="D176" s="9"/>
      <c r="E176" s="9"/>
      <c r="F176" s="288">
        <f t="shared" ref="F176:AG176" si="418">F162+F163-F167</f>
        <v>44745</v>
      </c>
      <c r="G176" s="288">
        <f t="shared" si="418"/>
        <v>45652</v>
      </c>
      <c r="H176" s="288">
        <f t="shared" si="418"/>
        <v>45455</v>
      </c>
      <c r="I176" s="288">
        <f t="shared" si="418"/>
        <v>47128</v>
      </c>
      <c r="J176" s="222">
        <f t="shared" si="418"/>
        <v>47128</v>
      </c>
      <c r="K176" s="288">
        <f t="shared" si="418"/>
        <v>46213</v>
      </c>
      <c r="L176" s="288">
        <f t="shared" si="418"/>
        <v>46340</v>
      </c>
      <c r="M176" s="288">
        <f t="shared" si="418"/>
        <v>45724</v>
      </c>
      <c r="N176" s="288">
        <f t="shared" si="418"/>
        <v>45356</v>
      </c>
      <c r="O176" s="222">
        <f t="shared" si="418"/>
        <v>45356</v>
      </c>
      <c r="P176" s="288">
        <f t="shared" si="418"/>
        <v>44791</v>
      </c>
      <c r="Q176" s="288">
        <f t="shared" si="418"/>
        <v>45284</v>
      </c>
      <c r="R176" s="288">
        <f t="shared" si="418"/>
        <v>46115</v>
      </c>
      <c r="S176" s="288">
        <f t="shared" si="418"/>
        <v>47151</v>
      </c>
      <c r="T176" s="222">
        <f t="shared" si="418"/>
        <v>47151</v>
      </c>
      <c r="U176" s="288">
        <f t="shared" ref="U176" si="419">U162+U163-U167</f>
        <v>-14635</v>
      </c>
      <c r="V176" s="221">
        <f t="shared" ref="V176:X176" si="420">V162+V163-V167</f>
        <v>50759.418208000003</v>
      </c>
      <c r="W176" s="221">
        <f t="shared" si="420"/>
        <v>51287.615695473913</v>
      </c>
      <c r="X176" s="221">
        <f t="shared" si="420"/>
        <v>53258.510299434012</v>
      </c>
      <c r="Y176" s="222">
        <f t="shared" si="418"/>
        <v>53258.510299434012</v>
      </c>
      <c r="Z176" s="221">
        <f t="shared" si="418"/>
        <v>53399.677693968042</v>
      </c>
      <c r="AA176" s="221">
        <f t="shared" si="418"/>
        <v>55864.735274482875</v>
      </c>
      <c r="AB176" s="221">
        <f t="shared" si="418"/>
        <v>56699.954772873869</v>
      </c>
      <c r="AC176" s="221">
        <f t="shared" si="418"/>
        <v>58810.306558076365</v>
      </c>
      <c r="AD176" s="222">
        <f t="shared" si="418"/>
        <v>58810.306558076365</v>
      </c>
      <c r="AE176" s="222">
        <f t="shared" si="418"/>
        <v>60912.027999999802</v>
      </c>
      <c r="AF176" s="222">
        <f t="shared" si="418"/>
        <v>65223.703675613448</v>
      </c>
      <c r="AG176" s="222">
        <f t="shared" si="418"/>
        <v>68920.038228573481</v>
      </c>
      <c r="AH176" s="9"/>
      <c r="AI176" s="9"/>
      <c r="AJ176" s="9"/>
      <c r="AK176" s="9"/>
    </row>
    <row r="177" spans="1:37" ht="13.5" customHeight="1" x14ac:dyDescent="0.25">
      <c r="A177" s="205"/>
      <c r="B177" s="9"/>
      <c r="C177" s="9"/>
      <c r="D177" s="9"/>
      <c r="E177" s="9"/>
      <c r="F177" s="343"/>
      <c r="G177" s="343"/>
      <c r="H177" s="343"/>
      <c r="I177" s="343"/>
      <c r="J177" s="9"/>
      <c r="K177" s="343"/>
      <c r="L177" s="343"/>
      <c r="M177" s="343"/>
      <c r="N177" s="343"/>
      <c r="O177" s="9"/>
      <c r="P177" s="343"/>
      <c r="Q177" s="343"/>
      <c r="R177" s="343"/>
      <c r="S177" s="343"/>
      <c r="T177" s="9"/>
      <c r="U177" s="343"/>
      <c r="V177" s="344"/>
      <c r="W177" s="344"/>
      <c r="X177" s="344"/>
      <c r="Y177" s="9"/>
      <c r="Z177" s="344"/>
      <c r="AA177" s="344"/>
      <c r="AB177" s="344"/>
      <c r="AC177" s="344"/>
      <c r="AD177" s="9"/>
      <c r="AE177" s="66"/>
      <c r="AF177" s="66"/>
      <c r="AG177" s="66"/>
      <c r="AH177" s="9"/>
      <c r="AI177" s="9"/>
      <c r="AJ177" s="9"/>
      <c r="AK177" s="9"/>
    </row>
    <row r="178" spans="1:37" ht="13.5" customHeight="1" x14ac:dyDescent="0.25">
      <c r="A178" s="205"/>
      <c r="B178" s="9"/>
      <c r="C178" s="341" t="s">
        <v>344</v>
      </c>
      <c r="D178" s="70"/>
      <c r="E178" s="70"/>
      <c r="F178" s="323"/>
      <c r="G178" s="323">
        <f t="shared" ref="G178:I178" si="421">G176-F176</f>
        <v>907</v>
      </c>
      <c r="H178" s="323">
        <f t="shared" si="421"/>
        <v>-197</v>
      </c>
      <c r="I178" s="323">
        <f t="shared" si="421"/>
        <v>1673</v>
      </c>
      <c r="J178" s="70"/>
      <c r="K178" s="323">
        <f t="shared" ref="K178:N178" si="422">-(K176-J176)</f>
        <v>915</v>
      </c>
      <c r="L178" s="323">
        <f t="shared" si="422"/>
        <v>-127</v>
      </c>
      <c r="M178" s="323">
        <f t="shared" si="422"/>
        <v>616</v>
      </c>
      <c r="N178" s="323">
        <f t="shared" si="422"/>
        <v>368</v>
      </c>
      <c r="O178" s="324">
        <f>-(O176-J176)</f>
        <v>1772</v>
      </c>
      <c r="P178" s="323">
        <f t="shared" ref="P178:U178" si="423">-(P176-O176)</f>
        <v>565</v>
      </c>
      <c r="Q178" s="323">
        <f t="shared" si="423"/>
        <v>-493</v>
      </c>
      <c r="R178" s="323">
        <f t="shared" si="423"/>
        <v>-831</v>
      </c>
      <c r="S178" s="323">
        <f t="shared" si="423"/>
        <v>-1036</v>
      </c>
      <c r="T178" s="324">
        <f>-(T176-O176)</f>
        <v>-1795</v>
      </c>
      <c r="U178" s="323">
        <f t="shared" si="423"/>
        <v>61786</v>
      </c>
      <c r="V178" s="325">
        <f t="shared" ref="V178" si="424">-(V176-U176)</f>
        <v>-65394.418208000003</v>
      </c>
      <c r="W178" s="325">
        <f t="shared" ref="W178" si="425">-(W176-V176)</f>
        <v>-528.19748747390986</v>
      </c>
      <c r="X178" s="325">
        <f t="shared" ref="X178" si="426">-(X176-W176)</f>
        <v>-1970.8946039600996</v>
      </c>
      <c r="Y178" s="324">
        <f>-(Y176-T176)</f>
        <v>-6107.5102994340123</v>
      </c>
      <c r="Z178" s="325">
        <f t="shared" ref="Z178:AC178" si="427">-(Z176-Y176)</f>
        <v>-141.16739453402988</v>
      </c>
      <c r="AA178" s="325">
        <f t="shared" si="427"/>
        <v>-2465.0575805148328</v>
      </c>
      <c r="AB178" s="325">
        <f t="shared" si="427"/>
        <v>-835.21949839099398</v>
      </c>
      <c r="AC178" s="325">
        <f t="shared" si="427"/>
        <v>-2110.3517852024961</v>
      </c>
      <c r="AD178" s="324">
        <f>-(AD176-Y176)</f>
        <v>-5551.7962586423528</v>
      </c>
      <c r="AE178" s="324">
        <f t="shared" ref="AE178:AG178" si="428">-(AE176-AD176)</f>
        <v>-2101.7214419234369</v>
      </c>
      <c r="AF178" s="324">
        <f t="shared" si="428"/>
        <v>-4311.6756756136456</v>
      </c>
      <c r="AG178" s="342">
        <f t="shared" si="428"/>
        <v>-3696.3345529600338</v>
      </c>
      <c r="AH178" s="9"/>
      <c r="AI178" s="9"/>
      <c r="AJ178" s="9"/>
      <c r="AK178" s="9"/>
    </row>
    <row r="179" spans="1:37" ht="13.5" customHeight="1" x14ac:dyDescent="0.25">
      <c r="A179" s="205"/>
      <c r="B179" s="9"/>
      <c r="C179" s="9"/>
      <c r="D179" s="9"/>
      <c r="E179" s="9"/>
      <c r="F179" s="250"/>
      <c r="G179" s="250"/>
      <c r="H179" s="250"/>
      <c r="I179" s="250"/>
      <c r="J179" s="9"/>
      <c r="K179" s="250"/>
      <c r="L179" s="250"/>
      <c r="M179" s="250"/>
      <c r="N179" s="250"/>
      <c r="O179" s="9"/>
      <c r="P179" s="250"/>
      <c r="Q179" s="250"/>
      <c r="R179" s="250"/>
      <c r="S179" s="250"/>
      <c r="T179" s="9"/>
      <c r="U179" s="250"/>
      <c r="V179" s="251"/>
      <c r="W179" s="251"/>
      <c r="X179" s="251"/>
      <c r="Y179" s="9"/>
      <c r="Z179" s="251"/>
      <c r="AA179" s="251"/>
      <c r="AB179" s="251"/>
      <c r="AC179" s="251"/>
      <c r="AD179" s="9"/>
      <c r="AE179" s="9"/>
      <c r="AF179" s="9"/>
      <c r="AG179" s="9"/>
      <c r="AH179" s="9"/>
      <c r="AI179" s="9"/>
      <c r="AJ179" s="9"/>
      <c r="AK179" s="9"/>
    </row>
    <row r="180" spans="1:37" ht="13.5" customHeight="1" x14ac:dyDescent="0.25">
      <c r="A180" s="205" t="s">
        <v>0</v>
      </c>
      <c r="B180" s="9"/>
      <c r="C180" s="33" t="s">
        <v>42</v>
      </c>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31"/>
      <c r="AH180" s="205" t="s">
        <v>0</v>
      </c>
      <c r="AI180" s="9"/>
      <c r="AJ180" s="9"/>
      <c r="AK180" s="9"/>
    </row>
    <row r="181" spans="1:37" ht="13.5" customHeight="1" x14ac:dyDescent="0.25">
      <c r="A181" s="205"/>
      <c r="B181" s="9"/>
      <c r="C181" s="9"/>
      <c r="D181" s="9"/>
      <c r="E181" s="9"/>
      <c r="F181" s="250"/>
      <c r="G181" s="250"/>
      <c r="H181" s="250"/>
      <c r="I181" s="250"/>
      <c r="J181" s="9"/>
      <c r="K181" s="250"/>
      <c r="L181" s="250"/>
      <c r="M181" s="250"/>
      <c r="N181" s="250"/>
      <c r="O181" s="9"/>
      <c r="P181" s="250"/>
      <c r="Q181" s="250"/>
      <c r="R181" s="250"/>
      <c r="S181" s="250"/>
      <c r="T181" s="9"/>
      <c r="U181" s="250"/>
      <c r="V181" s="251"/>
      <c r="W181" s="251"/>
      <c r="X181" s="251"/>
      <c r="Y181" s="9"/>
      <c r="Z181" s="251"/>
      <c r="AA181" s="251"/>
      <c r="AB181" s="251"/>
      <c r="AC181" s="251"/>
      <c r="AD181" s="9"/>
      <c r="AE181" s="9"/>
      <c r="AF181" s="9"/>
      <c r="AG181" s="9"/>
      <c r="AH181" s="9"/>
      <c r="AI181" s="9"/>
      <c r="AJ181" s="9"/>
      <c r="AK181" s="9"/>
    </row>
    <row r="182" spans="1:37" ht="13.5" customHeight="1" x14ac:dyDescent="0.25">
      <c r="A182" s="205"/>
      <c r="B182" s="9"/>
      <c r="C182" s="9" t="s">
        <v>345</v>
      </c>
      <c r="D182" s="9"/>
      <c r="E182" s="9"/>
      <c r="F182" s="317"/>
      <c r="G182" s="319">
        <f t="shared" ref="G182:I182" si="429">AVERAGE(F162:G162)/G$28*G$26</f>
        <v>313.64093518297057</v>
      </c>
      <c r="H182" s="319">
        <f t="shared" si="429"/>
        <v>312.3844228418418</v>
      </c>
      <c r="I182" s="319">
        <f t="shared" si="429"/>
        <v>308.15619541330932</v>
      </c>
      <c r="J182" s="126">
        <f>AVERAGE(F162:I162)/J$28*J$26</f>
        <v>318.07129921026069</v>
      </c>
      <c r="K182" s="317">
        <f>AVERAGE(I162,K162)/K$28*K$26</f>
        <v>302.9002639411467</v>
      </c>
      <c r="L182" s="319">
        <f t="shared" ref="L182:N182" si="430">AVERAGE(K162:L162)/L$28*L$26</f>
        <v>294.58387237049521</v>
      </c>
      <c r="M182" s="319">
        <f t="shared" si="430"/>
        <v>289.95505617977528</v>
      </c>
      <c r="N182" s="319">
        <f t="shared" si="430"/>
        <v>282.74513476948692</v>
      </c>
      <c r="O182" s="126">
        <f>AVERAGE(J162,O162)/O$28*O$26</f>
        <v>293.85793318149354</v>
      </c>
      <c r="P182" s="317">
        <f>AVERAGE(N162,P162)/P$28*P$26</f>
        <v>279.50007922674695</v>
      </c>
      <c r="Q182" s="319">
        <f t="shared" ref="Q182:S182" si="431">AVERAGE(P162:Q162)/Q$28*Q$26</f>
        <v>268.80449505844581</v>
      </c>
      <c r="R182" s="319">
        <f t="shared" si="431"/>
        <v>269.03186262586951</v>
      </c>
      <c r="S182" s="319">
        <f t="shared" si="431"/>
        <v>268.20361216730038</v>
      </c>
      <c r="T182" s="126">
        <f>AVERAGE(O162,T162)/T$28*T$26</f>
        <v>274.64931086337822</v>
      </c>
      <c r="U182" s="317">
        <f>AVERAGE(S162,U162)/U$28*U$26</f>
        <v>133.29956896551724</v>
      </c>
      <c r="V182" s="296">
        <f>Drivers!V115</f>
        <v>273</v>
      </c>
      <c r="W182" s="296">
        <f>Drivers!W115</f>
        <v>272</v>
      </c>
      <c r="X182" s="296">
        <f>Drivers!X115</f>
        <v>272</v>
      </c>
      <c r="Y182" s="126">
        <f>AVERAGE(T162,Y162)/Y$28*Y$26</f>
        <v>269.88107923045789</v>
      </c>
      <c r="Z182" s="296">
        <f>Drivers!Z115</f>
        <v>272</v>
      </c>
      <c r="AA182" s="296">
        <f>Drivers!AA115</f>
        <v>271.5</v>
      </c>
      <c r="AB182" s="296">
        <f>Drivers!AB115</f>
        <v>271.5</v>
      </c>
      <c r="AC182" s="296">
        <f>Drivers!AC115</f>
        <v>271</v>
      </c>
      <c r="AD182" s="126">
        <f>AVERAGE(Y162,AD162)/AD$28*AD$26</f>
        <v>270.04552911685471</v>
      </c>
      <c r="AE182" s="297">
        <f>Drivers!AE115</f>
        <v>271</v>
      </c>
      <c r="AF182" s="297">
        <f>Drivers!AF115</f>
        <v>271</v>
      </c>
      <c r="AG182" s="297">
        <f>Drivers!AG115</f>
        <v>270</v>
      </c>
      <c r="AH182" s="9"/>
      <c r="AI182" s="9"/>
      <c r="AJ182" s="9"/>
      <c r="AK182" s="9"/>
    </row>
    <row r="183" spans="1:37" ht="13.5" hidden="1" customHeight="1" x14ac:dyDescent="0.25">
      <c r="A183" s="205"/>
      <c r="B183" s="9"/>
      <c r="C183" s="9" t="s">
        <v>346</v>
      </c>
      <c r="D183" s="9"/>
      <c r="E183" s="9"/>
      <c r="F183" s="317"/>
      <c r="G183" s="319">
        <f>AVERAGE(F163:G163)/-G$31*G$26</f>
        <v>0</v>
      </c>
      <c r="H183" s="319">
        <f>AVERAGE(G163:H163)/-H$31*H$26</f>
        <v>0</v>
      </c>
      <c r="I183" s="319">
        <f>AVERAGE(H163:I163)/-I$31*I$26</f>
        <v>0</v>
      </c>
      <c r="J183" s="126">
        <f>AVERAGE(F163:I163)/-J$31*J$26</f>
        <v>0</v>
      </c>
      <c r="K183" s="317">
        <f>AVERAGE(I163,K163)/-K$31*K$26</f>
        <v>0</v>
      </c>
      <c r="L183" s="319">
        <f>AVERAGE(K163:L163)/-L$31*L$26</f>
        <v>0</v>
      </c>
      <c r="M183" s="319">
        <f>AVERAGE(L163:M163)/-M$31*M$26</f>
        <v>0</v>
      </c>
      <c r="N183" s="319">
        <f>AVERAGE(M163:N163)/-N$31*N$26</f>
        <v>0</v>
      </c>
      <c r="O183" s="126">
        <f>AVERAGE(J163,O163)/-O$31*O$26</f>
        <v>0</v>
      </c>
      <c r="P183" s="317">
        <f>AVERAGE(N163,P163)/-P$31*P$26</f>
        <v>0</v>
      </c>
      <c r="Q183" s="319">
        <f>AVERAGE(P163:Q163)/-Q$31*Q$26</f>
        <v>0</v>
      </c>
      <c r="R183" s="319">
        <f>AVERAGE(Q163:R163)/-R$31*R$26</f>
        <v>0</v>
      </c>
      <c r="S183" s="319">
        <f>AVERAGE(R163:S163)/-S$31*S$26</f>
        <v>0</v>
      </c>
      <c r="T183" s="126">
        <f>AVERAGE(O163,T163)/-T$31*T$26</f>
        <v>0</v>
      </c>
      <c r="U183" s="317">
        <f>AVERAGE(S163,U163)/-U$31*U$26</f>
        <v>0</v>
      </c>
      <c r="V183" s="296">
        <f>Drivers!V120</f>
        <v>0</v>
      </c>
      <c r="W183" s="296">
        <f>Drivers!W120</f>
        <v>0</v>
      </c>
      <c r="X183" s="296">
        <f>Drivers!X120</f>
        <v>0</v>
      </c>
      <c r="Y183" s="126">
        <f>AVERAGE(T163,Y163)/-Y$31*Y$26</f>
        <v>0</v>
      </c>
      <c r="Z183" s="296">
        <f>Drivers!Z120</f>
        <v>0</v>
      </c>
      <c r="AA183" s="296">
        <f>Drivers!AA120</f>
        <v>0</v>
      </c>
      <c r="AB183" s="296">
        <f>Drivers!AB120</f>
        <v>0</v>
      </c>
      <c r="AC183" s="296">
        <f>Drivers!AC120</f>
        <v>0</v>
      </c>
      <c r="AD183" s="126">
        <f>AVERAGE(Y163,AD163)/-AD$31*AD$26</f>
        <v>0</v>
      </c>
      <c r="AE183" s="297">
        <f>Drivers!AE120</f>
        <v>0</v>
      </c>
      <c r="AF183" s="297">
        <f>Drivers!AF120</f>
        <v>0</v>
      </c>
      <c r="AG183" s="297">
        <f>Drivers!AG120</f>
        <v>0</v>
      </c>
      <c r="AH183" s="9"/>
      <c r="AI183" s="9"/>
      <c r="AJ183" s="9"/>
      <c r="AK183" s="9"/>
    </row>
    <row r="184" spans="1:37" ht="13.5" customHeight="1" x14ac:dyDescent="0.25">
      <c r="A184" s="205"/>
      <c r="B184" s="9"/>
      <c r="C184" s="828" t="s">
        <v>840</v>
      </c>
      <c r="D184" s="9"/>
      <c r="E184" s="9"/>
      <c r="F184" s="317"/>
      <c r="G184" s="319" cm="1">
        <f t="array" ref="G184">AVERAGE(F167:G167)/SUM(-G34:G35)*G$26</f>
        <v>118.24013157894737</v>
      </c>
      <c r="H184" s="319" cm="1">
        <f t="array" ref="H184">AVERAGE(G167:H167)/SUM(-H34:H35)*H$26</f>
        <v>124.48692152917505</v>
      </c>
      <c r="I184" s="319" cm="1">
        <f t="array" ref="I184">AVERAGE(H167:I167)/SUM(-I34:I35)*I$26</f>
        <v>124.02931529315293</v>
      </c>
      <c r="J184" s="842" cm="1">
        <f t="array" ref="J184">AVERAGE(F167:I167)/SUM(-J34:J35)*J$26</f>
        <v>122.3841189381271</v>
      </c>
      <c r="K184" s="319" cm="1">
        <f t="array" ref="K184">AVERAGE(J167:K167)/SUM(-K34:K35)*K$26</f>
        <v>120.41166380789022</v>
      </c>
      <c r="L184" s="319" cm="1">
        <f t="array" ref="L184">AVERAGE(K167:L167)/SUM(-L34:L35)*L$26</f>
        <v>118.0324313763798</v>
      </c>
      <c r="M184" s="319" cm="1">
        <f t="array" ref="M184">AVERAGE(L167:M167)/SUM(-M34:M35)*M$26</f>
        <v>117.53321678321677</v>
      </c>
      <c r="N184" s="319" cm="1">
        <f t="array" ref="N184">AVERAGE(M167:N167)/SUM(-N34:N35)*N$26</f>
        <v>112.47771449236053</v>
      </c>
      <c r="O184" s="842" cm="1">
        <f t="array" ref="O184">AVERAGE(K167:N167)/SUM(-O34:O35)*O$26</f>
        <v>117.84562100951693</v>
      </c>
      <c r="P184" s="319" cm="1">
        <f t="array" ref="P184">AVERAGE(O167:P167)/SUM(-P34:P35)*P$26</f>
        <v>113.93413891707407</v>
      </c>
      <c r="Q184" s="319" cm="1">
        <f t="array" ref="Q184">AVERAGE(P167:Q167)/SUM(-Q34:Q35)*Q$26</f>
        <v>112.31988408381633</v>
      </c>
      <c r="R184" s="319" cm="1">
        <f t="array" ref="R184">AVERAGE(Q167:R167)/SUM(-R34:R35)*R$26</f>
        <v>114.97607074735564</v>
      </c>
      <c r="S184" s="319" cm="1">
        <f t="array" ref="S184">AVERAGE(R167:S167)/SUM(-S34:S35)*S$26</f>
        <v>107.35401952226013</v>
      </c>
      <c r="T184" s="842" cm="1">
        <f t="array" ref="T184">AVERAGE(P167:S167)/SUM(-T34:T35)*T$26</f>
        <v>112.78682535558875</v>
      </c>
      <c r="U184" s="319" cm="1">
        <f t="array" ref="U184">AVERAGE(T167:U167)/SUM(-U34:U35)*U$26</f>
        <v>106.29479024076012</v>
      </c>
      <c r="V184" s="296">
        <f>Drivers!V137</f>
        <v>104</v>
      </c>
      <c r="W184" s="296">
        <f>Drivers!W137</f>
        <v>104</v>
      </c>
      <c r="X184" s="296">
        <f>Drivers!X137</f>
        <v>104</v>
      </c>
      <c r="Y184" s="842" cm="1">
        <f t="array" ref="Y184">AVERAGE(U167:X167)/SUM(-Y34:Y35)*Y$26</f>
        <v>104.48826778189597</v>
      </c>
      <c r="Z184" s="296">
        <f>Drivers!Z137</f>
        <v>105.5</v>
      </c>
      <c r="AA184" s="296">
        <f>Drivers!AA137</f>
        <v>105.5</v>
      </c>
      <c r="AB184" s="296">
        <f>Drivers!AB137</f>
        <v>105.5</v>
      </c>
      <c r="AC184" s="296">
        <f>Drivers!AC137</f>
        <v>105.5</v>
      </c>
      <c r="AD184" s="842" cm="1">
        <f t="array" ref="AD184">AVERAGE(Z167:AC167)/SUM(-AD34:AD35)*AD$26</f>
        <v>105.48811653731919</v>
      </c>
      <c r="AE184" s="297">
        <f>Drivers!AE137</f>
        <v>102.5</v>
      </c>
      <c r="AF184" s="297">
        <f>Drivers!AF137</f>
        <v>102.5</v>
      </c>
      <c r="AG184" s="297">
        <f>Drivers!AG137</f>
        <v>102.5</v>
      </c>
      <c r="AH184" s="9"/>
      <c r="AI184" s="9"/>
      <c r="AJ184" s="9"/>
      <c r="AK184" s="9"/>
    </row>
    <row r="185" spans="1:37" ht="13.5" hidden="1" customHeight="1" x14ac:dyDescent="0.25">
      <c r="A185" s="205"/>
      <c r="B185" s="9"/>
      <c r="C185" s="9" t="s">
        <v>126</v>
      </c>
      <c r="D185" s="9"/>
      <c r="E185" s="9"/>
      <c r="F185" s="317"/>
      <c r="G185" s="319">
        <f t="shared" ref="G185:AG185" si="432">SUM(G182:G183)-G184</f>
        <v>195.4008036040232</v>
      </c>
      <c r="H185" s="319">
        <f t="shared" si="432"/>
        <v>187.89750131266675</v>
      </c>
      <c r="I185" s="319">
        <f t="shared" si="432"/>
        <v>184.12688012015639</v>
      </c>
      <c r="J185" s="126">
        <f t="shared" si="432"/>
        <v>195.68718027213359</v>
      </c>
      <c r="K185" s="317">
        <f t="shared" si="432"/>
        <v>182.48860013325648</v>
      </c>
      <c r="L185" s="319">
        <f t="shared" si="432"/>
        <v>176.55144099411541</v>
      </c>
      <c r="M185" s="319">
        <f t="shared" si="432"/>
        <v>172.42183939655851</v>
      </c>
      <c r="N185" s="319">
        <f t="shared" si="432"/>
        <v>170.2674202771264</v>
      </c>
      <c r="O185" s="126">
        <f t="shared" si="432"/>
        <v>176.01231217197659</v>
      </c>
      <c r="P185" s="317">
        <f t="shared" si="432"/>
        <v>165.5659403096729</v>
      </c>
      <c r="Q185" s="319">
        <f t="shared" si="432"/>
        <v>156.48461097462948</v>
      </c>
      <c r="R185" s="319">
        <f t="shared" si="432"/>
        <v>154.05579187851387</v>
      </c>
      <c r="S185" s="319">
        <f t="shared" si="432"/>
        <v>160.84959264504025</v>
      </c>
      <c r="T185" s="126">
        <f t="shared" si="432"/>
        <v>161.86248550778947</v>
      </c>
      <c r="U185" s="317">
        <f t="shared" ref="U185" si="433">SUM(U182:U183)-U184</f>
        <v>27.004778724757116</v>
      </c>
      <c r="V185" s="294">
        <f t="shared" ref="V185:X185" si="434">SUM(V182:V183)-V184</f>
        <v>169</v>
      </c>
      <c r="W185" s="294">
        <f t="shared" si="434"/>
        <v>168</v>
      </c>
      <c r="X185" s="294">
        <f t="shared" si="434"/>
        <v>168</v>
      </c>
      <c r="Y185" s="126">
        <f t="shared" si="432"/>
        <v>165.39281144856193</v>
      </c>
      <c r="Z185" s="294">
        <f t="shared" si="432"/>
        <v>166.5</v>
      </c>
      <c r="AA185" s="294">
        <f t="shared" si="432"/>
        <v>166</v>
      </c>
      <c r="AB185" s="294">
        <f t="shared" si="432"/>
        <v>166</v>
      </c>
      <c r="AC185" s="294">
        <f t="shared" si="432"/>
        <v>165.5</v>
      </c>
      <c r="AD185" s="126">
        <f t="shared" si="432"/>
        <v>164.55741257953554</v>
      </c>
      <c r="AE185" s="126">
        <f t="shared" si="432"/>
        <v>168.5</v>
      </c>
      <c r="AF185" s="126">
        <f t="shared" si="432"/>
        <v>168.5</v>
      </c>
      <c r="AG185" s="126">
        <f t="shared" si="432"/>
        <v>167.5</v>
      </c>
      <c r="AH185" s="9"/>
      <c r="AI185" s="9"/>
      <c r="AJ185" s="9"/>
      <c r="AK185" s="9"/>
    </row>
    <row r="186" spans="1:37" ht="13.5" customHeight="1" x14ac:dyDescent="0.25">
      <c r="A186" s="205"/>
      <c r="B186" s="9"/>
      <c r="C186" s="103" t="s">
        <v>347</v>
      </c>
      <c r="D186" s="9"/>
      <c r="E186" s="9"/>
      <c r="F186" s="345">
        <f>F164/(4*F$28)</f>
        <v>0</v>
      </c>
      <c r="G186" s="345">
        <f>G164/(4*G28)</f>
        <v>0</v>
      </c>
      <c r="H186" s="345">
        <f>H164/(4*H28)</f>
        <v>0</v>
      </c>
      <c r="I186" s="345">
        <f>I164/(4*I28)</f>
        <v>0</v>
      </c>
      <c r="J186" s="158">
        <f>J164/(J28)</f>
        <v>0</v>
      </c>
      <c r="K186" s="345">
        <f>K164/(4*K28)</f>
        <v>0</v>
      </c>
      <c r="L186" s="345">
        <f>L164/(4*L28)</f>
        <v>0</v>
      </c>
      <c r="M186" s="345">
        <f>M164/(4*M28)</f>
        <v>0</v>
      </c>
      <c r="N186" s="345">
        <f>N164/(4*N28)</f>
        <v>0</v>
      </c>
      <c r="O186" s="158">
        <f>O164/(O28)</f>
        <v>0</v>
      </c>
      <c r="P186" s="345">
        <f>P164/(4*P28)</f>
        <v>0</v>
      </c>
      <c r="Q186" s="345">
        <f>Q164/(4*Q28)</f>
        <v>0</v>
      </c>
      <c r="R186" s="345">
        <f>R164/(4*R28)</f>
        <v>0</v>
      </c>
      <c r="S186" s="345">
        <f>S164/(4*S28)</f>
        <v>0</v>
      </c>
      <c r="T186" s="158">
        <f>T164/(T28)</f>
        <v>0</v>
      </c>
      <c r="U186" s="345">
        <f>U164/(4*U28)</f>
        <v>0</v>
      </c>
      <c r="V186" s="346">
        <f>Drivers!V125</f>
        <v>0</v>
      </c>
      <c r="W186" s="346">
        <f>Drivers!W125</f>
        <v>0</v>
      </c>
      <c r="X186" s="346">
        <f>Drivers!X125</f>
        <v>0</v>
      </c>
      <c r="Y186" s="158">
        <f>Y164/(Y28)</f>
        <v>0</v>
      </c>
      <c r="Z186" s="346">
        <f>Drivers!Z125</f>
        <v>0</v>
      </c>
      <c r="AA186" s="346">
        <f>Drivers!AA125</f>
        <v>0</v>
      </c>
      <c r="AB186" s="346">
        <f>Drivers!AB125</f>
        <v>0</v>
      </c>
      <c r="AC186" s="346">
        <f>Drivers!AC125</f>
        <v>0</v>
      </c>
      <c r="AD186" s="158">
        <f>AD164/(AD28)</f>
        <v>0</v>
      </c>
      <c r="AE186" s="347">
        <f>Drivers!AE125</f>
        <v>0</v>
      </c>
      <c r="AF186" s="347">
        <f>Drivers!AF125</f>
        <v>0</v>
      </c>
      <c r="AG186" s="347">
        <f>Drivers!AG125</f>
        <v>0</v>
      </c>
      <c r="AH186" s="9"/>
      <c r="AI186" s="9"/>
      <c r="AJ186" s="9"/>
      <c r="AK186" s="9"/>
    </row>
    <row r="187" spans="1:37" ht="13.5" customHeight="1" x14ac:dyDescent="0.25">
      <c r="A187" s="205"/>
      <c r="B187" s="9"/>
      <c r="C187" s="828" t="s">
        <v>841</v>
      </c>
      <c r="D187" s="9"/>
      <c r="E187" s="9"/>
      <c r="F187" s="345">
        <f>F168/F162</f>
        <v>2.1093747271743117</v>
      </c>
      <c r="G187" s="345">
        <f t="shared" ref="G187:T187" si="435">G168/G162</f>
        <v>2.1160814328317041</v>
      </c>
      <c r="H187" s="345">
        <f t="shared" si="435"/>
        <v>2.1216859047586571</v>
      </c>
      <c r="I187" s="345">
        <f t="shared" si="435"/>
        <v>2.1439314706907715</v>
      </c>
      <c r="J187" s="843">
        <f t="shared" si="435"/>
        <v>2.1439314706907715</v>
      </c>
      <c r="K187" s="345">
        <f>K168/K162</f>
        <v>2.2544277472158862</v>
      </c>
      <c r="L187" s="345">
        <f t="shared" si="435"/>
        <v>2.2483987559889047</v>
      </c>
      <c r="M187" s="345">
        <f t="shared" si="435"/>
        <v>2.3000033963930306</v>
      </c>
      <c r="N187" s="345">
        <f t="shared" si="435"/>
        <v>2.3533592167454422</v>
      </c>
      <c r="O187" s="843">
        <f t="shared" si="435"/>
        <v>2.3533592167454422</v>
      </c>
      <c r="P187" s="345">
        <f>P168/P162</f>
        <v>2.5087139062633881</v>
      </c>
      <c r="Q187" s="345">
        <f t="shared" si="435"/>
        <v>2.514704149482367</v>
      </c>
      <c r="R187" s="345">
        <f t="shared" si="435"/>
        <v>2.4642487217006726</v>
      </c>
      <c r="S187" s="345">
        <f t="shared" si="435"/>
        <v>2.4654088050314464</v>
      </c>
      <c r="T187" s="843">
        <f t="shared" si="435"/>
        <v>2.4654088050314464</v>
      </c>
      <c r="U187" s="345" t="e">
        <f>U168/U162</f>
        <v>#DIV/0!</v>
      </c>
      <c r="V187" s="346">
        <f>Drivers!V142</f>
        <v>2.5</v>
      </c>
      <c r="W187" s="346">
        <f>Drivers!W142</f>
        <v>2.5059999999999998</v>
      </c>
      <c r="X187" s="346">
        <f>Drivers!X142</f>
        <v>2.5049999999999999</v>
      </c>
      <c r="Y187" s="843">
        <f t="shared" ref="Y187" si="436">Y168/Y162</f>
        <v>2.5049999999999999</v>
      </c>
      <c r="Z187" s="346">
        <f>Drivers!Z142</f>
        <v>2.5099999999999998</v>
      </c>
      <c r="AA187" s="346">
        <f>Drivers!AA142</f>
        <v>2.516</v>
      </c>
      <c r="AB187" s="346">
        <f>Drivers!AB142</f>
        <v>2.5219999999999998</v>
      </c>
      <c r="AC187" s="346">
        <f>Drivers!AC142</f>
        <v>2.52</v>
      </c>
      <c r="AD187" s="843">
        <f t="shared" ref="AD187" si="437">AD168/AD162</f>
        <v>2.52</v>
      </c>
      <c r="AE187" s="347">
        <f>Drivers!AE142</f>
        <v>2.5299999999999998</v>
      </c>
      <c r="AF187" s="347">
        <f>Drivers!AF142</f>
        <v>2.54</v>
      </c>
      <c r="AG187" s="347">
        <f>Drivers!AG142</f>
        <v>2.5499999999999998</v>
      </c>
      <c r="AH187" s="9"/>
      <c r="AI187" s="9"/>
      <c r="AJ187" s="9"/>
      <c r="AK187" s="9"/>
    </row>
    <row r="188" spans="1:37" ht="13.5" customHeight="1" x14ac:dyDescent="0.25">
      <c r="A188" s="205"/>
      <c r="B188" s="9"/>
      <c r="C188" s="9" t="s">
        <v>348</v>
      </c>
      <c r="D188" s="9"/>
      <c r="E188" s="9"/>
      <c r="F188" s="345">
        <f>F169/(4*-F31)</f>
        <v>0</v>
      </c>
      <c r="G188" s="345">
        <f>G169/(4*-G31)</f>
        <v>0</v>
      </c>
      <c r="H188" s="345">
        <f>H169/(4*-H31)</f>
        <v>0</v>
      </c>
      <c r="I188" s="345">
        <f>I169/(4*-I31)</f>
        <v>0</v>
      </c>
      <c r="J188" s="158">
        <f>J169/(-J31)</f>
        <v>0</v>
      </c>
      <c r="K188" s="345">
        <f>K169/(4*-K31)</f>
        <v>0</v>
      </c>
      <c r="L188" s="345">
        <f>L169/(4*-L31)</f>
        <v>0</v>
      </c>
      <c r="M188" s="345">
        <f>M169/(4*-M31)</f>
        <v>0</v>
      </c>
      <c r="N188" s="345">
        <f>N169/(4*-N31)</f>
        <v>0</v>
      </c>
      <c r="O188" s="158">
        <f>O169/(-O31)</f>
        <v>0</v>
      </c>
      <c r="P188" s="345">
        <f>P169/(4*-P31)</f>
        <v>0</v>
      </c>
      <c r="Q188" s="345">
        <f>Q169/(4*-Q31)</f>
        <v>0</v>
      </c>
      <c r="R188" s="345">
        <f>R169/(4*-R31)</f>
        <v>0</v>
      </c>
      <c r="S188" s="345">
        <f>S169/(4*-S31)</f>
        <v>0</v>
      </c>
      <c r="T188" s="158">
        <f>T169/(-T31)</f>
        <v>0</v>
      </c>
      <c r="U188" s="345">
        <f>U169/(4*-U31)</f>
        <v>0</v>
      </c>
      <c r="V188" s="346">
        <f>Drivers!V147</f>
        <v>0</v>
      </c>
      <c r="W188" s="346">
        <f>Drivers!W147</f>
        <v>0</v>
      </c>
      <c r="X188" s="346">
        <f>Drivers!X147</f>
        <v>0</v>
      </c>
      <c r="Y188" s="158">
        <f>Y169/(-Y31)</f>
        <v>0</v>
      </c>
      <c r="Z188" s="346">
        <f>Drivers!Z147</f>
        <v>0</v>
      </c>
      <c r="AA188" s="346">
        <f>Drivers!AA147</f>
        <v>0</v>
      </c>
      <c r="AB188" s="346">
        <f>Drivers!AB147</f>
        <v>0</v>
      </c>
      <c r="AC188" s="346">
        <f>Drivers!AC147</f>
        <v>0</v>
      </c>
      <c r="AD188" s="158">
        <f>AD169/(-AD31)</f>
        <v>0</v>
      </c>
      <c r="AE188" s="347">
        <f>Drivers!AE147</f>
        <v>0</v>
      </c>
      <c r="AF188" s="347">
        <f>Drivers!AF147</f>
        <v>0</v>
      </c>
      <c r="AG188" s="347">
        <f>Drivers!AG147</f>
        <v>0</v>
      </c>
      <c r="AH188" s="9"/>
      <c r="AI188" s="9"/>
      <c r="AJ188" s="9"/>
      <c r="AK188" s="9"/>
    </row>
    <row r="189" spans="1:37" ht="13.5" customHeight="1" x14ac:dyDescent="0.25">
      <c r="A189" s="205"/>
      <c r="B189" s="9"/>
      <c r="C189" s="9"/>
      <c r="D189" s="9"/>
      <c r="E189" s="9"/>
      <c r="F189" s="250"/>
      <c r="G189" s="250"/>
      <c r="H189" s="250"/>
      <c r="I189" s="250"/>
      <c r="J189" s="9"/>
      <c r="K189" s="250"/>
      <c r="L189" s="250"/>
      <c r="M189" s="250"/>
      <c r="N189" s="250"/>
      <c r="O189" s="9"/>
      <c r="P189" s="250"/>
      <c r="Q189" s="250"/>
      <c r="R189" s="250"/>
      <c r="S189" s="250"/>
      <c r="T189" s="9"/>
      <c r="U189" s="250"/>
      <c r="V189" s="251"/>
      <c r="W189" s="251"/>
      <c r="X189" s="251"/>
      <c r="Y189" s="9"/>
      <c r="Z189" s="251"/>
      <c r="AA189" s="251"/>
      <c r="AB189" s="251"/>
      <c r="AC189" s="251"/>
      <c r="AD189" s="9"/>
      <c r="AE189" s="9"/>
      <c r="AF189" s="9"/>
      <c r="AG189" s="9"/>
      <c r="AH189" s="9"/>
      <c r="AI189" s="9"/>
      <c r="AJ189" s="9"/>
      <c r="AK189" s="9"/>
    </row>
    <row r="190" spans="1:37" ht="13.5" customHeight="1" x14ac:dyDescent="0.25">
      <c r="A190" s="205" t="s">
        <v>0</v>
      </c>
      <c r="B190" s="37"/>
      <c r="C190" s="50" t="s">
        <v>349</v>
      </c>
      <c r="D190" s="12"/>
      <c r="E190" s="12"/>
      <c r="F190" s="248" t="str">
        <f>F$25</f>
        <v>1Q23</v>
      </c>
      <c r="G190" s="51" t="str">
        <f t="shared" ref="G190:AG190" si="438">G$63</f>
        <v>2Q23</v>
      </c>
      <c r="H190" s="51" t="str">
        <f t="shared" si="438"/>
        <v>3Q23</v>
      </c>
      <c r="I190" s="51" t="str">
        <f t="shared" si="438"/>
        <v>4Q23</v>
      </c>
      <c r="J190" s="51">
        <f t="shared" si="438"/>
        <v>2023</v>
      </c>
      <c r="K190" s="51" t="str">
        <f t="shared" si="438"/>
        <v>1Q24</v>
      </c>
      <c r="L190" s="51" t="str">
        <f t="shared" si="438"/>
        <v>2Q24</v>
      </c>
      <c r="M190" s="51" t="str">
        <f t="shared" si="438"/>
        <v>3Q24</v>
      </c>
      <c r="N190" s="51" t="str">
        <f t="shared" si="438"/>
        <v>4Q24</v>
      </c>
      <c r="O190" s="51">
        <f t="shared" si="438"/>
        <v>2024</v>
      </c>
      <c r="P190" s="51" t="str">
        <f t="shared" si="438"/>
        <v>1Q25</v>
      </c>
      <c r="Q190" s="51" t="str">
        <f t="shared" si="438"/>
        <v>2Q25</v>
      </c>
      <c r="R190" s="51" t="str">
        <f t="shared" si="438"/>
        <v>3Q25</v>
      </c>
      <c r="S190" s="51" t="str">
        <f t="shared" si="438"/>
        <v>4Q25</v>
      </c>
      <c r="T190" s="51">
        <f t="shared" si="438"/>
        <v>2025</v>
      </c>
      <c r="U190" s="51" t="str">
        <f t="shared" si="438"/>
        <v>1Q26</v>
      </c>
      <c r="V190" s="51" t="str">
        <f t="shared" si="438"/>
        <v>2Q26e</v>
      </c>
      <c r="W190" s="51" t="str">
        <f t="shared" si="438"/>
        <v>3Q26e</v>
      </c>
      <c r="X190" s="51" t="str">
        <f t="shared" si="438"/>
        <v>4Q26e</v>
      </c>
      <c r="Y190" s="51" t="str">
        <f t="shared" si="438"/>
        <v>2026e</v>
      </c>
      <c r="Z190" s="51" t="str">
        <f t="shared" si="438"/>
        <v>1Q27e</v>
      </c>
      <c r="AA190" s="51" t="str">
        <f t="shared" si="438"/>
        <v>2Q27e</v>
      </c>
      <c r="AB190" s="51" t="str">
        <f t="shared" si="438"/>
        <v>3Q27e</v>
      </c>
      <c r="AC190" s="51" t="str">
        <f t="shared" si="438"/>
        <v>4Q27e</v>
      </c>
      <c r="AD190" s="51" t="str">
        <f t="shared" si="438"/>
        <v>2027e</v>
      </c>
      <c r="AE190" s="51" t="str">
        <f t="shared" si="438"/>
        <v>2028e</v>
      </c>
      <c r="AF190" s="51" t="str">
        <f t="shared" si="438"/>
        <v>2029e</v>
      </c>
      <c r="AG190" s="52" t="str">
        <f t="shared" si="438"/>
        <v>2030e</v>
      </c>
      <c r="AH190" s="205" t="s">
        <v>0</v>
      </c>
      <c r="AI190" s="9"/>
      <c r="AJ190" s="9"/>
      <c r="AK190" s="9"/>
    </row>
    <row r="191" spans="1:37" ht="13.5" customHeight="1" x14ac:dyDescent="0.25">
      <c r="A191" s="205"/>
      <c r="B191" s="9"/>
      <c r="C191" s="9"/>
      <c r="D191" s="9"/>
      <c r="E191" s="9"/>
      <c r="F191" s="250"/>
      <c r="G191" s="250"/>
      <c r="H191" s="250"/>
      <c r="I191" s="250"/>
      <c r="J191" s="9"/>
      <c r="K191" s="250"/>
      <c r="L191" s="250"/>
      <c r="M191" s="250"/>
      <c r="N191" s="250"/>
      <c r="O191" s="9"/>
      <c r="P191" s="250"/>
      <c r="Q191" s="250"/>
      <c r="R191" s="250"/>
      <c r="S191" s="250"/>
      <c r="T191" s="9"/>
      <c r="U191" s="250"/>
      <c r="V191" s="251"/>
      <c r="W191" s="251"/>
      <c r="X191" s="251"/>
      <c r="Y191" s="9"/>
      <c r="Z191" s="251"/>
      <c r="AA191" s="251"/>
      <c r="AB191" s="251"/>
      <c r="AC191" s="251"/>
      <c r="AD191" s="9"/>
      <c r="AE191" s="9"/>
      <c r="AF191" s="9"/>
      <c r="AG191" s="9"/>
      <c r="AH191" s="9"/>
      <c r="AI191" s="9"/>
      <c r="AJ191" s="9"/>
      <c r="AK191" s="9"/>
    </row>
    <row r="192" spans="1:37" ht="13.5" customHeight="1" x14ac:dyDescent="0.25">
      <c r="A192" s="205"/>
      <c r="B192" s="9"/>
      <c r="C192" s="9" t="s">
        <v>350</v>
      </c>
      <c r="D192" s="9"/>
      <c r="E192" s="9"/>
      <c r="F192" s="250"/>
      <c r="G192" s="250"/>
      <c r="H192" s="250"/>
      <c r="I192" s="250"/>
      <c r="J192" s="9"/>
      <c r="K192" s="250"/>
      <c r="L192" s="250"/>
      <c r="M192" s="250"/>
      <c r="N192" s="250"/>
      <c r="O192" s="9"/>
      <c r="P192" s="250"/>
      <c r="Q192" s="250"/>
      <c r="R192" s="250"/>
      <c r="S192" s="250"/>
      <c r="T192" s="9"/>
      <c r="U192" s="250"/>
      <c r="V192" s="221">
        <f t="shared" ref="V192" si="439">U196</f>
        <v>7240</v>
      </c>
      <c r="W192" s="221">
        <f t="shared" ref="W192" si="440">V196</f>
        <v>7301.1875358589841</v>
      </c>
      <c r="X192" s="221">
        <f t="shared" ref="X192" si="441">W196</f>
        <v>7307.8291415201438</v>
      </c>
      <c r="Y192" s="222">
        <f>U192</f>
        <v>0</v>
      </c>
      <c r="Z192" s="221">
        <f t="shared" ref="Z192:AC192" si="442">Y196</f>
        <v>7311.649409755848</v>
      </c>
      <c r="AA192" s="221">
        <f t="shared" si="442"/>
        <v>7359.7467121632963</v>
      </c>
      <c r="AB192" s="221">
        <f t="shared" si="442"/>
        <v>7384.4760680672998</v>
      </c>
      <c r="AC192" s="221">
        <f t="shared" si="442"/>
        <v>7397.0643764343067</v>
      </c>
      <c r="AD192" s="222">
        <f>Y196</f>
        <v>7311.649409755848</v>
      </c>
      <c r="AE192" s="222">
        <f t="shared" ref="AE192:AG192" si="443">AD196</f>
        <v>7482.8914941515941</v>
      </c>
      <c r="AF192" s="222">
        <f t="shared" si="443"/>
        <v>7457.7096888512551</v>
      </c>
      <c r="AG192" s="222">
        <f t="shared" si="443"/>
        <v>8136.4860737769341</v>
      </c>
      <c r="AH192" s="9"/>
      <c r="AI192" s="9"/>
      <c r="AJ192" s="9"/>
      <c r="AK192" s="9"/>
    </row>
    <row r="193" spans="1:37" ht="13.5" customHeight="1" x14ac:dyDescent="0.25">
      <c r="A193" s="205"/>
      <c r="B193" s="9"/>
      <c r="C193" s="103" t="s">
        <v>116</v>
      </c>
      <c r="D193" s="9"/>
      <c r="E193" s="9"/>
      <c r="F193" s="348">
        <v>360</v>
      </c>
      <c r="G193" s="348">
        <v>376</v>
      </c>
      <c r="H193" s="348">
        <v>401</v>
      </c>
      <c r="I193" s="348">
        <f>1563-SUM(F193:H193)</f>
        <v>426</v>
      </c>
      <c r="J193" s="264">
        <f t="shared" ref="J193:J195" si="444">SUM(F193:I193)</f>
        <v>1563</v>
      </c>
      <c r="K193" s="348">
        <v>396</v>
      </c>
      <c r="L193" s="348">
        <v>565</v>
      </c>
      <c r="M193" s="348">
        <v>455</v>
      </c>
      <c r="N193" s="348">
        <v>495</v>
      </c>
      <c r="O193" s="264">
        <f t="shared" ref="O193:O195" si="445">SUM(K193:N193)</f>
        <v>1911</v>
      </c>
      <c r="P193" s="348">
        <v>430</v>
      </c>
      <c r="Q193" s="348">
        <v>619</v>
      </c>
      <c r="R193" s="348">
        <v>654</v>
      </c>
      <c r="S193" s="348">
        <v>722</v>
      </c>
      <c r="T193" s="264">
        <f t="shared" ref="T193:T195" si="446">SUM(P193:S193)</f>
        <v>2425</v>
      </c>
      <c r="U193" s="348">
        <v>1149</v>
      </c>
      <c r="V193" s="265">
        <f>V200*V28</f>
        <v>630.14688700000011</v>
      </c>
      <c r="W193" s="265">
        <f>W200*W28</f>
        <v>580.40941269999996</v>
      </c>
      <c r="X193" s="265">
        <f>X200*X28</f>
        <v>578.11000948000003</v>
      </c>
      <c r="Y193" s="264">
        <f t="shared" ref="Y193:Y195" si="447">SUM(U193:X193)</f>
        <v>2937.6663091800001</v>
      </c>
      <c r="Z193" s="265">
        <f>Z200*Z28</f>
        <v>622.68726151591193</v>
      </c>
      <c r="AA193" s="265">
        <f>AA200*AA28</f>
        <v>603.09906777066851</v>
      </c>
      <c r="AB193" s="265">
        <f>AB200*AB28</f>
        <v>592.90139016312992</v>
      </c>
      <c r="AC193" s="265">
        <f>AC200*AC28</f>
        <v>667.12945859634681</v>
      </c>
      <c r="AD193" s="264">
        <f t="shared" ref="AD193:AD195" si="448">SUM(Z193:AC193)</f>
        <v>2485.8171780460571</v>
      </c>
      <c r="AE193" s="264">
        <f>AE200*AE28</f>
        <v>2327.0066417555263</v>
      </c>
      <c r="AF193" s="264">
        <f>AF200*AF28</f>
        <v>3023.0491283327933</v>
      </c>
      <c r="AG193" s="264">
        <f>AG200*AG28</f>
        <v>2879.4040499879652</v>
      </c>
      <c r="AH193" s="9"/>
      <c r="AI193" s="9"/>
      <c r="AJ193" s="9"/>
      <c r="AK193" s="9"/>
    </row>
    <row r="194" spans="1:37" ht="13.5" customHeight="1" x14ac:dyDescent="0.25">
      <c r="A194" s="205"/>
      <c r="B194" s="9"/>
      <c r="C194" s="103" t="s">
        <v>351</v>
      </c>
      <c r="D194" s="9"/>
      <c r="E194" s="9"/>
      <c r="F194" s="829">
        <f>-'Segment Analysis'!F46</f>
        <v>-412.75</v>
      </c>
      <c r="G194" s="829">
        <f>-'Segment Analysis'!G46</f>
        <v>-412.75</v>
      </c>
      <c r="H194" s="829">
        <f>-'Segment Analysis'!H46</f>
        <v>-412.75</v>
      </c>
      <c r="I194" s="829">
        <f>-'Segment Analysis'!I46</f>
        <v>-412.75</v>
      </c>
      <c r="J194" s="830">
        <f t="shared" si="444"/>
        <v>-1651</v>
      </c>
      <c r="K194" s="829">
        <f>-'Segment Analysis'!K46</f>
        <v>-419</v>
      </c>
      <c r="L194" s="829">
        <f>-'Segment Analysis'!L46</f>
        <v>-419</v>
      </c>
      <c r="M194" s="829">
        <f>-'Segment Analysis'!M46</f>
        <v>-419</v>
      </c>
      <c r="N194" s="829">
        <f>-'Segment Analysis'!N46</f>
        <v>-419</v>
      </c>
      <c r="O194" s="830">
        <f t="shared" si="445"/>
        <v>-1676</v>
      </c>
      <c r="P194" s="829">
        <f>-'Segment Analysis'!P46</f>
        <v>-444.25</v>
      </c>
      <c r="Q194" s="829">
        <f>-'Segment Analysis'!Q46</f>
        <v>-444.25</v>
      </c>
      <c r="R194" s="829">
        <f>-'Segment Analysis'!R46</f>
        <v>-444.25</v>
      </c>
      <c r="S194" s="829">
        <f>-'Segment Analysis'!S46</f>
        <v>-444.25</v>
      </c>
      <c r="T194" s="830">
        <f t="shared" si="446"/>
        <v>-1777</v>
      </c>
      <c r="U194" s="829">
        <f>-'Segment Analysis'!U46</f>
        <v>-468</v>
      </c>
      <c r="V194" s="294">
        <f t="shared" ref="V194:X194" si="449">-V201*V192/4</f>
        <v>-568.95935114101576</v>
      </c>
      <c r="W194" s="294">
        <f t="shared" si="449"/>
        <v>-573.76780703883969</v>
      </c>
      <c r="X194" s="294">
        <f t="shared" si="449"/>
        <v>-574.28974124429658</v>
      </c>
      <c r="Y194" s="264">
        <f t="shared" si="447"/>
        <v>-2185.0168994241521</v>
      </c>
      <c r="Z194" s="294">
        <f t="shared" ref="Z194:AC194" si="450">-Z201*Z192/4</f>
        <v>-574.58995910846386</v>
      </c>
      <c r="AA194" s="294">
        <f t="shared" si="450"/>
        <v>-578.36971186666483</v>
      </c>
      <c r="AB194" s="294">
        <f t="shared" si="450"/>
        <v>-580.3130817961229</v>
      </c>
      <c r="AC194" s="294">
        <f t="shared" si="450"/>
        <v>-581.30234087905876</v>
      </c>
      <c r="AD194" s="264">
        <f t="shared" si="448"/>
        <v>-2314.57509365031</v>
      </c>
      <c r="AE194" s="126">
        <f t="shared" ref="AE194:AG194" si="451">-AE201*AE192</f>
        <v>-2352.1884470558657</v>
      </c>
      <c r="AF194" s="126">
        <f t="shared" si="451"/>
        <v>-2344.2727434071144</v>
      </c>
      <c r="AG194" s="126">
        <f t="shared" si="451"/>
        <v>-2557.6407939801302</v>
      </c>
      <c r="AH194" s="9"/>
      <c r="AI194" s="9"/>
      <c r="AJ194" s="9"/>
      <c r="AK194" s="9"/>
    </row>
    <row r="195" spans="1:37" ht="13.5" customHeight="1" x14ac:dyDescent="0.25">
      <c r="A195" s="205"/>
      <c r="B195" s="9"/>
      <c r="C195" s="103" t="s">
        <v>352</v>
      </c>
      <c r="D195" s="9"/>
      <c r="E195" s="9"/>
      <c r="F195" s="289">
        <v>0</v>
      </c>
      <c r="G195" s="302">
        <v>0</v>
      </c>
      <c r="H195" s="289">
        <v>0</v>
      </c>
      <c r="I195" s="289">
        <v>0</v>
      </c>
      <c r="J195" s="349">
        <f t="shared" si="444"/>
        <v>0</v>
      </c>
      <c r="K195" s="289">
        <v>0</v>
      </c>
      <c r="L195" s="289">
        <v>0</v>
      </c>
      <c r="M195" s="289">
        <v>0</v>
      </c>
      <c r="N195" s="289">
        <v>0</v>
      </c>
      <c r="O195" s="349">
        <f t="shared" si="445"/>
        <v>0</v>
      </c>
      <c r="P195" s="289">
        <v>0</v>
      </c>
      <c r="Q195" s="289">
        <v>0</v>
      </c>
      <c r="R195" s="289">
        <v>0</v>
      </c>
      <c r="S195" s="289">
        <v>0</v>
      </c>
      <c r="T195" s="349">
        <f t="shared" si="446"/>
        <v>0</v>
      </c>
      <c r="U195" s="289">
        <v>0</v>
      </c>
      <c r="V195" s="320">
        <f>-Drivers!V99</f>
        <v>0</v>
      </c>
      <c r="W195" s="320">
        <f>-Drivers!W99</f>
        <v>0</v>
      </c>
      <c r="X195" s="320">
        <f>-Drivers!X99</f>
        <v>0</v>
      </c>
      <c r="Y195" s="349">
        <f t="shared" si="447"/>
        <v>0</v>
      </c>
      <c r="Z195" s="320">
        <f>-Drivers!Z99</f>
        <v>0</v>
      </c>
      <c r="AA195" s="320">
        <f>-Drivers!AA99</f>
        <v>0</v>
      </c>
      <c r="AB195" s="320">
        <f>-Drivers!AB99</f>
        <v>0</v>
      </c>
      <c r="AC195" s="320">
        <f>-Drivers!AC99</f>
        <v>0</v>
      </c>
      <c r="AD195" s="349">
        <f t="shared" si="448"/>
        <v>0</v>
      </c>
      <c r="AE195" s="326">
        <f>-Drivers!AE99</f>
        <v>0</v>
      </c>
      <c r="AF195" s="326">
        <f>-Drivers!AF99</f>
        <v>0</v>
      </c>
      <c r="AG195" s="326">
        <f>-Drivers!AG99</f>
        <v>0</v>
      </c>
      <c r="AH195" s="9"/>
      <c r="AI195" s="9"/>
      <c r="AJ195" s="9"/>
      <c r="AK195" s="9"/>
    </row>
    <row r="196" spans="1:37" ht="13.5" customHeight="1" x14ac:dyDescent="0.25">
      <c r="A196" s="205"/>
      <c r="B196" s="9"/>
      <c r="C196" s="9" t="s">
        <v>353</v>
      </c>
      <c r="D196" s="9"/>
      <c r="E196" s="9"/>
      <c r="F196" s="288">
        <f t="shared" ref="F196:T196" si="452">F126</f>
        <v>5204</v>
      </c>
      <c r="G196" s="288">
        <f t="shared" si="452"/>
        <v>5177</v>
      </c>
      <c r="H196" s="288">
        <f t="shared" si="452"/>
        <v>5124</v>
      </c>
      <c r="I196" s="288">
        <f t="shared" si="452"/>
        <v>5138</v>
      </c>
      <c r="J196" s="222">
        <f t="shared" si="452"/>
        <v>5138</v>
      </c>
      <c r="K196" s="288">
        <f t="shared" si="452"/>
        <v>5138</v>
      </c>
      <c r="L196" s="288">
        <f t="shared" si="452"/>
        <v>5247</v>
      </c>
      <c r="M196" s="288">
        <f t="shared" si="452"/>
        <v>5308</v>
      </c>
      <c r="N196" s="288">
        <f t="shared" si="452"/>
        <v>5371</v>
      </c>
      <c r="O196" s="222">
        <f t="shared" si="452"/>
        <v>5371</v>
      </c>
      <c r="P196" s="288">
        <f t="shared" si="452"/>
        <v>5383</v>
      </c>
      <c r="Q196" s="288">
        <f t="shared" si="452"/>
        <v>5662</v>
      </c>
      <c r="R196" s="288">
        <f t="shared" si="452"/>
        <v>5861</v>
      </c>
      <c r="S196" s="288">
        <f t="shared" si="452"/>
        <v>6118</v>
      </c>
      <c r="T196" s="222">
        <f t="shared" si="452"/>
        <v>6118</v>
      </c>
      <c r="U196" s="288">
        <f t="shared" ref="U196" si="453">U126</f>
        <v>7240</v>
      </c>
      <c r="V196" s="221">
        <f t="shared" ref="V196:X196" si="454">SUM(V192:V195)</f>
        <v>7301.1875358589841</v>
      </c>
      <c r="W196" s="221">
        <f t="shared" si="454"/>
        <v>7307.8291415201438</v>
      </c>
      <c r="X196" s="221">
        <f t="shared" si="454"/>
        <v>7311.649409755848</v>
      </c>
      <c r="Y196" s="222">
        <f>X196</f>
        <v>7311.649409755848</v>
      </c>
      <c r="Z196" s="221">
        <f t="shared" ref="Z196:AG196" si="455">SUM(Z192:Z195)</f>
        <v>7359.7467121632963</v>
      </c>
      <c r="AA196" s="221">
        <f t="shared" si="455"/>
        <v>7384.4760680672998</v>
      </c>
      <c r="AB196" s="221">
        <f t="shared" si="455"/>
        <v>7397.0643764343067</v>
      </c>
      <c r="AC196" s="221">
        <f t="shared" si="455"/>
        <v>7482.891494151595</v>
      </c>
      <c r="AD196" s="222">
        <f t="shared" si="455"/>
        <v>7482.8914941515941</v>
      </c>
      <c r="AE196" s="222">
        <f t="shared" si="455"/>
        <v>7457.7096888512551</v>
      </c>
      <c r="AF196" s="222">
        <f t="shared" si="455"/>
        <v>8136.4860737769341</v>
      </c>
      <c r="AG196" s="222">
        <f t="shared" si="455"/>
        <v>8458.2493297847686</v>
      </c>
      <c r="AH196" s="9"/>
      <c r="AI196" s="9"/>
      <c r="AJ196" s="9"/>
      <c r="AK196" s="9"/>
    </row>
    <row r="197" spans="1:37" ht="13.5" customHeight="1" x14ac:dyDescent="0.25">
      <c r="A197" s="205"/>
      <c r="B197" s="9"/>
      <c r="C197" s="9"/>
      <c r="D197" s="9"/>
      <c r="E197" s="9"/>
      <c r="F197" s="288"/>
      <c r="G197" s="288"/>
      <c r="H197" s="288"/>
      <c r="I197" s="288"/>
      <c r="J197" s="222"/>
      <c r="K197" s="288"/>
      <c r="L197" s="288"/>
      <c r="M197" s="288"/>
      <c r="N197" s="288"/>
      <c r="O197" s="222"/>
      <c r="P197" s="288"/>
      <c r="Q197" s="288"/>
      <c r="R197" s="288"/>
      <c r="S197" s="288"/>
      <c r="T197" s="222"/>
      <c r="U197" s="288"/>
      <c r="V197" s="221"/>
      <c r="W197" s="221"/>
      <c r="X197" s="221"/>
      <c r="Y197" s="222"/>
      <c r="Z197" s="221"/>
      <c r="AA197" s="221"/>
      <c r="AB197" s="221"/>
      <c r="AC197" s="221"/>
      <c r="AD197" s="222"/>
      <c r="AE197" s="9"/>
      <c r="AF197" s="9"/>
      <c r="AG197" s="9"/>
      <c r="AH197" s="9"/>
      <c r="AI197" s="9"/>
      <c r="AJ197" s="9"/>
      <c r="AK197" s="9"/>
    </row>
    <row r="198" spans="1:37" ht="13.5" customHeight="1" x14ac:dyDescent="0.25">
      <c r="A198" s="205" t="s">
        <v>0</v>
      </c>
      <c r="B198" s="9"/>
      <c r="C198" s="33" t="s">
        <v>42</v>
      </c>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31"/>
      <c r="AH198" s="205" t="s">
        <v>0</v>
      </c>
      <c r="AI198" s="9"/>
      <c r="AJ198" s="9"/>
      <c r="AK198" s="9"/>
    </row>
    <row r="199" spans="1:37" ht="13.5" customHeight="1" x14ac:dyDescent="0.25">
      <c r="A199" s="205"/>
      <c r="B199" s="9"/>
      <c r="C199" s="9"/>
      <c r="D199" s="9"/>
      <c r="E199" s="9"/>
      <c r="F199" s="250"/>
      <c r="G199" s="250"/>
      <c r="H199" s="250"/>
      <c r="I199" s="250"/>
      <c r="J199" s="9"/>
      <c r="K199" s="250"/>
      <c r="L199" s="250"/>
      <c r="M199" s="250"/>
      <c r="N199" s="250"/>
      <c r="O199" s="9"/>
      <c r="P199" s="250"/>
      <c r="Q199" s="250"/>
      <c r="R199" s="250"/>
      <c r="S199" s="250"/>
      <c r="T199" s="9"/>
      <c r="U199" s="250"/>
      <c r="V199" s="251"/>
      <c r="W199" s="251"/>
      <c r="X199" s="251"/>
      <c r="Y199" s="9"/>
      <c r="Z199" s="251"/>
      <c r="AA199" s="251"/>
      <c r="AB199" s="251"/>
      <c r="AC199" s="251"/>
      <c r="AD199" s="9"/>
      <c r="AE199" s="9"/>
      <c r="AF199" s="9"/>
      <c r="AG199" s="9"/>
      <c r="AH199" s="9"/>
      <c r="AI199" s="9"/>
      <c r="AJ199" s="9"/>
      <c r="AK199" s="9"/>
    </row>
    <row r="200" spans="1:37" ht="13.5" customHeight="1" x14ac:dyDescent="0.25">
      <c r="A200" s="205"/>
      <c r="B200" s="9"/>
      <c r="C200" s="9" t="s">
        <v>354</v>
      </c>
      <c r="D200" s="9"/>
      <c r="E200" s="9"/>
      <c r="F200" s="345">
        <f t="shared" ref="F200:T200" si="456">F193/F28</f>
        <v>2.2909507445589918E-2</v>
      </c>
      <c r="G200" s="345">
        <f t="shared" si="456"/>
        <v>2.2482659650801245E-2</v>
      </c>
      <c r="H200" s="345">
        <f t="shared" si="456"/>
        <v>2.3342452994935679E-2</v>
      </c>
      <c r="I200" s="345">
        <f t="shared" si="456"/>
        <v>2.4004057023722318E-2</v>
      </c>
      <c r="J200" s="158">
        <f t="shared" si="456"/>
        <v>2.3202303901193516E-2</v>
      </c>
      <c r="K200" s="345">
        <f t="shared" si="456"/>
        <v>2.2238445555118773E-2</v>
      </c>
      <c r="L200" s="345">
        <f t="shared" si="456"/>
        <v>3.0711529053650051E-2</v>
      </c>
      <c r="M200" s="345">
        <f t="shared" si="456"/>
        <v>2.4229192182757334E-2</v>
      </c>
      <c r="N200" s="345">
        <f t="shared" si="456"/>
        <v>2.5757102716203559E-2</v>
      </c>
      <c r="O200" s="158">
        <f t="shared" si="456"/>
        <v>2.5754369887198286E-2</v>
      </c>
      <c r="P200" s="345">
        <f t="shared" si="456"/>
        <v>2.2711667458934135E-2</v>
      </c>
      <c r="Q200" s="345">
        <f t="shared" si="456"/>
        <v>3.1054031003862941E-2</v>
      </c>
      <c r="R200" s="345">
        <f t="shared" si="456"/>
        <v>3.1813980639198325E-2</v>
      </c>
      <c r="S200" s="345">
        <f t="shared" si="456"/>
        <v>3.4315589353612168E-2</v>
      </c>
      <c r="T200" s="158">
        <f t="shared" si="456"/>
        <v>3.0138075885810869E-2</v>
      </c>
      <c r="U200" s="345">
        <f t="shared" ref="U200" si="457">U193/U28</f>
        <v>5.5028735632183905E-2</v>
      </c>
      <c r="V200" s="346">
        <f>Drivers!V94</f>
        <v>2.9000000000000001E-2</v>
      </c>
      <c r="W200" s="346">
        <f>Drivers!W94</f>
        <v>2.5999999999999999E-2</v>
      </c>
      <c r="X200" s="346">
        <f>Drivers!X94</f>
        <v>2.5000000000000001E-2</v>
      </c>
      <c r="Y200" s="158">
        <f>Y193/Y28</f>
        <v>3.33609468530362E-2</v>
      </c>
      <c r="Z200" s="346">
        <f>Drivers!Z94</f>
        <v>2.7E-2</v>
      </c>
      <c r="AA200" s="346">
        <f>Drivers!AA94</f>
        <v>2.5000000000000001E-2</v>
      </c>
      <c r="AB200" s="346">
        <f>Drivers!AB94</f>
        <v>2.4E-2</v>
      </c>
      <c r="AC200" s="346">
        <f>Drivers!AC94</f>
        <v>2.5999999999999999E-2</v>
      </c>
      <c r="AD200" s="158">
        <f>AD193/AD28</f>
        <v>2.5482622476195201E-2</v>
      </c>
      <c r="AE200" s="347">
        <f>Drivers!AE94</f>
        <v>2.2238445555118773E-2</v>
      </c>
      <c r="AF200" s="347">
        <f>Drivers!AF94</f>
        <v>2.7E-2</v>
      </c>
      <c r="AG200" s="347">
        <f>Drivers!AG94</f>
        <v>2.4229192182757334E-2</v>
      </c>
      <c r="AH200" s="9"/>
      <c r="AI200" s="9"/>
      <c r="AJ200" s="9"/>
      <c r="AK200" s="9"/>
    </row>
    <row r="201" spans="1:37" ht="13.5" customHeight="1" x14ac:dyDescent="0.25">
      <c r="A201" s="205"/>
      <c r="B201" s="9"/>
      <c r="C201" s="9" t="s">
        <v>355</v>
      </c>
      <c r="D201" s="9"/>
      <c r="E201" s="9"/>
      <c r="F201" s="345"/>
      <c r="G201" s="345">
        <f t="shared" ref="G201:I201" si="458">-G194*4/AVERAGE(F196:G196)</f>
        <v>0.31808110971968018</v>
      </c>
      <c r="H201" s="345">
        <f t="shared" si="458"/>
        <v>0.32055140277642946</v>
      </c>
      <c r="I201" s="345">
        <f t="shared" si="458"/>
        <v>0.32176963554862598</v>
      </c>
      <c r="J201" s="158">
        <f>-J194/AVERAGE(F196:I196)</f>
        <v>0.31991474107445622</v>
      </c>
      <c r="K201" s="345">
        <f t="shared" ref="K201:N201" si="459">-K194*4/AVERAGE(J196:K196)</f>
        <v>0.32619696379914365</v>
      </c>
      <c r="L201" s="345">
        <f t="shared" si="459"/>
        <v>0.32277323062108809</v>
      </c>
      <c r="M201" s="345">
        <f t="shared" si="459"/>
        <v>0.31757460918995739</v>
      </c>
      <c r="N201" s="345">
        <f t="shared" si="459"/>
        <v>0.31388706807753536</v>
      </c>
      <c r="O201" s="158">
        <f>-O194/AVERAGE(J196,O196)</f>
        <v>0.31896469692644402</v>
      </c>
      <c r="P201" s="345">
        <f t="shared" ref="P201:U201" si="460">-P194*4/AVERAGE(O196:P196)</f>
        <v>0.33048168123488936</v>
      </c>
      <c r="Q201" s="345">
        <f t="shared" si="460"/>
        <v>0.32177455862381166</v>
      </c>
      <c r="R201" s="345">
        <f t="shared" si="460"/>
        <v>0.30842662501084789</v>
      </c>
      <c r="S201" s="345">
        <f t="shared" si="460"/>
        <v>0.29668586693380083</v>
      </c>
      <c r="T201" s="158">
        <f>-T194/AVERAGE(O196,T196)</f>
        <v>0.3093393680912177</v>
      </c>
      <c r="U201" s="345">
        <f t="shared" si="460"/>
        <v>0.28028147926336278</v>
      </c>
      <c r="V201" s="346">
        <f>Drivers!V77</f>
        <v>0.31434218295083743</v>
      </c>
      <c r="W201" s="346">
        <f>Drivers!W77</f>
        <v>0.31434218295083743</v>
      </c>
      <c r="X201" s="346">
        <f>Drivers!X77</f>
        <v>0.31434218295083743</v>
      </c>
      <c r="Y201" s="158">
        <f>-Y194/AVERAGE(T196,Y196)</f>
        <v>0.32540192714738575</v>
      </c>
      <c r="Z201" s="346">
        <f>Drivers!Z77</f>
        <v>0.31434218295083743</v>
      </c>
      <c r="AA201" s="346">
        <f>Drivers!AA77</f>
        <v>0.31434218295083743</v>
      </c>
      <c r="AB201" s="346">
        <f>Drivers!AB77</f>
        <v>0.31434218295083743</v>
      </c>
      <c r="AC201" s="346">
        <f>Drivers!AC77</f>
        <v>0.31434218295083743</v>
      </c>
      <c r="AD201" s="158">
        <f>-AD194/AVERAGE(Y196,AD196)</f>
        <v>0.31289583214292221</v>
      </c>
      <c r="AE201" s="347">
        <f>Drivers!AE77</f>
        <v>0.31434218295083743</v>
      </c>
      <c r="AF201" s="347">
        <f>Drivers!AF77</f>
        <v>0.31434218295083743</v>
      </c>
      <c r="AG201" s="347">
        <f>Drivers!AG77</f>
        <v>0.31434218295083743</v>
      </c>
      <c r="AH201" s="9"/>
      <c r="AI201" s="9"/>
      <c r="AJ201" s="9"/>
      <c r="AK201" s="9"/>
    </row>
    <row r="202" spans="1:37" ht="13.5" customHeight="1" x14ac:dyDescent="0.25">
      <c r="A202" s="205"/>
      <c r="B202" s="9"/>
      <c r="C202" s="9" t="s">
        <v>356</v>
      </c>
      <c r="D202" s="9"/>
      <c r="E202" s="9"/>
      <c r="F202" s="345">
        <f t="shared" ref="F202:AG202" si="461">-F194/F28</f>
        <v>2.6266386661575665E-2</v>
      </c>
      <c r="G202" s="345">
        <f t="shared" si="461"/>
        <v>2.4680100454436738E-2</v>
      </c>
      <c r="H202" s="345">
        <f t="shared" si="461"/>
        <v>2.4026427615111472E-2</v>
      </c>
      <c r="I202" s="345">
        <f t="shared" si="461"/>
        <v>2.3257451963712178E-2</v>
      </c>
      <c r="J202" s="158">
        <f t="shared" si="461"/>
        <v>2.4508639629475686E-2</v>
      </c>
      <c r="K202" s="345">
        <f t="shared" si="461"/>
        <v>2.3530072443421125E-2</v>
      </c>
      <c r="L202" s="345">
        <f t="shared" si="461"/>
        <v>2.2775452519432516E-2</v>
      </c>
      <c r="M202" s="345">
        <f t="shared" si="461"/>
        <v>2.2312157196868843E-2</v>
      </c>
      <c r="N202" s="345">
        <f t="shared" si="461"/>
        <v>2.180247684462483E-2</v>
      </c>
      <c r="O202" s="158">
        <f t="shared" si="461"/>
        <v>2.2587296667160819E-2</v>
      </c>
      <c r="P202" s="345">
        <f t="shared" si="461"/>
        <v>2.3464321554956955E-2</v>
      </c>
      <c r="Q202" s="345">
        <f t="shared" si="461"/>
        <v>2.2287161992675462E-2</v>
      </c>
      <c r="R202" s="345">
        <f t="shared" si="461"/>
        <v>2.1610643576397335E-2</v>
      </c>
      <c r="S202" s="345">
        <f t="shared" si="461"/>
        <v>2.1114543726235741E-2</v>
      </c>
      <c r="T202" s="158">
        <f t="shared" si="461"/>
        <v>2.2084684886220996E-2</v>
      </c>
      <c r="U202" s="345">
        <f t="shared" ref="U202" si="462">-U194/U28</f>
        <v>2.2413793103448276E-2</v>
      </c>
      <c r="V202" s="350">
        <f t="shared" si="461"/>
        <v>2.6184087430220784E-2</v>
      </c>
      <c r="W202" s="350">
        <f t="shared" si="461"/>
        <v>2.5702482862249128E-2</v>
      </c>
      <c r="X202" s="350">
        <f t="shared" si="461"/>
        <v>2.4834794927736173E-2</v>
      </c>
      <c r="Y202" s="158">
        <f t="shared" si="461"/>
        <v>2.4813653077916217E-2</v>
      </c>
      <c r="Z202" s="350">
        <f t="shared" si="461"/>
        <v>2.4914479313677251E-2</v>
      </c>
      <c r="AA202" s="350">
        <f t="shared" si="461"/>
        <v>2.3974904902630063E-2</v>
      </c>
      <c r="AB202" s="350">
        <f t="shared" si="461"/>
        <v>2.3490439041262759E-2</v>
      </c>
      <c r="AC202" s="350">
        <f t="shared" si="461"/>
        <v>2.26550644228114E-2</v>
      </c>
      <c r="AD202" s="158">
        <f t="shared" si="461"/>
        <v>2.3727184696123376E-2</v>
      </c>
      <c r="AE202" s="158">
        <f t="shared" si="461"/>
        <v>2.2479099877329354E-2</v>
      </c>
      <c r="AF202" s="158">
        <f t="shared" si="461"/>
        <v>2.0937590288815245E-2</v>
      </c>
      <c r="AG202" s="158">
        <f t="shared" si="461"/>
        <v>2.1521665336291945E-2</v>
      </c>
      <c r="AH202" s="9"/>
      <c r="AI202" s="9"/>
      <c r="AJ202" s="9"/>
      <c r="AK202" s="9"/>
    </row>
    <row r="203" spans="1:37" ht="13.5" customHeight="1" x14ac:dyDescent="0.25">
      <c r="A203" s="205"/>
      <c r="B203" s="9"/>
      <c r="C203" s="9"/>
      <c r="D203" s="9"/>
      <c r="E203" s="9"/>
      <c r="F203" s="250"/>
      <c r="G203" s="250"/>
      <c r="H203" s="250"/>
      <c r="I203" s="250"/>
      <c r="J203" s="9"/>
      <c r="K203" s="250"/>
      <c r="L203" s="250"/>
      <c r="M203" s="250"/>
      <c r="N203" s="250"/>
      <c r="O203" s="9"/>
      <c r="P203" s="250"/>
      <c r="Q203" s="250"/>
      <c r="R203" s="250"/>
      <c r="S203" s="250"/>
      <c r="T203" s="9"/>
      <c r="U203" s="250"/>
      <c r="V203" s="251"/>
      <c r="W203" s="251"/>
      <c r="X203" s="251"/>
      <c r="Y203" s="9"/>
      <c r="Z203" s="251"/>
      <c r="AA203" s="251"/>
      <c r="AB203" s="251"/>
      <c r="AC203" s="251"/>
      <c r="AD203" s="9"/>
      <c r="AE203" s="9"/>
      <c r="AF203" s="9"/>
      <c r="AG203" s="9"/>
      <c r="AH203" s="9"/>
      <c r="AI203" s="9"/>
      <c r="AJ203" s="9"/>
      <c r="AK203" s="9"/>
    </row>
    <row r="204" spans="1:37" ht="13.5" customHeight="1" x14ac:dyDescent="0.25">
      <c r="A204" s="205" t="s">
        <v>0</v>
      </c>
      <c r="B204" s="37"/>
      <c r="C204" s="50" t="s">
        <v>357</v>
      </c>
      <c r="D204" s="12"/>
      <c r="E204" s="12"/>
      <c r="F204" s="248" t="str">
        <f>F$25</f>
        <v>1Q23</v>
      </c>
      <c r="G204" s="51" t="str">
        <f t="shared" ref="G204:AG204" si="463">G$63</f>
        <v>2Q23</v>
      </c>
      <c r="H204" s="51" t="str">
        <f t="shared" si="463"/>
        <v>3Q23</v>
      </c>
      <c r="I204" s="51" t="str">
        <f t="shared" si="463"/>
        <v>4Q23</v>
      </c>
      <c r="J204" s="51">
        <f t="shared" si="463"/>
        <v>2023</v>
      </c>
      <c r="K204" s="51" t="str">
        <f t="shared" si="463"/>
        <v>1Q24</v>
      </c>
      <c r="L204" s="51" t="str">
        <f t="shared" si="463"/>
        <v>2Q24</v>
      </c>
      <c r="M204" s="51" t="str">
        <f t="shared" si="463"/>
        <v>3Q24</v>
      </c>
      <c r="N204" s="51" t="str">
        <f t="shared" si="463"/>
        <v>4Q24</v>
      </c>
      <c r="O204" s="51">
        <f t="shared" si="463"/>
        <v>2024</v>
      </c>
      <c r="P204" s="51" t="str">
        <f t="shared" si="463"/>
        <v>1Q25</v>
      </c>
      <c r="Q204" s="51" t="str">
        <f t="shared" si="463"/>
        <v>2Q25</v>
      </c>
      <c r="R204" s="51" t="str">
        <f t="shared" si="463"/>
        <v>3Q25</v>
      </c>
      <c r="S204" s="51" t="str">
        <f t="shared" si="463"/>
        <v>4Q25</v>
      </c>
      <c r="T204" s="51">
        <f t="shared" si="463"/>
        <v>2025</v>
      </c>
      <c r="U204" s="51" t="str">
        <f t="shared" si="463"/>
        <v>1Q26</v>
      </c>
      <c r="V204" s="51" t="str">
        <f t="shared" si="463"/>
        <v>2Q26e</v>
      </c>
      <c r="W204" s="51" t="str">
        <f t="shared" si="463"/>
        <v>3Q26e</v>
      </c>
      <c r="X204" s="51" t="str">
        <f t="shared" si="463"/>
        <v>4Q26e</v>
      </c>
      <c r="Y204" s="51" t="str">
        <f t="shared" si="463"/>
        <v>2026e</v>
      </c>
      <c r="Z204" s="51" t="str">
        <f t="shared" si="463"/>
        <v>1Q27e</v>
      </c>
      <c r="AA204" s="51" t="str">
        <f t="shared" si="463"/>
        <v>2Q27e</v>
      </c>
      <c r="AB204" s="51" t="str">
        <f t="shared" si="463"/>
        <v>3Q27e</v>
      </c>
      <c r="AC204" s="51" t="str">
        <f t="shared" si="463"/>
        <v>4Q27e</v>
      </c>
      <c r="AD204" s="51" t="str">
        <f t="shared" si="463"/>
        <v>2027e</v>
      </c>
      <c r="AE204" s="51" t="str">
        <f t="shared" si="463"/>
        <v>2028e</v>
      </c>
      <c r="AF204" s="51" t="str">
        <f t="shared" si="463"/>
        <v>2029e</v>
      </c>
      <c r="AG204" s="52" t="str">
        <f t="shared" si="463"/>
        <v>2030e</v>
      </c>
      <c r="AH204" s="205" t="s">
        <v>0</v>
      </c>
      <c r="AI204" s="9"/>
      <c r="AJ204" s="9"/>
      <c r="AK204" s="9"/>
    </row>
    <row r="205" spans="1:37" ht="13.5" customHeight="1" x14ac:dyDescent="0.25">
      <c r="A205" s="205"/>
      <c r="B205" s="9"/>
      <c r="C205" s="9"/>
      <c r="D205" s="9"/>
      <c r="E205" s="9"/>
      <c r="F205" s="250"/>
      <c r="G205" s="250"/>
      <c r="H205" s="250"/>
      <c r="I205" s="250"/>
      <c r="J205" s="9"/>
      <c r="K205" s="250"/>
      <c r="L205" s="250"/>
      <c r="M205" s="250"/>
      <c r="N205" s="250"/>
      <c r="O205" s="9"/>
      <c r="P205" s="250"/>
      <c r="Q205" s="250"/>
      <c r="R205" s="250"/>
      <c r="S205" s="250"/>
      <c r="T205" s="9"/>
      <c r="U205" s="250"/>
      <c r="V205" s="251"/>
      <c r="W205" s="251"/>
      <c r="X205" s="251"/>
      <c r="Y205" s="9"/>
      <c r="Z205" s="251"/>
      <c r="AA205" s="251"/>
      <c r="AB205" s="251"/>
      <c r="AC205" s="251"/>
      <c r="AD205" s="9"/>
      <c r="AE205" s="9"/>
      <c r="AF205" s="9"/>
      <c r="AG205" s="9"/>
      <c r="AH205" s="9"/>
      <c r="AI205" s="9"/>
      <c r="AJ205" s="9"/>
      <c r="AK205" s="9"/>
    </row>
    <row r="206" spans="1:37" ht="13.5" customHeight="1" x14ac:dyDescent="0.25">
      <c r="A206" s="205"/>
      <c r="B206" s="9"/>
      <c r="C206" s="9" t="s">
        <v>358</v>
      </c>
      <c r="D206" s="9"/>
      <c r="E206" s="9"/>
      <c r="F206" s="351">
        <f t="shared" ref="F206:I206" si="464">E210</f>
        <v>0</v>
      </c>
      <c r="G206" s="288">
        <f t="shared" si="464"/>
        <v>0</v>
      </c>
      <c r="H206" s="288">
        <f t="shared" si="464"/>
        <v>110212</v>
      </c>
      <c r="I206" s="288">
        <f t="shared" si="464"/>
        <v>113257</v>
      </c>
      <c r="J206" s="222">
        <f>F206</f>
        <v>0</v>
      </c>
      <c r="K206" s="288">
        <f t="shared" ref="K206:N206" si="465">J210</f>
        <v>146</v>
      </c>
      <c r="L206" s="288">
        <f t="shared" si="465"/>
        <v>121348</v>
      </c>
      <c r="M206" s="288">
        <f t="shared" si="465"/>
        <v>125530</v>
      </c>
      <c r="N206" s="288">
        <f t="shared" si="465"/>
        <v>128960</v>
      </c>
      <c r="O206" s="222">
        <f>K206</f>
        <v>146</v>
      </c>
      <c r="P206" s="288">
        <f t="shared" ref="P206:U206" si="466">O210</f>
        <v>134753</v>
      </c>
      <c r="Q206" s="288">
        <f t="shared" si="466"/>
        <v>134387</v>
      </c>
      <c r="R206" s="288">
        <f t="shared" si="466"/>
        <v>138913</v>
      </c>
      <c r="S206" s="288">
        <f t="shared" si="466"/>
        <v>141370</v>
      </c>
      <c r="T206" s="222">
        <f>P206</f>
        <v>134753</v>
      </c>
      <c r="U206" s="288">
        <f t="shared" si="466"/>
        <v>148380</v>
      </c>
      <c r="V206" s="221">
        <f t="shared" ref="V206" si="467">U210</f>
        <v>209724</v>
      </c>
      <c r="W206" s="221">
        <f t="shared" ref="W206" si="468">V210</f>
        <v>209724</v>
      </c>
      <c r="X206" s="221">
        <f t="shared" ref="X206" si="469">W210</f>
        <v>209724</v>
      </c>
      <c r="Y206" s="222">
        <f>U206</f>
        <v>148380</v>
      </c>
      <c r="Z206" s="221">
        <f t="shared" ref="Z206:AC206" si="470">Y210</f>
        <v>209724</v>
      </c>
      <c r="AA206" s="221">
        <f t="shared" si="470"/>
        <v>209724</v>
      </c>
      <c r="AB206" s="221">
        <f t="shared" si="470"/>
        <v>209724</v>
      </c>
      <c r="AC206" s="221">
        <f t="shared" si="470"/>
        <v>209724</v>
      </c>
      <c r="AD206" s="222">
        <f>Z206</f>
        <v>209724</v>
      </c>
      <c r="AE206" s="222">
        <f t="shared" ref="AE206:AG206" si="471">AD210</f>
        <v>209724</v>
      </c>
      <c r="AF206" s="222">
        <f t="shared" si="471"/>
        <v>209724</v>
      </c>
      <c r="AG206" s="222">
        <f t="shared" si="471"/>
        <v>209724</v>
      </c>
      <c r="AH206" s="222"/>
      <c r="AI206" s="9"/>
      <c r="AJ206" s="9"/>
      <c r="AK206" s="9"/>
    </row>
    <row r="207" spans="1:37" ht="13.5" customHeight="1" x14ac:dyDescent="0.25">
      <c r="A207" s="205"/>
      <c r="B207" s="9"/>
      <c r="C207" s="103" t="s">
        <v>287</v>
      </c>
      <c r="D207" s="9"/>
      <c r="E207" s="9"/>
      <c r="F207" s="348">
        <v>0</v>
      </c>
      <c r="G207" s="348">
        <v>0</v>
      </c>
      <c r="H207" s="348">
        <v>0</v>
      </c>
      <c r="I207" s="348">
        <v>0</v>
      </c>
      <c r="J207" s="264">
        <f t="shared" ref="J207:J209" si="472">SUM(F207:I207)</f>
        <v>0</v>
      </c>
      <c r="K207" s="348">
        <v>0</v>
      </c>
      <c r="L207" s="348">
        <v>0</v>
      </c>
      <c r="M207" s="348">
        <v>0</v>
      </c>
      <c r="N207" s="348">
        <v>0</v>
      </c>
      <c r="O207" s="264">
        <f t="shared" ref="O207:O209" si="473">SUM(K207:N207)</f>
        <v>0</v>
      </c>
      <c r="P207" s="348">
        <v>0</v>
      </c>
      <c r="Q207" s="348">
        <v>0</v>
      </c>
      <c r="R207" s="348">
        <v>0</v>
      </c>
      <c r="S207" s="348">
        <v>0</v>
      </c>
      <c r="T207" s="264">
        <f t="shared" ref="T207:T209" si="474">SUM(P207:S207)</f>
        <v>0</v>
      </c>
      <c r="U207" s="348">
        <v>0</v>
      </c>
      <c r="V207" s="352">
        <f t="shared" ref="V207" si="475">U207</f>
        <v>0</v>
      </c>
      <c r="W207" s="352">
        <f t="shared" ref="W207" si="476">V207</f>
        <v>0</v>
      </c>
      <c r="X207" s="352">
        <f t="shared" ref="X207" si="477">W207</f>
        <v>0</v>
      </c>
      <c r="Y207" s="264">
        <f t="shared" ref="Y207:Y209" si="478">SUM(U207:X207)</f>
        <v>0</v>
      </c>
      <c r="Z207" s="352">
        <f t="shared" ref="Z207:AC207" si="479">Y207</f>
        <v>0</v>
      </c>
      <c r="AA207" s="352">
        <f t="shared" si="479"/>
        <v>0</v>
      </c>
      <c r="AB207" s="352">
        <f t="shared" si="479"/>
        <v>0</v>
      </c>
      <c r="AC207" s="352">
        <f t="shared" si="479"/>
        <v>0</v>
      </c>
      <c r="AD207" s="264">
        <f t="shared" ref="AD207:AD209" si="480">SUM(Z207:AC207)</f>
        <v>0</v>
      </c>
      <c r="AE207" s="353">
        <f t="shared" ref="AE207:AG207" si="481">AD207</f>
        <v>0</v>
      </c>
      <c r="AF207" s="353">
        <f t="shared" si="481"/>
        <v>0</v>
      </c>
      <c r="AG207" s="353">
        <f t="shared" si="481"/>
        <v>0</v>
      </c>
      <c r="AH207" s="9"/>
      <c r="AI207" s="9"/>
      <c r="AJ207" s="9"/>
      <c r="AK207" s="9"/>
    </row>
    <row r="208" spans="1:37" ht="13.5" customHeight="1" x14ac:dyDescent="0.25">
      <c r="A208" s="205"/>
      <c r="B208" s="9"/>
      <c r="C208" s="103" t="s">
        <v>359</v>
      </c>
      <c r="D208" s="9"/>
      <c r="E208" s="9"/>
      <c r="F208" s="263">
        <f>F37-F194</f>
        <v>0</v>
      </c>
      <c r="G208" s="263">
        <f>G37-G194</f>
        <v>0</v>
      </c>
      <c r="H208" s="263">
        <f>H37-H194</f>
        <v>0</v>
      </c>
      <c r="I208" s="263">
        <f>I37-I194</f>
        <v>0</v>
      </c>
      <c r="J208" s="264">
        <f t="shared" si="472"/>
        <v>0</v>
      </c>
      <c r="K208" s="263">
        <f>K37-K194</f>
        <v>0</v>
      </c>
      <c r="L208" s="263">
        <f>L37-L194</f>
        <v>0</v>
      </c>
      <c r="M208" s="263">
        <f>M37-M194</f>
        <v>0</v>
      </c>
      <c r="N208" s="263">
        <f>N37-N194</f>
        <v>0</v>
      </c>
      <c r="O208" s="264">
        <f t="shared" si="473"/>
        <v>0</v>
      </c>
      <c r="P208" s="263">
        <f>P37-P194</f>
        <v>0</v>
      </c>
      <c r="Q208" s="263">
        <f>Q37-Q194</f>
        <v>0</v>
      </c>
      <c r="R208" s="263">
        <f>R37-R194</f>
        <v>0</v>
      </c>
      <c r="S208" s="263">
        <f>S37-S194</f>
        <v>0</v>
      </c>
      <c r="T208" s="264">
        <f t="shared" si="474"/>
        <v>0</v>
      </c>
      <c r="U208" s="263">
        <f>U37-U194</f>
        <v>0</v>
      </c>
      <c r="V208" s="265">
        <f t="shared" ref="V208:X208" si="482">V214*V206/4</f>
        <v>0</v>
      </c>
      <c r="W208" s="265">
        <f t="shared" si="482"/>
        <v>0</v>
      </c>
      <c r="X208" s="265">
        <f t="shared" si="482"/>
        <v>0</v>
      </c>
      <c r="Y208" s="264">
        <f t="shared" si="478"/>
        <v>0</v>
      </c>
      <c r="Z208" s="265">
        <f t="shared" ref="Z208:AC208" si="483">Z214*Z206/4</f>
        <v>0</v>
      </c>
      <c r="AA208" s="265">
        <f t="shared" si="483"/>
        <v>0</v>
      </c>
      <c r="AB208" s="265">
        <f t="shared" si="483"/>
        <v>0</v>
      </c>
      <c r="AC208" s="265">
        <f t="shared" si="483"/>
        <v>0</v>
      </c>
      <c r="AD208" s="264">
        <f t="shared" si="480"/>
        <v>0</v>
      </c>
      <c r="AE208" s="264">
        <f t="shared" ref="AE208:AG208" si="484">AE214*AE206</f>
        <v>0</v>
      </c>
      <c r="AF208" s="264">
        <f t="shared" si="484"/>
        <v>0</v>
      </c>
      <c r="AG208" s="264">
        <f t="shared" si="484"/>
        <v>0</v>
      </c>
      <c r="AH208" s="9"/>
      <c r="AI208" s="9"/>
      <c r="AJ208" s="9"/>
      <c r="AK208" s="9"/>
    </row>
    <row r="209" spans="1:37" ht="13.5" customHeight="1" x14ac:dyDescent="0.25">
      <c r="A209" s="205"/>
      <c r="B209" s="9"/>
      <c r="C209" s="103" t="s">
        <v>360</v>
      </c>
      <c r="D209" s="9"/>
      <c r="E209" s="9"/>
      <c r="F209" s="354">
        <v>0</v>
      </c>
      <c r="G209" s="354">
        <v>0</v>
      </c>
      <c r="H209" s="354">
        <v>0</v>
      </c>
      <c r="I209" s="354">
        <v>0</v>
      </c>
      <c r="J209" s="349">
        <f t="shared" si="472"/>
        <v>0</v>
      </c>
      <c r="K209" s="354">
        <v>0</v>
      </c>
      <c r="L209" s="354">
        <v>0</v>
      </c>
      <c r="M209" s="354">
        <v>0</v>
      </c>
      <c r="N209" s="354">
        <v>0</v>
      </c>
      <c r="O209" s="349">
        <f t="shared" si="473"/>
        <v>0</v>
      </c>
      <c r="P209" s="354">
        <v>0</v>
      </c>
      <c r="Q209" s="354">
        <v>0</v>
      </c>
      <c r="R209" s="354">
        <v>0</v>
      </c>
      <c r="S209" s="354">
        <v>0</v>
      </c>
      <c r="T209" s="349">
        <f t="shared" si="474"/>
        <v>0</v>
      </c>
      <c r="U209" s="354">
        <v>0</v>
      </c>
      <c r="V209" s="355">
        <f t="shared" ref="V209" si="485">U209</f>
        <v>0</v>
      </c>
      <c r="W209" s="355">
        <f t="shared" ref="W209" si="486">V209</f>
        <v>0</v>
      </c>
      <c r="X209" s="355">
        <f t="shared" ref="X209" si="487">W209</f>
        <v>0</v>
      </c>
      <c r="Y209" s="349">
        <f t="shared" si="478"/>
        <v>0</v>
      </c>
      <c r="Z209" s="355">
        <f t="shared" ref="Z209:AC209" si="488">Y209</f>
        <v>0</v>
      </c>
      <c r="AA209" s="355">
        <f t="shared" si="488"/>
        <v>0</v>
      </c>
      <c r="AB209" s="355">
        <f t="shared" si="488"/>
        <v>0</v>
      </c>
      <c r="AC209" s="355">
        <f t="shared" si="488"/>
        <v>0</v>
      </c>
      <c r="AD209" s="349">
        <f t="shared" si="480"/>
        <v>0</v>
      </c>
      <c r="AE209" s="356">
        <f t="shared" ref="AE209:AG209" si="489">AD209</f>
        <v>0</v>
      </c>
      <c r="AF209" s="356">
        <f t="shared" si="489"/>
        <v>0</v>
      </c>
      <c r="AG209" s="356">
        <f t="shared" si="489"/>
        <v>0</v>
      </c>
      <c r="AH209" s="9"/>
      <c r="AI209" s="9"/>
      <c r="AJ209" s="9"/>
      <c r="AK209" s="9"/>
    </row>
    <row r="210" spans="1:37" ht="13.5" customHeight="1" x14ac:dyDescent="0.25">
      <c r="A210" s="205"/>
      <c r="B210" s="9"/>
      <c r="C210" s="9" t="s">
        <v>361</v>
      </c>
      <c r="D210" s="9"/>
      <c r="E210" s="9"/>
      <c r="F210" s="288">
        <v>0</v>
      </c>
      <c r="G210" s="288">
        <f t="shared" ref="G210:T210" si="490">G127</f>
        <v>110212</v>
      </c>
      <c r="H210" s="288">
        <f t="shared" si="490"/>
        <v>113257</v>
      </c>
      <c r="I210" s="288">
        <f t="shared" si="490"/>
        <v>120877</v>
      </c>
      <c r="J210" s="222">
        <v>146</v>
      </c>
      <c r="K210" s="288">
        <f t="shared" si="490"/>
        <v>121348</v>
      </c>
      <c r="L210" s="288">
        <f t="shared" si="490"/>
        <v>125530</v>
      </c>
      <c r="M210" s="288">
        <f t="shared" si="490"/>
        <v>128960</v>
      </c>
      <c r="N210" s="288">
        <f t="shared" si="490"/>
        <v>134753</v>
      </c>
      <c r="O210" s="222">
        <f t="shared" si="490"/>
        <v>134753</v>
      </c>
      <c r="P210" s="288">
        <f t="shared" si="490"/>
        <v>134387</v>
      </c>
      <c r="Q210" s="288">
        <f t="shared" si="490"/>
        <v>138913</v>
      </c>
      <c r="R210" s="288">
        <f t="shared" si="490"/>
        <v>141370</v>
      </c>
      <c r="S210" s="288">
        <f t="shared" si="490"/>
        <v>148380</v>
      </c>
      <c r="T210" s="222">
        <f t="shared" si="490"/>
        <v>148380</v>
      </c>
      <c r="U210" s="288">
        <f t="shared" ref="U210" si="491">U127</f>
        <v>209724</v>
      </c>
      <c r="V210" s="221">
        <f t="shared" ref="V210:X210" si="492">SUM(V206:V209)</f>
        <v>209724</v>
      </c>
      <c r="W210" s="221">
        <f t="shared" si="492"/>
        <v>209724</v>
      </c>
      <c r="X210" s="221">
        <f t="shared" si="492"/>
        <v>209724</v>
      </c>
      <c r="Y210" s="222">
        <f>X210</f>
        <v>209724</v>
      </c>
      <c r="Z210" s="221">
        <f t="shared" ref="Z210:AC210" si="493">SUM(Z206:Z209)</f>
        <v>209724</v>
      </c>
      <c r="AA210" s="221">
        <f t="shared" si="493"/>
        <v>209724</v>
      </c>
      <c r="AB210" s="221">
        <f t="shared" si="493"/>
        <v>209724</v>
      </c>
      <c r="AC210" s="221">
        <f t="shared" si="493"/>
        <v>209724</v>
      </c>
      <c r="AD210" s="222">
        <f>AC210</f>
        <v>209724</v>
      </c>
      <c r="AE210" s="222">
        <f t="shared" ref="AE210:AG210" si="494">SUM(AE206:AE209)</f>
        <v>209724</v>
      </c>
      <c r="AF210" s="222">
        <f t="shared" si="494"/>
        <v>209724</v>
      </c>
      <c r="AG210" s="222">
        <f t="shared" si="494"/>
        <v>209724</v>
      </c>
      <c r="AH210" s="9"/>
      <c r="AI210" s="9"/>
      <c r="AJ210" s="9"/>
      <c r="AK210" s="9"/>
    </row>
    <row r="211" spans="1:37" ht="13.5" customHeight="1" x14ac:dyDescent="0.25">
      <c r="A211" s="205"/>
      <c r="B211" s="9"/>
      <c r="C211" s="9"/>
      <c r="D211" s="9"/>
      <c r="E211" s="9"/>
      <c r="F211" s="288"/>
      <c r="G211" s="288"/>
      <c r="H211" s="288"/>
      <c r="I211" s="288"/>
      <c r="J211" s="222"/>
      <c r="K211" s="288"/>
      <c r="L211" s="288"/>
      <c r="M211" s="288"/>
      <c r="N211" s="288"/>
      <c r="O211" s="222"/>
      <c r="P211" s="288"/>
      <c r="Q211" s="288"/>
      <c r="R211" s="288"/>
      <c r="S211" s="288"/>
      <c r="T211" s="222"/>
      <c r="U211" s="288"/>
      <c r="V211" s="221"/>
      <c r="W211" s="221"/>
      <c r="X211" s="221"/>
      <c r="Y211" s="222"/>
      <c r="Z211" s="221"/>
      <c r="AA211" s="221"/>
      <c r="AB211" s="221"/>
      <c r="AC211" s="221"/>
      <c r="AD211" s="222"/>
      <c r="AE211" s="222"/>
      <c r="AF211" s="222"/>
      <c r="AG211" s="222"/>
      <c r="AH211" s="9"/>
      <c r="AI211" s="9"/>
      <c r="AJ211" s="9"/>
      <c r="AK211" s="9"/>
    </row>
    <row r="212" spans="1:37" ht="13.5" customHeight="1" x14ac:dyDescent="0.25">
      <c r="A212" s="205" t="s">
        <v>0</v>
      </c>
      <c r="B212" s="9"/>
      <c r="C212" s="33" t="s">
        <v>42</v>
      </c>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31"/>
      <c r="AH212" s="205" t="s">
        <v>0</v>
      </c>
      <c r="AI212" s="9"/>
      <c r="AJ212" s="9"/>
      <c r="AK212" s="9"/>
    </row>
    <row r="213" spans="1:37" ht="13.5" customHeight="1" x14ac:dyDescent="0.25">
      <c r="A213" s="205"/>
      <c r="B213" s="9"/>
      <c r="C213" s="9"/>
      <c r="D213" s="9"/>
      <c r="E213" s="9"/>
      <c r="F213" s="250"/>
      <c r="G213" s="250"/>
      <c r="H213" s="250"/>
      <c r="I213" s="250"/>
      <c r="J213" s="9"/>
      <c r="K213" s="250"/>
      <c r="L213" s="250"/>
      <c r="M213" s="250"/>
      <c r="N213" s="250"/>
      <c r="O213" s="9"/>
      <c r="P213" s="250"/>
      <c r="Q213" s="250"/>
      <c r="R213" s="250"/>
      <c r="S213" s="250"/>
      <c r="T213" s="9"/>
      <c r="U213" s="250"/>
      <c r="V213" s="251"/>
      <c r="W213" s="251"/>
      <c r="X213" s="251"/>
      <c r="Y213" s="9"/>
      <c r="Z213" s="251"/>
      <c r="AA213" s="251"/>
      <c r="AB213" s="251"/>
      <c r="AC213" s="251"/>
      <c r="AD213" s="9"/>
      <c r="AE213" s="9"/>
      <c r="AF213" s="9"/>
      <c r="AG213" s="9"/>
      <c r="AH213" s="9"/>
      <c r="AI213" s="9"/>
      <c r="AJ213" s="9"/>
      <c r="AK213" s="9"/>
    </row>
    <row r="214" spans="1:37" ht="13.5" customHeight="1" x14ac:dyDescent="0.25">
      <c r="A214" s="205"/>
      <c r="B214" s="9"/>
      <c r="C214" s="9" t="s">
        <v>362</v>
      </c>
      <c r="D214" s="9"/>
      <c r="E214" s="9"/>
      <c r="F214" s="345"/>
      <c r="G214" s="332">
        <f t="shared" ref="G214:I214" si="495">4*-G208/AVERAGE(F210:G210)</f>
        <v>0</v>
      </c>
      <c r="H214" s="332">
        <f t="shared" si="495"/>
        <v>0</v>
      </c>
      <c r="I214" s="332">
        <f t="shared" si="495"/>
        <v>0</v>
      </c>
      <c r="J214" s="333">
        <f>J208/AVERAGE(F206,I210)</f>
        <v>0</v>
      </c>
      <c r="K214" s="332">
        <f t="shared" ref="K214:N214" si="496">4*-K208/AVERAGE(J210:K210)</f>
        <v>0</v>
      </c>
      <c r="L214" s="332">
        <f t="shared" si="496"/>
        <v>0</v>
      </c>
      <c r="M214" s="332">
        <f t="shared" si="496"/>
        <v>0</v>
      </c>
      <c r="N214" s="332">
        <f t="shared" si="496"/>
        <v>0</v>
      </c>
      <c r="O214" s="333">
        <f>O208/AVERAGE(K206,N210)</f>
        <v>0</v>
      </c>
      <c r="P214" s="332">
        <f t="shared" ref="P214:U214" si="497">4*-P208/AVERAGE(O210:P210)</f>
        <v>0</v>
      </c>
      <c r="Q214" s="332">
        <f t="shared" si="497"/>
        <v>0</v>
      </c>
      <c r="R214" s="332">
        <f t="shared" si="497"/>
        <v>0</v>
      </c>
      <c r="S214" s="332">
        <f t="shared" si="497"/>
        <v>0</v>
      </c>
      <c r="T214" s="333">
        <f>T208/AVERAGE(P206,S210)</f>
        <v>0</v>
      </c>
      <c r="U214" s="332">
        <f t="shared" si="497"/>
        <v>0</v>
      </c>
      <c r="V214" s="357">
        <f>Drivers!V87</f>
        <v>0</v>
      </c>
      <c r="W214" s="357">
        <f>Drivers!W87</f>
        <v>0</v>
      </c>
      <c r="X214" s="357">
        <f>Drivers!X87</f>
        <v>0</v>
      </c>
      <c r="Y214" s="333">
        <f>Y208/AVERAGE(U206,X210)</f>
        <v>0</v>
      </c>
      <c r="Z214" s="357">
        <f>Drivers!Z87</f>
        <v>0</v>
      </c>
      <c r="AA214" s="357">
        <f>Drivers!AA87</f>
        <v>0</v>
      </c>
      <c r="AB214" s="357">
        <f>Drivers!AB87</f>
        <v>0</v>
      </c>
      <c r="AC214" s="357">
        <f>Drivers!AC87</f>
        <v>0</v>
      </c>
      <c r="AD214" s="333">
        <f>AD208/AVERAGE(Z206,AC210)</f>
        <v>0</v>
      </c>
      <c r="AE214" s="358">
        <f>Drivers!AE87</f>
        <v>0</v>
      </c>
      <c r="AF214" s="358">
        <f>Drivers!AF87</f>
        <v>0</v>
      </c>
      <c r="AG214" s="358">
        <f>Drivers!AG87</f>
        <v>0</v>
      </c>
      <c r="AH214" s="9"/>
      <c r="AI214" s="9"/>
      <c r="AJ214" s="9"/>
      <c r="AK214" s="9"/>
    </row>
    <row r="215" spans="1:37" ht="13.5" customHeight="1" x14ac:dyDescent="0.25">
      <c r="A215" s="205"/>
      <c r="B215" s="9"/>
      <c r="C215" s="9"/>
      <c r="D215" s="9"/>
      <c r="E215" s="9"/>
      <c r="F215" s="250"/>
      <c r="G215" s="250"/>
      <c r="H215" s="250"/>
      <c r="I215" s="250"/>
      <c r="J215" s="9"/>
      <c r="K215" s="250"/>
      <c r="L215" s="250"/>
      <c r="M215" s="250"/>
      <c r="N215" s="250"/>
      <c r="O215" s="9"/>
      <c r="P215" s="250"/>
      <c r="Q215" s="250"/>
      <c r="R215" s="250"/>
      <c r="S215" s="250"/>
      <c r="T215" s="9"/>
      <c r="U215" s="250"/>
      <c r="V215" s="251"/>
      <c r="W215" s="251"/>
      <c r="X215" s="251"/>
      <c r="Y215" s="9"/>
      <c r="Z215" s="251"/>
      <c r="AA215" s="251"/>
      <c r="AB215" s="251"/>
      <c r="AC215" s="251"/>
      <c r="AD215" s="9"/>
      <c r="AE215" s="9"/>
      <c r="AF215" s="9"/>
      <c r="AG215" s="9"/>
      <c r="AH215" s="9"/>
      <c r="AI215" s="9"/>
      <c r="AJ215" s="9"/>
      <c r="AK215" s="9"/>
    </row>
    <row r="216" spans="1:37" ht="13.5" customHeight="1" x14ac:dyDescent="0.25">
      <c r="A216" s="205" t="s">
        <v>0</v>
      </c>
      <c r="B216" s="37"/>
      <c r="C216" s="50" t="s">
        <v>363</v>
      </c>
      <c r="D216" s="12"/>
      <c r="E216" s="12"/>
      <c r="F216" s="248" t="str">
        <f>F$25</f>
        <v>1Q23</v>
      </c>
      <c r="G216" s="51" t="str">
        <f t="shared" ref="G216:AG216" si="498">G$63</f>
        <v>2Q23</v>
      </c>
      <c r="H216" s="51" t="str">
        <f t="shared" si="498"/>
        <v>3Q23</v>
      </c>
      <c r="I216" s="51" t="str">
        <f t="shared" si="498"/>
        <v>4Q23</v>
      </c>
      <c r="J216" s="51">
        <f t="shared" si="498"/>
        <v>2023</v>
      </c>
      <c r="K216" s="51" t="str">
        <f t="shared" si="498"/>
        <v>1Q24</v>
      </c>
      <c r="L216" s="51" t="str">
        <f t="shared" si="498"/>
        <v>2Q24</v>
      </c>
      <c r="M216" s="51" t="str">
        <f t="shared" si="498"/>
        <v>3Q24</v>
      </c>
      <c r="N216" s="51" t="str">
        <f t="shared" si="498"/>
        <v>4Q24</v>
      </c>
      <c r="O216" s="51">
        <f t="shared" si="498"/>
        <v>2024</v>
      </c>
      <c r="P216" s="51" t="str">
        <f t="shared" si="498"/>
        <v>1Q25</v>
      </c>
      <c r="Q216" s="51" t="str">
        <f t="shared" si="498"/>
        <v>2Q25</v>
      </c>
      <c r="R216" s="51" t="str">
        <f t="shared" si="498"/>
        <v>3Q25</v>
      </c>
      <c r="S216" s="51" t="str">
        <f t="shared" si="498"/>
        <v>4Q25</v>
      </c>
      <c r="T216" s="51">
        <f t="shared" si="498"/>
        <v>2025</v>
      </c>
      <c r="U216" s="51" t="str">
        <f t="shared" si="498"/>
        <v>1Q26</v>
      </c>
      <c r="V216" s="51" t="str">
        <f t="shared" si="498"/>
        <v>2Q26e</v>
      </c>
      <c r="W216" s="51" t="str">
        <f t="shared" si="498"/>
        <v>3Q26e</v>
      </c>
      <c r="X216" s="51" t="str">
        <f t="shared" si="498"/>
        <v>4Q26e</v>
      </c>
      <c r="Y216" s="51" t="str">
        <f t="shared" si="498"/>
        <v>2026e</v>
      </c>
      <c r="Z216" s="51" t="str">
        <f t="shared" si="498"/>
        <v>1Q27e</v>
      </c>
      <c r="AA216" s="51" t="str">
        <f t="shared" si="498"/>
        <v>2Q27e</v>
      </c>
      <c r="AB216" s="51" t="str">
        <f t="shared" si="498"/>
        <v>3Q27e</v>
      </c>
      <c r="AC216" s="51" t="str">
        <f t="shared" si="498"/>
        <v>4Q27e</v>
      </c>
      <c r="AD216" s="51" t="str">
        <f t="shared" si="498"/>
        <v>2027e</v>
      </c>
      <c r="AE216" s="51" t="str">
        <f t="shared" si="498"/>
        <v>2028e</v>
      </c>
      <c r="AF216" s="51" t="str">
        <f t="shared" si="498"/>
        <v>2029e</v>
      </c>
      <c r="AG216" s="52" t="str">
        <f t="shared" si="498"/>
        <v>2030e</v>
      </c>
      <c r="AH216" s="205" t="s">
        <v>0</v>
      </c>
      <c r="AI216" s="9"/>
      <c r="AJ216" s="9"/>
      <c r="AK216" s="9"/>
    </row>
    <row r="217" spans="1:37" ht="13.5" customHeight="1" x14ac:dyDescent="0.25">
      <c r="A217" s="205"/>
      <c r="B217" s="9"/>
      <c r="C217" s="9"/>
      <c r="D217" s="9"/>
      <c r="E217" s="9"/>
      <c r="F217" s="250"/>
      <c r="G217" s="250"/>
      <c r="H217" s="250"/>
      <c r="I217" s="250"/>
      <c r="J217" s="9"/>
      <c r="K217" s="250"/>
      <c r="L217" s="250"/>
      <c r="M217" s="250"/>
      <c r="N217" s="250"/>
      <c r="O217" s="9"/>
      <c r="P217" s="250"/>
      <c r="Q217" s="250"/>
      <c r="R217" s="250"/>
      <c r="S217" s="250"/>
      <c r="T217" s="9"/>
      <c r="U217" s="250"/>
      <c r="V217" s="251"/>
      <c r="W217" s="251"/>
      <c r="X217" s="251"/>
      <c r="Y217" s="9"/>
      <c r="Z217" s="251"/>
      <c r="AA217" s="251"/>
      <c r="AB217" s="251"/>
      <c r="AC217" s="251"/>
      <c r="AD217" s="9"/>
      <c r="AE217" s="9"/>
      <c r="AF217" s="9"/>
      <c r="AG217" s="9"/>
      <c r="AH217" s="9"/>
      <c r="AI217" s="9"/>
      <c r="AJ217" s="9"/>
      <c r="AK217" s="9"/>
    </row>
    <row r="218" spans="1:37" ht="13.5" customHeight="1" x14ac:dyDescent="0.25">
      <c r="A218" s="205"/>
      <c r="B218" s="9"/>
      <c r="C218" s="103" t="s">
        <v>317</v>
      </c>
      <c r="D218" s="9"/>
      <c r="E218" s="9"/>
      <c r="F218" s="288">
        <f t="shared" ref="F218:T218" si="499">F128</f>
        <v>3964</v>
      </c>
      <c r="G218" s="288">
        <f t="shared" si="499"/>
        <v>4087</v>
      </c>
      <c r="H218" s="288">
        <f t="shared" si="499"/>
        <v>3160</v>
      </c>
      <c r="I218" s="288">
        <f t="shared" si="499"/>
        <v>2186</v>
      </c>
      <c r="J218" s="222">
        <f t="shared" si="499"/>
        <v>2186</v>
      </c>
      <c r="K218" s="288">
        <f t="shared" si="499"/>
        <v>2232</v>
      </c>
      <c r="L218" s="288">
        <f t="shared" si="499"/>
        <v>1210</v>
      </c>
      <c r="M218" s="288">
        <f t="shared" si="499"/>
        <v>1268</v>
      </c>
      <c r="N218" s="288">
        <f t="shared" si="499"/>
        <v>1240</v>
      </c>
      <c r="O218" s="222">
        <f t="shared" si="499"/>
        <v>1240</v>
      </c>
      <c r="P218" s="288">
        <f t="shared" si="499"/>
        <v>1110</v>
      </c>
      <c r="Q218" s="288">
        <f t="shared" si="499"/>
        <v>1258</v>
      </c>
      <c r="R218" s="288">
        <f t="shared" si="499"/>
        <v>1374</v>
      </c>
      <c r="S218" s="288">
        <f t="shared" si="499"/>
        <v>1043</v>
      </c>
      <c r="T218" s="222">
        <f t="shared" si="499"/>
        <v>1043</v>
      </c>
      <c r="U218" s="288">
        <f t="shared" ref="U218" si="500">U128</f>
        <v>2625</v>
      </c>
      <c r="V218" s="221">
        <f>Drivers!V67+U218</f>
        <v>2625</v>
      </c>
      <c r="W218" s="221">
        <f>Drivers!W67+V218</f>
        <v>2625</v>
      </c>
      <c r="X218" s="221">
        <f>Drivers!X67+W218</f>
        <v>2625</v>
      </c>
      <c r="Y218" s="222">
        <f t="shared" ref="Y218:Y219" si="501">X218</f>
        <v>2625</v>
      </c>
      <c r="Z218" s="221">
        <f>Drivers!Z67+Y218</f>
        <v>2625</v>
      </c>
      <c r="AA218" s="221">
        <f>Drivers!AA67+Z218</f>
        <v>2625</v>
      </c>
      <c r="AB218" s="221">
        <f>Drivers!AB67+AA218</f>
        <v>2625</v>
      </c>
      <c r="AC218" s="221">
        <f>Drivers!AC67+AB218</f>
        <v>2625</v>
      </c>
      <c r="AD218" s="222">
        <f t="shared" ref="AD218:AD219" si="502">AC218</f>
        <v>2625</v>
      </c>
      <c r="AE218" s="222">
        <f>Drivers!AE67+AD218</f>
        <v>2625</v>
      </c>
      <c r="AF218" s="222">
        <f>Drivers!AF67+AE218</f>
        <v>2625</v>
      </c>
      <c r="AG218" s="222">
        <f>Drivers!AG67+AF218</f>
        <v>2625</v>
      </c>
      <c r="AH218" s="9"/>
      <c r="AI218" s="9"/>
      <c r="AJ218" s="9"/>
      <c r="AK218" s="9"/>
    </row>
    <row r="219" spans="1:37" ht="13.5" customHeight="1" x14ac:dyDescent="0.25">
      <c r="A219" s="205"/>
      <c r="B219" s="9"/>
      <c r="C219" s="103" t="s">
        <v>318</v>
      </c>
      <c r="D219" s="9"/>
      <c r="E219" s="9"/>
      <c r="F219" s="307">
        <f t="shared" ref="F219:T219" si="503">F129</f>
        <v>23570</v>
      </c>
      <c r="G219" s="307">
        <f t="shared" si="503"/>
        <v>24459</v>
      </c>
      <c r="H219" s="307">
        <f t="shared" si="503"/>
        <v>26487</v>
      </c>
      <c r="I219" s="307">
        <f t="shared" si="503"/>
        <v>26074</v>
      </c>
      <c r="J219" s="290">
        <f t="shared" si="503"/>
        <v>26074</v>
      </c>
      <c r="K219" s="307">
        <f t="shared" si="503"/>
        <v>26706</v>
      </c>
      <c r="L219" s="307">
        <f t="shared" si="503"/>
        <v>27852</v>
      </c>
      <c r="M219" s="307">
        <f t="shared" si="503"/>
        <v>28639</v>
      </c>
      <c r="N219" s="307">
        <f t="shared" si="503"/>
        <v>30217</v>
      </c>
      <c r="O219" s="290">
        <f t="shared" si="503"/>
        <v>30217</v>
      </c>
      <c r="P219" s="307">
        <f t="shared" si="503"/>
        <v>30501</v>
      </c>
      <c r="Q219" s="307">
        <f t="shared" si="503"/>
        <v>32381</v>
      </c>
      <c r="R219" s="307">
        <f t="shared" si="503"/>
        <v>33416</v>
      </c>
      <c r="S219" s="307">
        <f t="shared" si="503"/>
        <v>34868</v>
      </c>
      <c r="T219" s="290">
        <f t="shared" si="503"/>
        <v>34868</v>
      </c>
      <c r="U219" s="307">
        <f t="shared" ref="U219" si="504">U129</f>
        <v>35548</v>
      </c>
      <c r="V219" s="291">
        <f t="shared" ref="V219" si="505">U219*(1+V232)</f>
        <v>37041.016000000003</v>
      </c>
      <c r="W219" s="291">
        <f t="shared" ref="W219" si="506">V219*(1+W232)</f>
        <v>38226.328512000007</v>
      </c>
      <c r="X219" s="291">
        <f t="shared" ref="X219" si="507">W219*(1+X232)</f>
        <v>39564.250009920004</v>
      </c>
      <c r="Y219" s="290">
        <f t="shared" si="501"/>
        <v>39564.250009920004</v>
      </c>
      <c r="Z219" s="291">
        <f t="shared" ref="Z219:AC219" si="508">Y219*(1+Z232)</f>
        <v>41265.512760346559</v>
      </c>
      <c r="AA219" s="291">
        <f t="shared" si="508"/>
        <v>42668.540194198344</v>
      </c>
      <c r="AB219" s="291">
        <f t="shared" si="508"/>
        <v>43991.264940218491</v>
      </c>
      <c r="AC219" s="291">
        <f t="shared" si="508"/>
        <v>45574.950478066356</v>
      </c>
      <c r="AD219" s="290">
        <f t="shared" si="502"/>
        <v>45574.950478066356</v>
      </c>
      <c r="AE219" s="290">
        <f t="shared" ref="AE219:AG219" si="509">AD219*(1+AE232)</f>
        <v>52183.31829738598</v>
      </c>
      <c r="AF219" s="290">
        <f t="shared" si="509"/>
        <v>59488.982859020027</v>
      </c>
      <c r="AG219" s="290">
        <f t="shared" si="509"/>
        <v>67519.995544987731</v>
      </c>
      <c r="AH219" s="9"/>
      <c r="AI219" s="9"/>
      <c r="AJ219" s="9"/>
      <c r="AK219" s="9"/>
    </row>
    <row r="220" spans="1:37" ht="13.5" customHeight="1" x14ac:dyDescent="0.25">
      <c r="A220" s="205"/>
      <c r="B220" s="9"/>
      <c r="C220" s="9" t="s">
        <v>364</v>
      </c>
      <c r="D220" s="9"/>
      <c r="E220" s="9"/>
      <c r="F220" s="288">
        <f t="shared" ref="F220:AG220" si="510">SUM(F218:F219)</f>
        <v>27534</v>
      </c>
      <c r="G220" s="288">
        <f t="shared" si="510"/>
        <v>28546</v>
      </c>
      <c r="H220" s="288">
        <f t="shared" si="510"/>
        <v>29647</v>
      </c>
      <c r="I220" s="288">
        <f t="shared" si="510"/>
        <v>28260</v>
      </c>
      <c r="J220" s="222">
        <f t="shared" si="510"/>
        <v>28260</v>
      </c>
      <c r="K220" s="288">
        <f t="shared" si="510"/>
        <v>28938</v>
      </c>
      <c r="L220" s="288">
        <f t="shared" si="510"/>
        <v>29062</v>
      </c>
      <c r="M220" s="288">
        <f t="shared" si="510"/>
        <v>29907</v>
      </c>
      <c r="N220" s="288">
        <f t="shared" si="510"/>
        <v>31457</v>
      </c>
      <c r="O220" s="222">
        <f t="shared" si="510"/>
        <v>31457</v>
      </c>
      <c r="P220" s="288">
        <f t="shared" si="510"/>
        <v>31611</v>
      </c>
      <c r="Q220" s="288">
        <f t="shared" si="510"/>
        <v>33639</v>
      </c>
      <c r="R220" s="288">
        <f t="shared" si="510"/>
        <v>34790</v>
      </c>
      <c r="S220" s="288">
        <f t="shared" si="510"/>
        <v>35911</v>
      </c>
      <c r="T220" s="222">
        <f t="shared" si="510"/>
        <v>35911</v>
      </c>
      <c r="U220" s="288">
        <f t="shared" ref="U220" si="511">SUM(U218:U219)</f>
        <v>38173</v>
      </c>
      <c r="V220" s="221">
        <f t="shared" ref="V220:X220" si="512">SUM(V218:V219)</f>
        <v>39666.016000000003</v>
      </c>
      <c r="W220" s="221">
        <f t="shared" si="512"/>
        <v>40851.328512000007</v>
      </c>
      <c r="X220" s="221">
        <f t="shared" si="512"/>
        <v>42189.250009920004</v>
      </c>
      <c r="Y220" s="222">
        <f t="shared" si="510"/>
        <v>42189.250009920004</v>
      </c>
      <c r="Z220" s="221">
        <f t="shared" si="510"/>
        <v>43890.512760346559</v>
      </c>
      <c r="AA220" s="221">
        <f t="shared" si="510"/>
        <v>45293.540194198344</v>
      </c>
      <c r="AB220" s="221">
        <f t="shared" si="510"/>
        <v>46616.264940218491</v>
      </c>
      <c r="AC220" s="221">
        <f t="shared" si="510"/>
        <v>48199.950478066356</v>
      </c>
      <c r="AD220" s="222">
        <f t="shared" si="510"/>
        <v>48199.950478066356</v>
      </c>
      <c r="AE220" s="222">
        <f t="shared" si="510"/>
        <v>54808.31829738598</v>
      </c>
      <c r="AF220" s="222">
        <f t="shared" si="510"/>
        <v>62113.982859020027</v>
      </c>
      <c r="AG220" s="222">
        <f t="shared" si="510"/>
        <v>70144.995544987731</v>
      </c>
      <c r="AH220" s="9"/>
      <c r="AI220" s="9"/>
      <c r="AJ220" s="9"/>
      <c r="AK220" s="9"/>
    </row>
    <row r="221" spans="1:37" ht="13.5" customHeight="1" x14ac:dyDescent="0.25">
      <c r="A221" s="242"/>
      <c r="B221" s="243"/>
      <c r="C221" s="84" t="s">
        <v>365</v>
      </c>
      <c r="D221" s="243"/>
      <c r="E221" s="243"/>
      <c r="F221" s="359"/>
      <c r="G221" s="360">
        <f t="shared" ref="G221:I221" si="513">G220-F220</f>
        <v>1012</v>
      </c>
      <c r="H221" s="360">
        <f t="shared" si="513"/>
        <v>1101</v>
      </c>
      <c r="I221" s="360">
        <f t="shared" si="513"/>
        <v>-1387</v>
      </c>
      <c r="J221" s="361"/>
      <c r="K221" s="360">
        <f t="shared" ref="K221:N221" si="514">K220-J220</f>
        <v>678</v>
      </c>
      <c r="L221" s="360">
        <f t="shared" si="514"/>
        <v>124</v>
      </c>
      <c r="M221" s="360">
        <f t="shared" si="514"/>
        <v>845</v>
      </c>
      <c r="N221" s="360">
        <f t="shared" si="514"/>
        <v>1550</v>
      </c>
      <c r="O221" s="361">
        <f>O220-J220</f>
        <v>3197</v>
      </c>
      <c r="P221" s="360">
        <f t="shared" ref="P221:U221" si="515">P220-O220</f>
        <v>154</v>
      </c>
      <c r="Q221" s="360">
        <f t="shared" si="515"/>
        <v>2028</v>
      </c>
      <c r="R221" s="360">
        <f t="shared" si="515"/>
        <v>1151</v>
      </c>
      <c r="S221" s="360">
        <f t="shared" si="515"/>
        <v>1121</v>
      </c>
      <c r="T221" s="361">
        <f>T220-O220</f>
        <v>4454</v>
      </c>
      <c r="U221" s="360">
        <f t="shared" si="515"/>
        <v>2262</v>
      </c>
      <c r="V221" s="362">
        <f t="shared" ref="V221" si="516">V220-U220</f>
        <v>1493.0160000000033</v>
      </c>
      <c r="W221" s="362">
        <f t="shared" ref="W221" si="517">W220-V220</f>
        <v>1185.3125120000041</v>
      </c>
      <c r="X221" s="362">
        <f t="shared" ref="X221" si="518">X220-W220</f>
        <v>1337.9214979199969</v>
      </c>
      <c r="Y221" s="361">
        <f>Y220-T220</f>
        <v>6278.2500099200042</v>
      </c>
      <c r="Z221" s="362">
        <f t="shared" ref="Z221:AC221" si="519">Z220-Y220</f>
        <v>1701.2627504265547</v>
      </c>
      <c r="AA221" s="362">
        <f t="shared" si="519"/>
        <v>1403.0274338517847</v>
      </c>
      <c r="AB221" s="362">
        <f t="shared" si="519"/>
        <v>1322.724746020147</v>
      </c>
      <c r="AC221" s="362">
        <f t="shared" si="519"/>
        <v>1583.6855378478649</v>
      </c>
      <c r="AD221" s="361">
        <f>AD220-Y220</f>
        <v>6010.7004681463513</v>
      </c>
      <c r="AE221" s="361">
        <f t="shared" ref="AE221:AG221" si="520">AE220-AD220</f>
        <v>6608.3678193196247</v>
      </c>
      <c r="AF221" s="361">
        <f t="shared" si="520"/>
        <v>7305.6645616340465</v>
      </c>
      <c r="AG221" s="361">
        <f t="shared" si="520"/>
        <v>8031.0126859677039</v>
      </c>
      <c r="AH221" s="243"/>
      <c r="AI221" s="243"/>
      <c r="AJ221" s="243"/>
      <c r="AK221" s="243"/>
    </row>
    <row r="222" spans="1:37" ht="13.5" customHeight="1" x14ac:dyDescent="0.25">
      <c r="A222" s="205"/>
      <c r="B222" s="9"/>
      <c r="C222" s="9"/>
      <c r="D222" s="9"/>
      <c r="E222" s="9"/>
      <c r="F222" s="250"/>
      <c r="G222" s="250"/>
      <c r="H222" s="250"/>
      <c r="I222" s="250"/>
      <c r="J222" s="9"/>
      <c r="K222" s="250"/>
      <c r="L222" s="250"/>
      <c r="M222" s="250"/>
      <c r="N222" s="250"/>
      <c r="O222" s="9"/>
      <c r="P222" s="250"/>
      <c r="Q222" s="250"/>
      <c r="R222" s="250"/>
      <c r="S222" s="250"/>
      <c r="T222" s="9"/>
      <c r="U222" s="250"/>
      <c r="V222" s="251"/>
      <c r="W222" s="251"/>
      <c r="X222" s="251"/>
      <c r="Y222" s="9"/>
      <c r="Z222" s="251"/>
      <c r="AA222" s="251"/>
      <c r="AB222" s="251"/>
      <c r="AC222" s="251"/>
      <c r="AD222" s="9"/>
      <c r="AE222" s="9"/>
      <c r="AF222" s="9"/>
      <c r="AG222" s="9"/>
      <c r="AH222" s="9"/>
      <c r="AI222" s="9"/>
      <c r="AJ222" s="9"/>
      <c r="AK222" s="9"/>
    </row>
    <row r="223" spans="1:37" ht="13.5" customHeight="1" x14ac:dyDescent="0.25">
      <c r="A223" s="205"/>
      <c r="B223" s="9"/>
      <c r="C223" s="103" t="s">
        <v>366</v>
      </c>
      <c r="D223" s="9"/>
      <c r="E223" s="9"/>
      <c r="F223" s="288">
        <f t="shared" ref="F223:T223" si="521">F141</f>
        <v>0</v>
      </c>
      <c r="G223" s="288">
        <f t="shared" si="521"/>
        <v>0</v>
      </c>
      <c r="H223" s="288">
        <f t="shared" si="521"/>
        <v>0</v>
      </c>
      <c r="I223" s="288">
        <f t="shared" si="521"/>
        <v>0</v>
      </c>
      <c r="J223" s="222">
        <f t="shared" si="521"/>
        <v>0</v>
      </c>
      <c r="K223" s="288">
        <f t="shared" si="521"/>
        <v>0</v>
      </c>
      <c r="L223" s="288">
        <f t="shared" si="521"/>
        <v>0</v>
      </c>
      <c r="M223" s="288">
        <f t="shared" si="521"/>
        <v>0</v>
      </c>
      <c r="N223" s="288">
        <f t="shared" si="521"/>
        <v>0</v>
      </c>
      <c r="O223" s="222">
        <f t="shared" si="521"/>
        <v>0</v>
      </c>
      <c r="P223" s="288">
        <f t="shared" si="521"/>
        <v>0</v>
      </c>
      <c r="Q223" s="288">
        <f t="shared" si="521"/>
        <v>0</v>
      </c>
      <c r="R223" s="288">
        <f t="shared" si="521"/>
        <v>0</v>
      </c>
      <c r="S223" s="288">
        <f t="shared" si="521"/>
        <v>0</v>
      </c>
      <c r="T223" s="222">
        <f t="shared" si="521"/>
        <v>0</v>
      </c>
      <c r="U223" s="288">
        <f t="shared" ref="U223" si="522">U141</f>
        <v>0</v>
      </c>
      <c r="V223" s="221">
        <f t="shared" ref="V223:V224" si="523">U223</f>
        <v>0</v>
      </c>
      <c r="W223" s="221">
        <f t="shared" ref="W223:W224" si="524">V223</f>
        <v>0</v>
      </c>
      <c r="X223" s="221">
        <f t="shared" ref="X223:X224" si="525">W223</f>
        <v>0</v>
      </c>
      <c r="Y223" s="222">
        <f t="shared" ref="Y223:AG223" si="526">X223</f>
        <v>0</v>
      </c>
      <c r="Z223" s="221">
        <f t="shared" si="526"/>
        <v>0</v>
      </c>
      <c r="AA223" s="221">
        <f t="shared" si="526"/>
        <v>0</v>
      </c>
      <c r="AB223" s="221">
        <f t="shared" si="526"/>
        <v>0</v>
      </c>
      <c r="AC223" s="221">
        <f t="shared" si="526"/>
        <v>0</v>
      </c>
      <c r="AD223" s="222">
        <f t="shared" si="526"/>
        <v>0</v>
      </c>
      <c r="AE223" s="222">
        <f t="shared" si="526"/>
        <v>0</v>
      </c>
      <c r="AF223" s="222">
        <f t="shared" si="526"/>
        <v>0</v>
      </c>
      <c r="AG223" s="222">
        <f t="shared" si="526"/>
        <v>0</v>
      </c>
      <c r="AH223" s="9"/>
      <c r="AI223" s="9"/>
      <c r="AJ223" s="9"/>
      <c r="AK223" s="9"/>
    </row>
    <row r="224" spans="1:37" ht="13.5" customHeight="1" x14ac:dyDescent="0.25">
      <c r="A224" s="205"/>
      <c r="B224" s="9"/>
      <c r="C224" s="103" t="s">
        <v>326</v>
      </c>
      <c r="D224" s="9"/>
      <c r="E224" s="9"/>
      <c r="F224" s="307">
        <f t="shared" ref="F224:T224" si="527">F142</f>
        <v>33656</v>
      </c>
      <c r="G224" s="307">
        <f t="shared" si="527"/>
        <v>34778</v>
      </c>
      <c r="H224" s="307">
        <f t="shared" si="527"/>
        <v>37568</v>
      </c>
      <c r="I224" s="307">
        <f t="shared" si="527"/>
        <v>41639</v>
      </c>
      <c r="J224" s="290">
        <f t="shared" si="527"/>
        <v>41639</v>
      </c>
      <c r="K224" s="307">
        <f t="shared" si="527"/>
        <v>42100</v>
      </c>
      <c r="L224" s="307">
        <f t="shared" si="527"/>
        <v>42628</v>
      </c>
      <c r="M224" s="307">
        <f t="shared" si="527"/>
        <v>37669</v>
      </c>
      <c r="N224" s="307">
        <f t="shared" si="527"/>
        <v>36811</v>
      </c>
      <c r="O224" s="290">
        <f t="shared" si="527"/>
        <v>36811</v>
      </c>
      <c r="P224" s="307">
        <f t="shared" si="527"/>
        <v>38287</v>
      </c>
      <c r="Q224" s="307">
        <f t="shared" si="527"/>
        <v>40043</v>
      </c>
      <c r="R224" s="307">
        <f t="shared" si="527"/>
        <v>41309</v>
      </c>
      <c r="S224" s="307">
        <f t="shared" si="527"/>
        <v>41632</v>
      </c>
      <c r="T224" s="290">
        <f t="shared" si="527"/>
        <v>41632</v>
      </c>
      <c r="U224" s="307">
        <f t="shared" ref="U224" si="528">U142</f>
        <v>41874</v>
      </c>
      <c r="V224" s="291">
        <f t="shared" si="523"/>
        <v>41874</v>
      </c>
      <c r="W224" s="291">
        <f t="shared" si="524"/>
        <v>41874</v>
      </c>
      <c r="X224" s="291">
        <f t="shared" si="525"/>
        <v>41874</v>
      </c>
      <c r="Y224" s="290">
        <f t="shared" ref="Y224:AG224" si="529">X224</f>
        <v>41874</v>
      </c>
      <c r="Z224" s="291">
        <f t="shared" si="529"/>
        <v>41874</v>
      </c>
      <c r="AA224" s="291">
        <f t="shared" si="529"/>
        <v>41874</v>
      </c>
      <c r="AB224" s="291">
        <f t="shared" si="529"/>
        <v>41874</v>
      </c>
      <c r="AC224" s="291">
        <f t="shared" si="529"/>
        <v>41874</v>
      </c>
      <c r="AD224" s="290">
        <f t="shared" si="529"/>
        <v>41874</v>
      </c>
      <c r="AE224" s="290">
        <f t="shared" si="529"/>
        <v>41874</v>
      </c>
      <c r="AF224" s="290">
        <f t="shared" si="529"/>
        <v>41874</v>
      </c>
      <c r="AG224" s="290">
        <f t="shared" si="529"/>
        <v>41874</v>
      </c>
      <c r="AH224" s="9"/>
      <c r="AI224" s="9"/>
      <c r="AJ224" s="9"/>
      <c r="AK224" s="9"/>
    </row>
    <row r="225" spans="1:37" ht="13.5" customHeight="1" x14ac:dyDescent="0.25">
      <c r="A225" s="205"/>
      <c r="B225" s="9"/>
      <c r="C225" s="9" t="s">
        <v>367</v>
      </c>
      <c r="D225" s="9"/>
      <c r="E225" s="9"/>
      <c r="F225" s="288">
        <f t="shared" ref="F225:AG225" si="530">SUM(F223:F224)</f>
        <v>33656</v>
      </c>
      <c r="G225" s="288">
        <f t="shared" si="530"/>
        <v>34778</v>
      </c>
      <c r="H225" s="288">
        <f t="shared" si="530"/>
        <v>37568</v>
      </c>
      <c r="I225" s="288">
        <f t="shared" si="530"/>
        <v>41639</v>
      </c>
      <c r="J225" s="222">
        <f t="shared" si="530"/>
        <v>41639</v>
      </c>
      <c r="K225" s="288">
        <f t="shared" si="530"/>
        <v>42100</v>
      </c>
      <c r="L225" s="288">
        <f t="shared" si="530"/>
        <v>42628</v>
      </c>
      <c r="M225" s="288">
        <f t="shared" si="530"/>
        <v>37669</v>
      </c>
      <c r="N225" s="288">
        <f t="shared" si="530"/>
        <v>36811</v>
      </c>
      <c r="O225" s="222">
        <f t="shared" si="530"/>
        <v>36811</v>
      </c>
      <c r="P225" s="288">
        <f t="shared" si="530"/>
        <v>38287</v>
      </c>
      <c r="Q225" s="288">
        <f t="shared" si="530"/>
        <v>40043</v>
      </c>
      <c r="R225" s="288">
        <f t="shared" si="530"/>
        <v>41309</v>
      </c>
      <c r="S225" s="288">
        <f t="shared" si="530"/>
        <v>41632</v>
      </c>
      <c r="T225" s="222">
        <f t="shared" si="530"/>
        <v>41632</v>
      </c>
      <c r="U225" s="288">
        <f t="shared" ref="U225" si="531">SUM(U223:U224)</f>
        <v>41874</v>
      </c>
      <c r="V225" s="221">
        <f t="shared" ref="V225:X225" si="532">SUM(V223:V224)</f>
        <v>41874</v>
      </c>
      <c r="W225" s="221">
        <f t="shared" si="532"/>
        <v>41874</v>
      </c>
      <c r="X225" s="221">
        <f t="shared" si="532"/>
        <v>41874</v>
      </c>
      <c r="Y225" s="222">
        <f t="shared" si="530"/>
        <v>41874</v>
      </c>
      <c r="Z225" s="221">
        <f t="shared" si="530"/>
        <v>41874</v>
      </c>
      <c r="AA225" s="221">
        <f t="shared" si="530"/>
        <v>41874</v>
      </c>
      <c r="AB225" s="221">
        <f t="shared" si="530"/>
        <v>41874</v>
      </c>
      <c r="AC225" s="221">
        <f t="shared" si="530"/>
        <v>41874</v>
      </c>
      <c r="AD225" s="222">
        <f t="shared" si="530"/>
        <v>41874</v>
      </c>
      <c r="AE225" s="222">
        <f t="shared" si="530"/>
        <v>41874</v>
      </c>
      <c r="AF225" s="222">
        <f t="shared" si="530"/>
        <v>41874</v>
      </c>
      <c r="AG225" s="222">
        <f t="shared" si="530"/>
        <v>41874</v>
      </c>
      <c r="AH225" s="9"/>
      <c r="AI225" s="9"/>
      <c r="AJ225" s="9"/>
      <c r="AK225" s="9"/>
    </row>
    <row r="226" spans="1:37" ht="13.5" customHeight="1" x14ac:dyDescent="0.25">
      <c r="A226" s="242"/>
      <c r="B226" s="243"/>
      <c r="C226" s="84" t="s">
        <v>368</v>
      </c>
      <c r="D226" s="243"/>
      <c r="E226" s="243"/>
      <c r="F226" s="359"/>
      <c r="G226" s="360">
        <f t="shared" ref="G226:I226" si="533">G225-F225</f>
        <v>1122</v>
      </c>
      <c r="H226" s="360">
        <f t="shared" si="533"/>
        <v>2790</v>
      </c>
      <c r="I226" s="360">
        <f t="shared" si="533"/>
        <v>4071</v>
      </c>
      <c r="J226" s="361"/>
      <c r="K226" s="360">
        <f t="shared" ref="K226:N226" si="534">K225-J225</f>
        <v>461</v>
      </c>
      <c r="L226" s="360">
        <f t="shared" si="534"/>
        <v>528</v>
      </c>
      <c r="M226" s="360">
        <f t="shared" si="534"/>
        <v>-4959</v>
      </c>
      <c r="N226" s="360">
        <f t="shared" si="534"/>
        <v>-858</v>
      </c>
      <c r="O226" s="361">
        <f>O225-J225</f>
        <v>-4828</v>
      </c>
      <c r="P226" s="360">
        <f t="shared" ref="P226:U226" si="535">P225-O225</f>
        <v>1476</v>
      </c>
      <c r="Q226" s="360">
        <f t="shared" si="535"/>
        <v>1756</v>
      </c>
      <c r="R226" s="360">
        <f t="shared" si="535"/>
        <v>1266</v>
      </c>
      <c r="S226" s="360">
        <f t="shared" si="535"/>
        <v>323</v>
      </c>
      <c r="T226" s="361">
        <f>T225-O225</f>
        <v>4821</v>
      </c>
      <c r="U226" s="360">
        <f t="shared" si="535"/>
        <v>242</v>
      </c>
      <c r="V226" s="362">
        <f t="shared" ref="V226" si="536">V225-U225</f>
        <v>0</v>
      </c>
      <c r="W226" s="362">
        <f t="shared" ref="W226" si="537">W225-V225</f>
        <v>0</v>
      </c>
      <c r="X226" s="362">
        <f t="shared" ref="X226" si="538">X225-W225</f>
        <v>0</v>
      </c>
      <c r="Y226" s="361">
        <f>Y225-T225</f>
        <v>242</v>
      </c>
      <c r="Z226" s="362">
        <f t="shared" ref="Z226:AC226" si="539">Z225-Y225</f>
        <v>0</v>
      </c>
      <c r="AA226" s="362">
        <f t="shared" si="539"/>
        <v>0</v>
      </c>
      <c r="AB226" s="362">
        <f t="shared" si="539"/>
        <v>0</v>
      </c>
      <c r="AC226" s="362">
        <f t="shared" si="539"/>
        <v>0</v>
      </c>
      <c r="AD226" s="361">
        <f>AD225-Y225</f>
        <v>0</v>
      </c>
      <c r="AE226" s="361">
        <f t="shared" ref="AE226:AG226" si="540">AE225-AD225</f>
        <v>0</v>
      </c>
      <c r="AF226" s="361">
        <f t="shared" si="540"/>
        <v>0</v>
      </c>
      <c r="AG226" s="361">
        <f t="shared" si="540"/>
        <v>0</v>
      </c>
      <c r="AH226" s="243"/>
      <c r="AI226" s="243"/>
      <c r="AJ226" s="243"/>
      <c r="AK226" s="243"/>
    </row>
    <row r="227" spans="1:37" ht="13.5" customHeight="1" x14ac:dyDescent="0.25">
      <c r="A227" s="205"/>
      <c r="B227" s="9"/>
      <c r="C227" s="9"/>
      <c r="D227" s="9"/>
      <c r="E227" s="9"/>
      <c r="F227" s="250"/>
      <c r="G227" s="250"/>
      <c r="H227" s="250"/>
      <c r="I227" s="250"/>
      <c r="J227" s="9"/>
      <c r="K227" s="250"/>
      <c r="L227" s="250"/>
      <c r="M227" s="250"/>
      <c r="N227" s="250"/>
      <c r="O227" s="9"/>
      <c r="P227" s="250"/>
      <c r="Q227" s="250"/>
      <c r="R227" s="250"/>
      <c r="S227" s="250"/>
      <c r="T227" s="9"/>
      <c r="U227" s="250"/>
      <c r="V227" s="251"/>
      <c r="W227" s="251"/>
      <c r="X227" s="251"/>
      <c r="Y227" s="9"/>
      <c r="Z227" s="251"/>
      <c r="AA227" s="251"/>
      <c r="AB227" s="251"/>
      <c r="AC227" s="251"/>
      <c r="AD227" s="9"/>
      <c r="AE227" s="9"/>
      <c r="AF227" s="9"/>
      <c r="AG227" s="9"/>
      <c r="AH227" s="9"/>
      <c r="AI227" s="9"/>
      <c r="AJ227" s="9"/>
      <c r="AK227" s="9"/>
    </row>
    <row r="228" spans="1:37" ht="13.5" customHeight="1" x14ac:dyDescent="0.25">
      <c r="A228" s="205"/>
      <c r="B228" s="321"/>
      <c r="C228" s="322" t="s">
        <v>369</v>
      </c>
      <c r="D228" s="70"/>
      <c r="E228" s="70"/>
      <c r="F228" s="323"/>
      <c r="G228" s="323">
        <f t="shared" ref="G228:I228" si="541">G226-G221</f>
        <v>110</v>
      </c>
      <c r="H228" s="323">
        <f t="shared" si="541"/>
        <v>1689</v>
      </c>
      <c r="I228" s="323">
        <f t="shared" si="541"/>
        <v>5458</v>
      </c>
      <c r="J228" s="324"/>
      <c r="K228" s="323">
        <f t="shared" ref="K228:AG228" si="542">K226-K221</f>
        <v>-217</v>
      </c>
      <c r="L228" s="323">
        <f t="shared" si="542"/>
        <v>404</v>
      </c>
      <c r="M228" s="323">
        <f t="shared" si="542"/>
        <v>-5804</v>
      </c>
      <c r="N228" s="323">
        <f t="shared" si="542"/>
        <v>-2408</v>
      </c>
      <c r="O228" s="324">
        <f t="shared" si="542"/>
        <v>-8025</v>
      </c>
      <c r="P228" s="323">
        <f t="shared" si="542"/>
        <v>1322</v>
      </c>
      <c r="Q228" s="323">
        <f t="shared" si="542"/>
        <v>-272</v>
      </c>
      <c r="R228" s="323">
        <f t="shared" si="542"/>
        <v>115</v>
      </c>
      <c r="S228" s="323">
        <f t="shared" si="542"/>
        <v>-798</v>
      </c>
      <c r="T228" s="324">
        <f t="shared" si="542"/>
        <v>367</v>
      </c>
      <c r="U228" s="323">
        <f t="shared" ref="U228" si="543">U226-U221</f>
        <v>-2020</v>
      </c>
      <c r="V228" s="325">
        <f t="shared" ref="V228:X228" si="544">V226-V221</f>
        <v>-1493.0160000000033</v>
      </c>
      <c r="W228" s="325">
        <f t="shared" si="544"/>
        <v>-1185.3125120000041</v>
      </c>
      <c r="X228" s="325">
        <f t="shared" si="544"/>
        <v>-1337.9214979199969</v>
      </c>
      <c r="Y228" s="324">
        <f t="shared" si="542"/>
        <v>-6036.2500099200042</v>
      </c>
      <c r="Z228" s="325">
        <f t="shared" si="542"/>
        <v>-1701.2627504265547</v>
      </c>
      <c r="AA228" s="325">
        <f t="shared" si="542"/>
        <v>-1403.0274338517847</v>
      </c>
      <c r="AB228" s="325">
        <f t="shared" si="542"/>
        <v>-1322.724746020147</v>
      </c>
      <c r="AC228" s="325">
        <f t="shared" si="542"/>
        <v>-1583.6855378478649</v>
      </c>
      <c r="AD228" s="324">
        <f t="shared" si="542"/>
        <v>-6010.7004681463513</v>
      </c>
      <c r="AE228" s="324">
        <f t="shared" si="542"/>
        <v>-6608.3678193196247</v>
      </c>
      <c r="AF228" s="324">
        <f t="shared" si="542"/>
        <v>-7305.6645616340465</v>
      </c>
      <c r="AG228" s="342">
        <f t="shared" si="542"/>
        <v>-8031.0126859677039</v>
      </c>
      <c r="AH228" s="9"/>
      <c r="AI228" s="9"/>
      <c r="AJ228" s="9"/>
      <c r="AK228" s="9"/>
    </row>
    <row r="229" spans="1:37" ht="13.5" customHeight="1" x14ac:dyDescent="0.25">
      <c r="A229" s="205"/>
      <c r="B229" s="9"/>
      <c r="C229" s="9"/>
      <c r="D229" s="9"/>
      <c r="E229" s="9"/>
      <c r="F229" s="250"/>
      <c r="G229" s="250"/>
      <c r="H229" s="250"/>
      <c r="I229" s="250"/>
      <c r="J229" s="9"/>
      <c r="K229" s="250"/>
      <c r="L229" s="250"/>
      <c r="M229" s="250"/>
      <c r="N229" s="250"/>
      <c r="O229" s="9"/>
      <c r="P229" s="250"/>
      <c r="Q229" s="250"/>
      <c r="R229" s="250"/>
      <c r="S229" s="250"/>
      <c r="T229" s="9"/>
      <c r="U229" s="250"/>
      <c r="V229" s="251"/>
      <c r="W229" s="251"/>
      <c r="X229" s="251"/>
      <c r="Y229" s="9"/>
      <c r="Z229" s="251"/>
      <c r="AA229" s="251"/>
      <c r="AB229" s="251"/>
      <c r="AC229" s="251"/>
      <c r="AD229" s="9"/>
      <c r="AE229" s="9"/>
      <c r="AF229" s="9"/>
      <c r="AG229" s="9"/>
      <c r="AH229" s="9"/>
      <c r="AI229" s="9"/>
      <c r="AJ229" s="9"/>
      <c r="AK229" s="9"/>
    </row>
    <row r="230" spans="1:37" ht="13.5" customHeight="1" x14ac:dyDescent="0.25">
      <c r="A230" s="205" t="s">
        <v>0</v>
      </c>
      <c r="B230" s="9"/>
      <c r="C230" s="33" t="s">
        <v>42</v>
      </c>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31"/>
      <c r="AH230" s="205" t="s">
        <v>0</v>
      </c>
      <c r="AI230" s="9"/>
      <c r="AJ230" s="9"/>
      <c r="AK230" s="9"/>
    </row>
    <row r="231" spans="1:37" ht="13.5" customHeight="1" x14ac:dyDescent="0.25">
      <c r="A231" s="205"/>
      <c r="B231" s="9"/>
      <c r="C231" s="9"/>
      <c r="D231" s="9"/>
      <c r="E231" s="9"/>
      <c r="F231" s="250"/>
      <c r="G231" s="250"/>
      <c r="H231" s="250"/>
      <c r="I231" s="250"/>
      <c r="J231" s="9"/>
      <c r="K231" s="250"/>
      <c r="L231" s="250"/>
      <c r="M231" s="250"/>
      <c r="N231" s="250"/>
      <c r="O231" s="9"/>
      <c r="P231" s="250"/>
      <c r="Q231" s="250"/>
      <c r="R231" s="250"/>
      <c r="S231" s="250"/>
      <c r="T231" s="9"/>
      <c r="U231" s="250"/>
      <c r="V231" s="251"/>
      <c r="W231" s="251"/>
      <c r="X231" s="251"/>
      <c r="Y231" s="9"/>
      <c r="Z231" s="251"/>
      <c r="AA231" s="251"/>
      <c r="AB231" s="251"/>
      <c r="AC231" s="251"/>
      <c r="AD231" s="9"/>
      <c r="AE231" s="9"/>
      <c r="AF231" s="9"/>
      <c r="AG231" s="9"/>
      <c r="AH231" s="9"/>
      <c r="AI231" s="9"/>
      <c r="AJ231" s="9"/>
      <c r="AK231" s="9"/>
    </row>
    <row r="232" spans="1:37" ht="13.5" customHeight="1" x14ac:dyDescent="0.25">
      <c r="A232" s="205"/>
      <c r="B232" s="9"/>
      <c r="C232" s="9" t="s">
        <v>370</v>
      </c>
      <c r="D232" s="9"/>
      <c r="E232" s="9"/>
      <c r="F232" s="345"/>
      <c r="G232" s="332">
        <f t="shared" ref="G232:I232" si="545">G219/F219-1</f>
        <v>3.771743742044964E-2</v>
      </c>
      <c r="H232" s="332">
        <f t="shared" si="545"/>
        <v>8.2914264687844907E-2</v>
      </c>
      <c r="I232" s="332">
        <f t="shared" si="545"/>
        <v>-1.5592554838222528E-2</v>
      </c>
      <c r="J232" s="333"/>
      <c r="K232" s="332">
        <f>K219/I219-1</f>
        <v>2.4238705223594392E-2</v>
      </c>
      <c r="L232" s="332">
        <f t="shared" ref="L232:N232" si="546">L219/K219-1</f>
        <v>4.2911705234778719E-2</v>
      </c>
      <c r="M232" s="332">
        <f t="shared" si="546"/>
        <v>2.8256498635645499E-2</v>
      </c>
      <c r="N232" s="332">
        <f t="shared" si="546"/>
        <v>5.5099689234959337E-2</v>
      </c>
      <c r="O232" s="333">
        <f>O219/J219-1</f>
        <v>0.15889391731226499</v>
      </c>
      <c r="P232" s="332">
        <f>P219/N219-1</f>
        <v>9.398682860641383E-3</v>
      </c>
      <c r="Q232" s="332">
        <f t="shared" ref="Q232:S232" si="547">Q219/P219-1</f>
        <v>6.1637323366446894E-2</v>
      </c>
      <c r="R232" s="332">
        <f t="shared" si="547"/>
        <v>3.1963188289428901E-2</v>
      </c>
      <c r="S232" s="332">
        <f t="shared" si="547"/>
        <v>4.3452238448647318E-2</v>
      </c>
      <c r="T232" s="333">
        <f>T219/O219-1</f>
        <v>0.15391997881986952</v>
      </c>
      <c r="U232" s="332">
        <f>U219/S219-1</f>
        <v>1.9502122289778656E-2</v>
      </c>
      <c r="V232" s="357">
        <f>Drivers!V130</f>
        <v>4.2000000000000003E-2</v>
      </c>
      <c r="W232" s="357">
        <f>Drivers!W130</f>
        <v>3.2000000000000001E-2</v>
      </c>
      <c r="X232" s="357">
        <f>Drivers!X130</f>
        <v>3.5000000000000003E-2</v>
      </c>
      <c r="Y232" s="333">
        <f>Y219/T219-1</f>
        <v>0.13468653234828509</v>
      </c>
      <c r="Z232" s="357">
        <f>Drivers!Z130</f>
        <v>4.2999999999999997E-2</v>
      </c>
      <c r="AA232" s="357">
        <f>Drivers!AA130</f>
        <v>3.4000000000000002E-2</v>
      </c>
      <c r="AB232" s="357">
        <f>Drivers!AB130</f>
        <v>3.1E-2</v>
      </c>
      <c r="AC232" s="357">
        <f>Drivers!AC130</f>
        <v>3.5999999999999997E-2</v>
      </c>
      <c r="AD232" s="333">
        <f>AD219/Y219-1</f>
        <v>0.15192251759199982</v>
      </c>
      <c r="AE232" s="358">
        <f>Drivers!AE130</f>
        <v>0.14499999999999999</v>
      </c>
      <c r="AF232" s="358">
        <f>Drivers!AF130</f>
        <v>0.14000000000000001</v>
      </c>
      <c r="AG232" s="358">
        <f>Drivers!AG130</f>
        <v>0.13500000000000001</v>
      </c>
      <c r="AH232" s="9"/>
      <c r="AI232" s="9"/>
      <c r="AJ232" s="9"/>
      <c r="AK232" s="9"/>
    </row>
    <row r="233" spans="1:37" ht="13.5" customHeight="1" x14ac:dyDescent="0.25">
      <c r="A233" s="205"/>
      <c r="B233" s="9"/>
      <c r="C233" s="9"/>
      <c r="D233" s="9"/>
      <c r="E233" s="9"/>
      <c r="F233" s="250"/>
      <c r="G233" s="250"/>
      <c r="H233" s="250"/>
      <c r="I233" s="250"/>
      <c r="J233" s="9"/>
      <c r="K233" s="250"/>
      <c r="L233" s="250"/>
      <c r="M233" s="250"/>
      <c r="N233" s="250"/>
      <c r="O233" s="9"/>
      <c r="P233" s="250"/>
      <c r="Q233" s="250"/>
      <c r="R233" s="250"/>
      <c r="S233" s="250"/>
      <c r="T233" s="9"/>
      <c r="U233" s="250"/>
      <c r="V233" s="251"/>
      <c r="W233" s="251"/>
      <c r="X233" s="251"/>
      <c r="Y233" s="9"/>
      <c r="Z233" s="251"/>
      <c r="AA233" s="251"/>
      <c r="AB233" s="251"/>
      <c r="AC233" s="251"/>
      <c r="AD233" s="9"/>
      <c r="AE233" s="9"/>
      <c r="AF233" s="9"/>
      <c r="AG233" s="9"/>
      <c r="AH233" s="9"/>
      <c r="AI233" s="9"/>
      <c r="AJ233" s="9"/>
      <c r="AK233" s="9"/>
    </row>
    <row r="234" spans="1:37" ht="13.5" customHeight="1" x14ac:dyDescent="0.25">
      <c r="A234" s="205" t="s">
        <v>0</v>
      </c>
      <c r="B234" s="37"/>
      <c r="C234" s="50" t="s">
        <v>371</v>
      </c>
      <c r="D234" s="12"/>
      <c r="E234" s="12"/>
      <c r="F234" s="248" t="str">
        <f>F$25</f>
        <v>1Q23</v>
      </c>
      <c r="G234" s="51" t="str">
        <f t="shared" ref="G234:AG234" si="548">G$63</f>
        <v>2Q23</v>
      </c>
      <c r="H234" s="51" t="str">
        <f t="shared" si="548"/>
        <v>3Q23</v>
      </c>
      <c r="I234" s="51" t="str">
        <f t="shared" si="548"/>
        <v>4Q23</v>
      </c>
      <c r="J234" s="51">
        <f t="shared" si="548"/>
        <v>2023</v>
      </c>
      <c r="K234" s="51" t="str">
        <f t="shared" si="548"/>
        <v>1Q24</v>
      </c>
      <c r="L234" s="51" t="str">
        <f t="shared" si="548"/>
        <v>2Q24</v>
      </c>
      <c r="M234" s="51" t="str">
        <f t="shared" si="548"/>
        <v>3Q24</v>
      </c>
      <c r="N234" s="51" t="str">
        <f t="shared" si="548"/>
        <v>4Q24</v>
      </c>
      <c r="O234" s="51">
        <f t="shared" si="548"/>
        <v>2024</v>
      </c>
      <c r="P234" s="51" t="str">
        <f t="shared" si="548"/>
        <v>1Q25</v>
      </c>
      <c r="Q234" s="51" t="str">
        <f t="shared" si="548"/>
        <v>2Q25</v>
      </c>
      <c r="R234" s="51" t="str">
        <f t="shared" si="548"/>
        <v>3Q25</v>
      </c>
      <c r="S234" s="51" t="str">
        <f t="shared" si="548"/>
        <v>4Q25</v>
      </c>
      <c r="T234" s="51">
        <f t="shared" si="548"/>
        <v>2025</v>
      </c>
      <c r="U234" s="51" t="str">
        <f t="shared" si="548"/>
        <v>1Q26</v>
      </c>
      <c r="V234" s="51" t="str">
        <f t="shared" si="548"/>
        <v>2Q26e</v>
      </c>
      <c r="W234" s="51" t="str">
        <f t="shared" si="548"/>
        <v>3Q26e</v>
      </c>
      <c r="X234" s="51" t="str">
        <f t="shared" si="548"/>
        <v>4Q26e</v>
      </c>
      <c r="Y234" s="51" t="str">
        <f t="shared" si="548"/>
        <v>2026e</v>
      </c>
      <c r="Z234" s="51" t="str">
        <f t="shared" si="548"/>
        <v>1Q27e</v>
      </c>
      <c r="AA234" s="51" t="str">
        <f t="shared" si="548"/>
        <v>2Q27e</v>
      </c>
      <c r="AB234" s="51" t="str">
        <f t="shared" si="548"/>
        <v>3Q27e</v>
      </c>
      <c r="AC234" s="51" t="str">
        <f t="shared" si="548"/>
        <v>4Q27e</v>
      </c>
      <c r="AD234" s="51" t="str">
        <f t="shared" si="548"/>
        <v>2027e</v>
      </c>
      <c r="AE234" s="51" t="str">
        <f t="shared" si="548"/>
        <v>2028e</v>
      </c>
      <c r="AF234" s="51" t="str">
        <f t="shared" si="548"/>
        <v>2029e</v>
      </c>
      <c r="AG234" s="52" t="str">
        <f t="shared" si="548"/>
        <v>2030e</v>
      </c>
      <c r="AH234" s="205" t="s">
        <v>0</v>
      </c>
      <c r="AI234" s="9"/>
      <c r="AJ234" s="9"/>
      <c r="AK234" s="9"/>
    </row>
    <row r="235" spans="1:37" ht="13.5" customHeight="1" x14ac:dyDescent="0.25">
      <c r="A235" s="205"/>
      <c r="B235" s="9"/>
      <c r="C235" s="9"/>
      <c r="D235" s="9"/>
      <c r="E235" s="9"/>
      <c r="F235" s="250"/>
      <c r="G235" s="250"/>
      <c r="H235" s="250"/>
      <c r="I235" s="250"/>
      <c r="J235" s="9"/>
      <c r="K235" s="250"/>
      <c r="L235" s="250"/>
      <c r="M235" s="250"/>
      <c r="N235" s="250"/>
      <c r="O235" s="9"/>
      <c r="P235" s="250"/>
      <c r="Q235" s="250"/>
      <c r="R235" s="250"/>
      <c r="S235" s="250"/>
      <c r="T235" s="9"/>
      <c r="U235" s="250"/>
      <c r="V235" s="251"/>
      <c r="W235" s="251"/>
      <c r="X235" s="251"/>
      <c r="Y235" s="9"/>
      <c r="Z235" s="251"/>
      <c r="AA235" s="251"/>
      <c r="AB235" s="251"/>
      <c r="AC235" s="251"/>
      <c r="AD235" s="9"/>
      <c r="AE235" s="9"/>
      <c r="AF235" s="9"/>
      <c r="AG235" s="9"/>
      <c r="AH235" s="9"/>
      <c r="AI235" s="9"/>
      <c r="AJ235" s="9"/>
      <c r="AK235" s="9"/>
    </row>
    <row r="236" spans="1:37" ht="13.5" customHeight="1" x14ac:dyDescent="0.25">
      <c r="A236" s="205"/>
      <c r="B236" s="9"/>
      <c r="C236" s="9" t="s">
        <v>372</v>
      </c>
      <c r="D236" s="9"/>
      <c r="E236" s="9"/>
      <c r="F236" s="250"/>
      <c r="G236" s="250"/>
      <c r="H236" s="250"/>
      <c r="I236" s="250"/>
      <c r="J236" s="9"/>
      <c r="K236" s="250"/>
      <c r="L236" s="250"/>
      <c r="M236" s="250"/>
      <c r="N236" s="250"/>
      <c r="O236" s="9"/>
      <c r="P236" s="250"/>
      <c r="Q236" s="250"/>
      <c r="R236" s="250"/>
      <c r="S236" s="250"/>
      <c r="T236" s="9"/>
      <c r="U236" s="250"/>
      <c r="V236" s="251"/>
      <c r="W236" s="251"/>
      <c r="X236" s="251"/>
      <c r="Y236" s="9"/>
      <c r="Z236" s="251"/>
      <c r="AA236" s="251"/>
      <c r="AB236" s="251"/>
      <c r="AC236" s="251"/>
      <c r="AD236" s="9"/>
      <c r="AE236" s="9"/>
      <c r="AF236" s="9"/>
      <c r="AG236" s="9"/>
      <c r="AH236" s="9"/>
      <c r="AI236" s="9"/>
      <c r="AJ236" s="9"/>
      <c r="AK236" s="9"/>
    </row>
    <row r="237" spans="1:37" ht="13.5" customHeight="1" x14ac:dyDescent="0.25">
      <c r="A237" s="205"/>
      <c r="B237" s="9"/>
      <c r="C237" s="103" t="s">
        <v>373</v>
      </c>
      <c r="D237" s="9"/>
      <c r="E237" s="9"/>
      <c r="F237" s="305">
        <f t="shared" ref="F237:AG237" si="549">F53</f>
        <v>2.4441453566621805</v>
      </c>
      <c r="G237" s="305">
        <f t="shared" si="549"/>
        <v>2.9378378378378378</v>
      </c>
      <c r="H237" s="305">
        <f t="shared" si="549"/>
        <v>3.348360655737705</v>
      </c>
      <c r="I237" s="305">
        <f t="shared" si="549"/>
        <v>2.6299319727891155</v>
      </c>
      <c r="J237" s="91">
        <f t="shared" si="549"/>
        <v>11.393197278911565</v>
      </c>
      <c r="K237" s="305">
        <f t="shared" si="549"/>
        <v>3.3800277392510401</v>
      </c>
      <c r="L237" s="305">
        <f t="shared" si="549"/>
        <v>4.210893854748603</v>
      </c>
      <c r="M237" s="305">
        <f t="shared" si="549"/>
        <v>3.5409604519774009</v>
      </c>
      <c r="N237" s="305">
        <f t="shared" si="549"/>
        <v>3.047752808988764</v>
      </c>
      <c r="O237" s="91">
        <f t="shared" si="549"/>
        <v>14.226123595505618</v>
      </c>
      <c r="P237" s="305">
        <f t="shared" si="549"/>
        <v>3.6861626248216832</v>
      </c>
      <c r="Q237" s="305">
        <f t="shared" si="549"/>
        <v>4.13323782234957</v>
      </c>
      <c r="R237" s="305">
        <f t="shared" si="549"/>
        <v>4.1936416184971099</v>
      </c>
      <c r="S237" s="305">
        <f t="shared" si="549"/>
        <v>3.5424460431654676</v>
      </c>
      <c r="T237" s="91">
        <f t="shared" si="549"/>
        <v>15.587050359712229</v>
      </c>
      <c r="U237" s="305">
        <f t="shared" ref="U237" si="550">U53</f>
        <v>4.3372262773722632</v>
      </c>
      <c r="V237" s="306">
        <f t="shared" si="549"/>
        <v>4.3129172311403918</v>
      </c>
      <c r="W237" s="306">
        <f t="shared" si="549"/>
        <v>4.7557778031181046</v>
      </c>
      <c r="X237" s="306">
        <f t="shared" si="549"/>
        <v>5.0766626546249816</v>
      </c>
      <c r="Y237" s="91">
        <f t="shared" si="549"/>
        <v>18.48177865622484</v>
      </c>
      <c r="Z237" s="306">
        <f t="shared" si="549"/>
        <v>5.1626498930654714</v>
      </c>
      <c r="AA237" s="306">
        <f t="shared" si="549"/>
        <v>5.5274833660270577</v>
      </c>
      <c r="AB237" s="306">
        <f t="shared" si="549"/>
        <v>5.9345833814959761</v>
      </c>
      <c r="AC237" s="306">
        <f t="shared" si="549"/>
        <v>6.2507316151535148</v>
      </c>
      <c r="AD237" s="91">
        <f t="shared" si="549"/>
        <v>22.874222011677304</v>
      </c>
      <c r="AE237" s="91">
        <f t="shared" si="549"/>
        <v>26.203129914020284</v>
      </c>
      <c r="AF237" s="91">
        <f t="shared" si="549"/>
        <v>28.782782690982444</v>
      </c>
      <c r="AG237" s="91">
        <f t="shared" si="549"/>
        <v>31.102018975573419</v>
      </c>
      <c r="AH237" s="9"/>
      <c r="AI237" s="9"/>
      <c r="AJ237" s="9"/>
      <c r="AK237" s="9"/>
    </row>
    <row r="238" spans="1:37" ht="13.5" customHeight="1" x14ac:dyDescent="0.25">
      <c r="A238" s="205"/>
      <c r="B238" s="9"/>
      <c r="C238" s="103" t="s">
        <v>374</v>
      </c>
      <c r="D238" s="9"/>
      <c r="E238" s="9"/>
      <c r="F238" s="363">
        <f>F239/SUM(F237,B238:D238)</f>
        <v>71.947439427312773</v>
      </c>
      <c r="G238" s="363">
        <f>G239/SUM(F237:G237,C237:D237)</f>
        <v>29.938777988876431</v>
      </c>
      <c r="H238" s="363">
        <f>H239/SUM(F237:H237,D237)</f>
        <v>18.559406454029642</v>
      </c>
      <c r="I238" s="364">
        <f>I239/SUM(F237:I237)</f>
        <v>13.849135571259476</v>
      </c>
      <c r="J238" s="365">
        <f>J239/J237</f>
        <v>14.451033867450459</v>
      </c>
      <c r="K238" s="364">
        <f>K239/SUM(K237,G237:I237)</f>
        <v>17.370466159296218</v>
      </c>
      <c r="L238" s="364">
        <f>L239/SUM(K237:L237,H237:I237)</f>
        <v>17.41957906505732</v>
      </c>
      <c r="M238" s="364">
        <f>M239/SUM(K237:M237,I237)</f>
        <v>17.824685006315239</v>
      </c>
      <c r="N238" s="364">
        <f>N239/SUM(K237:N237)</f>
        <v>20.737487460547804</v>
      </c>
      <c r="O238" s="365">
        <f>O239/O237</f>
        <v>16.853165865957248</v>
      </c>
      <c r="P238" s="364">
        <f>P239/SUM(P237,L237:N237)</f>
        <v>20.528422398421164</v>
      </c>
      <c r="Q238" s="364">
        <f>Q239/SUM(P237:Q237,M237:N237)</f>
        <v>20.244148950272713</v>
      </c>
      <c r="R238" s="364">
        <f>R239/SUM(P237:R237,N237)</f>
        <v>20.932494109622962</v>
      </c>
      <c r="S238" s="364">
        <f>S239/SUM(P237:S237)</f>
        <v>23.184743382960121</v>
      </c>
      <c r="T238" s="365">
        <f>T239/T237</f>
        <v>20.151644419061018</v>
      </c>
      <c r="U238" s="364">
        <f>U239/SUM(U237,Q237:S237)</f>
        <v>19.192238088617938</v>
      </c>
      <c r="V238" s="366">
        <f>V239/SUM(U237:V237,R237:S237)</f>
        <v>18.981790063240865</v>
      </c>
      <c r="W238" s="366">
        <f>W239/SUM(U237:W237,S237)</f>
        <v>18.35221018571908</v>
      </c>
      <c r="X238" s="366">
        <f>X239/SUM(U237:X237)</f>
        <v>16.828815741774847</v>
      </c>
      <c r="Y238" s="365">
        <f>Y239/Y237</f>
        <v>16.829549026940583</v>
      </c>
      <c r="Z238" s="366">
        <f>Z239/SUM(Z237,V237:X237)</f>
        <v>16.109378385100243</v>
      </c>
      <c r="AA238" s="366">
        <f>AA239/SUM(Z237:AA237,W237:X237)</f>
        <v>15.155993799395615</v>
      </c>
      <c r="AB238" s="366">
        <f>AB239/SUM(Z237:AB237,X237)</f>
        <v>14.332729536163805</v>
      </c>
      <c r="AC238" s="366">
        <f>AC239/SUM(Z237:AC237)</f>
        <v>13.597110601840344</v>
      </c>
      <c r="AD238" s="365">
        <f t="shared" ref="AD238:AG238" si="551">AD239/AD237</f>
        <v>13.597839517392719</v>
      </c>
      <c r="AE238" s="365">
        <f t="shared" si="551"/>
        <v>11.870337666553892</v>
      </c>
      <c r="AF238" s="365">
        <f t="shared" si="551"/>
        <v>10.806460353030699</v>
      </c>
      <c r="AG238" s="365">
        <f t="shared" si="551"/>
        <v>10.000636943996509</v>
      </c>
      <c r="AH238" s="9"/>
      <c r="AI238" s="9"/>
      <c r="AJ238" s="9"/>
      <c r="AK238" s="9"/>
    </row>
    <row r="239" spans="1:37" ht="13.5" customHeight="1" x14ac:dyDescent="0.25">
      <c r="A239" s="205"/>
      <c r="B239" s="9"/>
      <c r="C239" s="103" t="s">
        <v>375</v>
      </c>
      <c r="D239" s="9"/>
      <c r="E239" s="9"/>
      <c r="F239" s="367">
        <v>175.85</v>
      </c>
      <c r="G239" s="367">
        <v>161.13</v>
      </c>
      <c r="H239" s="367">
        <v>162.03</v>
      </c>
      <c r="I239" s="367">
        <v>157.33000000000001</v>
      </c>
      <c r="J239" s="91">
        <f>F239*(F240/(SUM(F240:I240)))+G239*(G240/(SUM(F240:I240)))+H239*(H240/(SUM(F240:I240)))+I239*(I240/(SUM(F240:I240)))</f>
        <v>164.64347973609543</v>
      </c>
      <c r="K239" s="367">
        <v>213.59</v>
      </c>
      <c r="L239" s="367">
        <v>236.37</v>
      </c>
      <c r="M239" s="367">
        <v>245.3</v>
      </c>
      <c r="N239" s="368">
        <v>294.05</v>
      </c>
      <c r="O239" s="91">
        <f>K239*(K240/(SUM(K240:N240)))+L239*(L240/(SUM(K240:N240)))+M239*(M240/(SUM(K240:N240)))+N239*(N240/(SUM(K240:N240)))</f>
        <v>239.75522058466427</v>
      </c>
      <c r="P239" s="293">
        <v>297.37</v>
      </c>
      <c r="Q239" s="293">
        <v>291.68</v>
      </c>
      <c r="R239" s="372">
        <v>315.26</v>
      </c>
      <c r="S239" s="293">
        <v>360.65</v>
      </c>
      <c r="T239" s="91">
        <f>P239*(P240/(SUM(P240:S240)))+Q239*(Q240/(SUM(P240:S240)))+R239*(R240/(SUM(P240:S240)))+S239*(S240/(SUM(P240:S240)))</f>
        <v>314.10469639091798</v>
      </c>
      <c r="U239" s="293">
        <v>311.04000000000002</v>
      </c>
      <c r="V239" s="369">
        <f t="shared" ref="V239" si="552">U239</f>
        <v>311.04000000000002</v>
      </c>
      <c r="W239" s="369">
        <f t="shared" ref="W239" si="553">V239</f>
        <v>311.04000000000002</v>
      </c>
      <c r="X239" s="369">
        <f t="shared" ref="X239" si="554">W239</f>
        <v>311.04000000000002</v>
      </c>
      <c r="Y239" s="91">
        <f>U239*(U240/(SUM(U240:X240)))+V239*(V240/(SUM(U240:X240)))+W239*(W240/(SUM(U240:X240)))+X239*(X240/(SUM(U240:X240)))</f>
        <v>311.03999999999996</v>
      </c>
      <c r="Z239" s="369">
        <f>X239</f>
        <v>311.04000000000002</v>
      </c>
      <c r="AA239" s="369">
        <f t="shared" ref="AA239:AC239" si="555">Z239</f>
        <v>311.04000000000002</v>
      </c>
      <c r="AB239" s="369">
        <f t="shared" si="555"/>
        <v>311.04000000000002</v>
      </c>
      <c r="AC239" s="369">
        <f t="shared" si="555"/>
        <v>311.04000000000002</v>
      </c>
      <c r="AD239" s="91">
        <f>AVERAGE(Z239:AC239)</f>
        <v>311.04000000000002</v>
      </c>
      <c r="AE239" s="370">
        <f>AC239</f>
        <v>311.04000000000002</v>
      </c>
      <c r="AF239" s="370">
        <f t="shared" ref="AF239:AG239" si="556">AE239</f>
        <v>311.04000000000002</v>
      </c>
      <c r="AG239" s="370">
        <f t="shared" si="556"/>
        <v>311.04000000000002</v>
      </c>
      <c r="AH239" s="9"/>
      <c r="AI239" s="9"/>
      <c r="AJ239" s="9"/>
      <c r="AK239" s="9"/>
    </row>
    <row r="240" spans="1:37" ht="13.5" customHeight="1" x14ac:dyDescent="0.25">
      <c r="A240" s="205"/>
      <c r="B240" s="9"/>
      <c r="C240" s="103" t="s">
        <v>376</v>
      </c>
      <c r="D240" s="9"/>
      <c r="E240" s="9"/>
      <c r="F240" s="319">
        <f t="shared" ref="F240:I240" si="557">F241/F239</f>
        <v>0.79613306795564409</v>
      </c>
      <c r="G240" s="319">
        <f t="shared" si="557"/>
        <v>0.67026624464717932</v>
      </c>
      <c r="H240" s="319">
        <f t="shared" si="557"/>
        <v>0.57396778374375113</v>
      </c>
      <c r="I240" s="319">
        <f t="shared" si="557"/>
        <v>0.6928112883747537</v>
      </c>
      <c r="J240" s="126">
        <f t="shared" ref="J240:J241" si="558">SUM(F240:I240)</f>
        <v>2.7331783847213282</v>
      </c>
      <c r="K240" s="319">
        <f t="shared" ref="K240:N240" si="559">K241/K239</f>
        <v>0.82400861463551667</v>
      </c>
      <c r="L240" s="319">
        <f t="shared" si="559"/>
        <v>0.43998815416508014</v>
      </c>
      <c r="M240" s="319">
        <f t="shared" si="559"/>
        <v>0.46066041581736644</v>
      </c>
      <c r="N240" s="371">
        <f t="shared" si="559"/>
        <v>0.37748682196905287</v>
      </c>
      <c r="O240" s="126">
        <f t="shared" ref="O240:O241" si="560">SUM(K240:N240)</f>
        <v>2.1021440065870163</v>
      </c>
      <c r="P240" s="319">
        <f t="shared" ref="P240:S240" si="561">P241/P239</f>
        <v>0.53132461243568618</v>
      </c>
      <c r="Q240" s="319">
        <f t="shared" si="561"/>
        <v>0.43540866703236425</v>
      </c>
      <c r="R240" s="371">
        <f t="shared" si="561"/>
        <v>0.39649812852883337</v>
      </c>
      <c r="S240" s="319">
        <f t="shared" si="561"/>
        <v>0.39096076528490231</v>
      </c>
      <c r="T240" s="126">
        <f t="shared" ref="T240:T241" si="562">SUM(P240:S240)</f>
        <v>1.754192173281786</v>
      </c>
      <c r="U240" s="319">
        <f t="shared" ref="U240" si="563">U241/U239</f>
        <v>5.3497942386831276</v>
      </c>
      <c r="V240" s="294">
        <f t="shared" ref="V240:X240" si="564">V241/V239</f>
        <v>0.46364615483539096</v>
      </c>
      <c r="W240" s="294">
        <f t="shared" si="564"/>
        <v>0.46364615483539096</v>
      </c>
      <c r="X240" s="294">
        <f t="shared" si="564"/>
        <v>0.46364615483539096</v>
      </c>
      <c r="Y240" s="126">
        <f t="shared" ref="Y240:Y241" si="565">SUM(U240:X240)</f>
        <v>6.7407327031893018</v>
      </c>
      <c r="Z240" s="294">
        <f t="shared" ref="Z240:AC240" si="566">Z241/Z239</f>
        <v>0.45604706876483719</v>
      </c>
      <c r="AA240" s="294">
        <f t="shared" si="566"/>
        <v>0.45604706876483719</v>
      </c>
      <c r="AB240" s="294">
        <f t="shared" si="566"/>
        <v>0.45604706876483719</v>
      </c>
      <c r="AC240" s="294">
        <f t="shared" si="566"/>
        <v>0.45604706876483719</v>
      </c>
      <c r="AD240" s="126">
        <f t="shared" ref="AD240:AD241" si="567">SUM(Z240:AC240)</f>
        <v>1.8241882750593488</v>
      </c>
      <c r="AE240" s="126">
        <f t="shared" ref="AE240:AG240" si="568">AE241/AE239</f>
        <v>1.8193204887029339</v>
      </c>
      <c r="AF240" s="126">
        <f t="shared" si="568"/>
        <v>1.8144656918741551</v>
      </c>
      <c r="AG240" s="126">
        <f t="shared" si="568"/>
        <v>1.8096238499108848</v>
      </c>
      <c r="AH240" s="9"/>
      <c r="AI240" s="9"/>
      <c r="AJ240" s="9"/>
      <c r="AK240" s="9"/>
    </row>
    <row r="241" spans="1:40" ht="13.5" customHeight="1" x14ac:dyDescent="0.25">
      <c r="A241" s="205"/>
      <c r="B241" s="9"/>
      <c r="C241" s="103" t="s">
        <v>377</v>
      </c>
      <c r="D241" s="9"/>
      <c r="E241" s="9"/>
      <c r="F241" s="293">
        <v>140</v>
      </c>
      <c r="G241" s="293">
        <f>248-F241</f>
        <v>108</v>
      </c>
      <c r="H241" s="372">
        <f>341-SUM(F241:G241)</f>
        <v>93</v>
      </c>
      <c r="I241" s="293">
        <f>450-SUM(F241:H241)</f>
        <v>109</v>
      </c>
      <c r="J241" s="126">
        <f t="shared" si="558"/>
        <v>450</v>
      </c>
      <c r="K241" s="293">
        <v>176</v>
      </c>
      <c r="L241" s="293">
        <f>280-K241</f>
        <v>104</v>
      </c>
      <c r="M241" s="372">
        <f>393-SUM(K241:L241)</f>
        <v>113</v>
      </c>
      <c r="N241" s="293">
        <f>504-SUM(K241:M241)</f>
        <v>111</v>
      </c>
      <c r="O241" s="126">
        <f t="shared" si="560"/>
        <v>504</v>
      </c>
      <c r="P241" s="293">
        <v>158</v>
      </c>
      <c r="Q241" s="293">
        <f>285-P241</f>
        <v>127</v>
      </c>
      <c r="R241" s="372">
        <f>410-SUM(P241:Q241)</f>
        <v>125</v>
      </c>
      <c r="S241" s="293">
        <f>551-SUM(P241:R241)</f>
        <v>141</v>
      </c>
      <c r="T241" s="126">
        <f t="shared" si="562"/>
        <v>551</v>
      </c>
      <c r="U241" s="293">
        <v>1664</v>
      </c>
      <c r="V241" s="294">
        <f t="shared" ref="V241:X241" si="569">V272</f>
        <v>144.21250000000001</v>
      </c>
      <c r="W241" s="294">
        <f t="shared" si="569"/>
        <v>144.21250000000001</v>
      </c>
      <c r="X241" s="294">
        <f t="shared" si="569"/>
        <v>144.21250000000001</v>
      </c>
      <c r="Y241" s="126">
        <f t="shared" si="565"/>
        <v>2096.6375000000003</v>
      </c>
      <c r="Z241" s="294">
        <f t="shared" ref="Z241:AC241" si="570">Z272</f>
        <v>141.84888026861498</v>
      </c>
      <c r="AA241" s="294">
        <f t="shared" si="570"/>
        <v>141.84888026861498</v>
      </c>
      <c r="AB241" s="294">
        <f t="shared" si="570"/>
        <v>141.84888026861498</v>
      </c>
      <c r="AC241" s="294">
        <f t="shared" si="570"/>
        <v>141.84888026861498</v>
      </c>
      <c r="AD241" s="126">
        <f t="shared" si="567"/>
        <v>567.39552107445991</v>
      </c>
      <c r="AE241" s="126">
        <f t="shared" ref="AE241:AG241" si="571">AE272</f>
        <v>565.88144480616063</v>
      </c>
      <c r="AF241" s="126">
        <f t="shared" si="571"/>
        <v>564.37140880053721</v>
      </c>
      <c r="AG241" s="126">
        <f t="shared" si="571"/>
        <v>562.86540227628166</v>
      </c>
      <c r="AH241" s="9"/>
      <c r="AI241" s="9"/>
      <c r="AJ241" s="9"/>
      <c r="AK241" s="9"/>
    </row>
    <row r="242" spans="1:40" ht="13.5" customHeight="1" x14ac:dyDescent="0.25">
      <c r="A242" s="205"/>
      <c r="B242" s="9"/>
      <c r="C242" s="9"/>
      <c r="D242" s="9"/>
      <c r="E242" s="9"/>
      <c r="F242" s="250"/>
      <c r="G242" s="250"/>
      <c r="H242" s="250"/>
      <c r="I242" s="373"/>
      <c r="J242" s="9"/>
      <c r="K242" s="250"/>
      <c r="L242" s="250"/>
      <c r="M242" s="250"/>
      <c r="N242" s="374"/>
      <c r="O242" s="9"/>
      <c r="P242" s="250"/>
      <c r="Q242" s="250"/>
      <c r="R242" s="375"/>
      <c r="S242" s="250"/>
      <c r="T242" s="9"/>
      <c r="U242" s="250"/>
      <c r="V242" s="251"/>
      <c r="W242" s="251"/>
      <c r="X242" s="251"/>
      <c r="Y242" s="9"/>
      <c r="Z242" s="251"/>
      <c r="AA242" s="251"/>
      <c r="AB242" s="251"/>
      <c r="AC242" s="251"/>
      <c r="AD242" s="9"/>
      <c r="AE242" s="9"/>
      <c r="AF242" s="9"/>
      <c r="AG242" s="9"/>
      <c r="AH242" s="9"/>
      <c r="AI242" s="9"/>
      <c r="AJ242" s="9"/>
      <c r="AK242" s="9"/>
    </row>
    <row r="243" spans="1:40" ht="13.5" customHeight="1" x14ac:dyDescent="0.25">
      <c r="A243" s="205"/>
      <c r="B243" s="9"/>
      <c r="C243" s="9" t="s">
        <v>378</v>
      </c>
      <c r="D243" s="9"/>
      <c r="E243" s="9"/>
      <c r="F243" s="250"/>
      <c r="G243" s="250"/>
      <c r="H243" s="250"/>
      <c r="I243" s="250"/>
      <c r="J243" s="9"/>
      <c r="K243" s="250"/>
      <c r="L243" s="250"/>
      <c r="M243" s="250"/>
      <c r="N243" s="375"/>
      <c r="O243" s="9"/>
      <c r="P243" s="250"/>
      <c r="Q243" s="250"/>
      <c r="R243" s="375"/>
      <c r="S243" s="376"/>
      <c r="T243" s="9"/>
      <c r="U243" s="250"/>
      <c r="V243" s="251"/>
      <c r="W243" s="251"/>
      <c r="X243" s="251"/>
      <c r="Y243" s="9"/>
      <c r="Z243" s="251"/>
      <c r="AA243" s="251"/>
      <c r="AB243" s="251"/>
      <c r="AC243" s="251"/>
      <c r="AD243" s="9"/>
      <c r="AE243" s="9"/>
      <c r="AF243" s="9"/>
      <c r="AG243" s="9"/>
      <c r="AH243" s="9"/>
      <c r="AI243" s="9"/>
      <c r="AJ243" s="9"/>
      <c r="AK243" s="9"/>
    </row>
    <row r="244" spans="1:40" ht="13.5" customHeight="1" x14ac:dyDescent="0.25">
      <c r="A244" s="205"/>
      <c r="B244" s="9"/>
      <c r="C244" s="103" t="s">
        <v>379</v>
      </c>
      <c r="D244" s="9"/>
      <c r="E244" s="9"/>
      <c r="F244" s="250"/>
      <c r="G244" s="250"/>
      <c r="H244" s="250"/>
      <c r="I244" s="250"/>
      <c r="J244" s="9"/>
      <c r="K244" s="250"/>
      <c r="L244" s="250"/>
      <c r="M244" s="250"/>
      <c r="N244" s="375"/>
      <c r="O244" s="9"/>
      <c r="P244" s="250"/>
      <c r="Q244" s="250"/>
      <c r="R244" s="375"/>
      <c r="S244" s="250"/>
      <c r="T244" s="9"/>
      <c r="U244" s="250"/>
      <c r="V244" s="221">
        <f t="shared" ref="V244" si="572">U247</f>
        <v>11218</v>
      </c>
      <c r="W244" s="221">
        <f t="shared" ref="W244" si="573">V247</f>
        <v>11429.256140277777</v>
      </c>
      <c r="X244" s="221">
        <f t="shared" ref="X244" si="574">W247</f>
        <v>11646.289574513889</v>
      </c>
      <c r="Y244" s="222"/>
      <c r="Z244" s="221">
        <f t="shared" ref="Z244:AC244" si="575">Y247</f>
        <v>11871.11013375611</v>
      </c>
      <c r="AA244" s="221">
        <f t="shared" si="575"/>
        <v>12095.32879788221</v>
      </c>
      <c r="AB244" s="221">
        <f t="shared" si="575"/>
        <v>12329.86732423747</v>
      </c>
      <c r="AC244" s="221">
        <f t="shared" si="575"/>
        <v>12570.047285530405</v>
      </c>
      <c r="AD244" s="222">
        <f>Y247</f>
        <v>11871.11013375611</v>
      </c>
      <c r="AE244" s="222">
        <f t="shared" ref="AE244:AG244" si="576">AD247</f>
        <v>12819.508087355962</v>
      </c>
      <c r="AF244" s="222">
        <f t="shared" si="576"/>
        <v>13836.830796700044</v>
      </c>
      <c r="AG244" s="222">
        <f t="shared" si="576"/>
        <v>14925.377293527696</v>
      </c>
      <c r="AH244" s="9"/>
      <c r="AI244" s="9"/>
      <c r="AJ244" s="9"/>
      <c r="AK244" s="9"/>
    </row>
    <row r="245" spans="1:40" ht="13.5" customHeight="1" x14ac:dyDescent="0.25">
      <c r="A245" s="205"/>
      <c r="B245" s="9"/>
      <c r="C245" s="103" t="s">
        <v>380</v>
      </c>
      <c r="D245" s="9"/>
      <c r="E245" s="9"/>
      <c r="F245" s="348">
        <v>0</v>
      </c>
      <c r="G245" s="348">
        <v>0</v>
      </c>
      <c r="H245" s="348">
        <v>0</v>
      </c>
      <c r="I245" s="348">
        <v>0</v>
      </c>
      <c r="J245" s="264">
        <f t="shared" ref="J245:J246" si="577">SUM(F245:I245)</f>
        <v>0</v>
      </c>
      <c r="K245" s="348">
        <v>0</v>
      </c>
      <c r="L245" s="348">
        <v>0</v>
      </c>
      <c r="M245" s="348">
        <v>0</v>
      </c>
      <c r="N245" s="377">
        <v>0</v>
      </c>
      <c r="O245" s="264">
        <f t="shared" ref="O245:O246" si="578">SUM(K245:N245)</f>
        <v>0</v>
      </c>
      <c r="P245" s="348">
        <v>0</v>
      </c>
      <c r="Q245" s="348">
        <v>0</v>
      </c>
      <c r="R245" s="377">
        <v>0</v>
      </c>
      <c r="S245" s="348">
        <v>0</v>
      </c>
      <c r="T245" s="264">
        <f t="shared" ref="T245:T246" si="579">SUM(P245:S245)</f>
        <v>0</v>
      </c>
      <c r="U245" s="348">
        <v>0</v>
      </c>
      <c r="V245" s="265">
        <f t="shared" ref="V245:X245" si="580">V271*V239</f>
        <v>0</v>
      </c>
      <c r="W245" s="265">
        <f t="shared" si="580"/>
        <v>0</v>
      </c>
      <c r="X245" s="265">
        <f t="shared" si="580"/>
        <v>0</v>
      </c>
      <c r="Y245" s="264">
        <f t="shared" ref="Y245:Y246" si="581">SUM(U245:X245)</f>
        <v>0</v>
      </c>
      <c r="Z245" s="265">
        <f t="shared" ref="Z245:AC245" si="582">Z271*Z239</f>
        <v>0</v>
      </c>
      <c r="AA245" s="265">
        <f t="shared" si="582"/>
        <v>0</v>
      </c>
      <c r="AB245" s="265">
        <f t="shared" si="582"/>
        <v>0</v>
      </c>
      <c r="AC245" s="265">
        <f t="shared" si="582"/>
        <v>0</v>
      </c>
      <c r="AD245" s="264">
        <f t="shared" ref="AD245:AD246" si="583">SUM(Z245:AC245)</f>
        <v>0</v>
      </c>
      <c r="AE245" s="264">
        <f t="shared" ref="AE245:AG245" si="584">AE271*AE239</f>
        <v>0</v>
      </c>
      <c r="AF245" s="264">
        <f t="shared" si="584"/>
        <v>0</v>
      </c>
      <c r="AG245" s="264">
        <f t="shared" si="584"/>
        <v>0</v>
      </c>
      <c r="AH245" s="9"/>
      <c r="AI245" s="9"/>
      <c r="AJ245" s="9"/>
      <c r="AK245" s="9"/>
    </row>
    <row r="246" spans="1:40" ht="13.5" customHeight="1" x14ac:dyDescent="0.25">
      <c r="A246" s="205"/>
      <c r="B246" s="9"/>
      <c r="C246" s="103" t="s">
        <v>381</v>
      </c>
      <c r="D246" s="9"/>
      <c r="E246" s="9"/>
      <c r="F246" s="289">
        <v>24</v>
      </c>
      <c r="G246" s="289">
        <v>112</v>
      </c>
      <c r="H246" s="289">
        <v>14</v>
      </c>
      <c r="I246" s="289">
        <f>181-SUM(F246:H246)</f>
        <v>31</v>
      </c>
      <c r="J246" s="290">
        <f t="shared" si="577"/>
        <v>181</v>
      </c>
      <c r="K246" s="289">
        <v>10</v>
      </c>
      <c r="L246" s="289">
        <v>91</v>
      </c>
      <c r="M246" s="289">
        <v>83</v>
      </c>
      <c r="N246" s="289">
        <f>315-SUM(K246:M246)</f>
        <v>131</v>
      </c>
      <c r="O246" s="290">
        <f t="shared" si="578"/>
        <v>315</v>
      </c>
      <c r="P246" s="289">
        <v>27</v>
      </c>
      <c r="Q246" s="289">
        <v>37</v>
      </c>
      <c r="R246" s="302">
        <v>43</v>
      </c>
      <c r="S246" s="289">
        <f>181-SUM(P246:R246)</f>
        <v>74</v>
      </c>
      <c r="T246" s="290">
        <f t="shared" si="579"/>
        <v>181</v>
      </c>
      <c r="U246" s="289">
        <v>203</v>
      </c>
      <c r="V246" s="291">
        <f>V249*V28</f>
        <v>211.2561402777778</v>
      </c>
      <c r="W246" s="291">
        <f>W249*W28</f>
        <v>217.03343423611111</v>
      </c>
      <c r="X246" s="291">
        <f>X249*X28</f>
        <v>224.82055924222223</v>
      </c>
      <c r="Y246" s="290">
        <f t="shared" si="581"/>
        <v>856.11013375611117</v>
      </c>
      <c r="Z246" s="291">
        <f>Z249*Z28</f>
        <v>224.21866412609998</v>
      </c>
      <c r="AA246" s="291">
        <f>AA249*AA28</f>
        <v>234.53852635525999</v>
      </c>
      <c r="AB246" s="291">
        <f>AB249*AB28</f>
        <v>240.17996129293456</v>
      </c>
      <c r="AC246" s="291">
        <f>AC249*AC28</f>
        <v>249.46080182555707</v>
      </c>
      <c r="AD246" s="290">
        <f t="shared" si="583"/>
        <v>948.39795359985158</v>
      </c>
      <c r="AE246" s="290">
        <f>AE249*AE28</f>
        <v>1017.3227093440818</v>
      </c>
      <c r="AF246" s="290">
        <f>AF249*AF28</f>
        <v>1088.5464968276519</v>
      </c>
      <c r="AG246" s="290">
        <f>AG249*AG28</f>
        <v>1155.3916379214531</v>
      </c>
      <c r="AH246" s="9"/>
      <c r="AI246" s="9"/>
      <c r="AJ246" s="9"/>
      <c r="AK246" s="9"/>
    </row>
    <row r="247" spans="1:40" ht="13.5" customHeight="1" x14ac:dyDescent="0.25">
      <c r="A247" s="205"/>
      <c r="B247" s="9"/>
      <c r="C247" s="103" t="s">
        <v>382</v>
      </c>
      <c r="D247" s="9"/>
      <c r="E247" s="9"/>
      <c r="F247" s="288">
        <f t="shared" ref="F247:T247" si="585">F147</f>
        <v>11671</v>
      </c>
      <c r="G247" s="288">
        <f t="shared" si="585"/>
        <v>11657</v>
      </c>
      <c r="H247" s="288">
        <f t="shared" si="585"/>
        <v>11547</v>
      </c>
      <c r="I247" s="288">
        <f t="shared" si="585"/>
        <v>11517</v>
      </c>
      <c r="J247" s="222">
        <f t="shared" si="585"/>
        <v>11517</v>
      </c>
      <c r="K247" s="288">
        <f t="shared" si="585"/>
        <v>11498</v>
      </c>
      <c r="L247" s="288">
        <f t="shared" si="585"/>
        <v>11475</v>
      </c>
      <c r="M247" s="288">
        <f t="shared" si="585"/>
        <v>11436</v>
      </c>
      <c r="N247" s="378">
        <f t="shared" si="585"/>
        <v>11511</v>
      </c>
      <c r="O247" s="222">
        <f t="shared" si="585"/>
        <v>11511</v>
      </c>
      <c r="P247" s="288">
        <f t="shared" si="585"/>
        <v>11177</v>
      </c>
      <c r="Q247" s="288">
        <f t="shared" si="585"/>
        <v>11192</v>
      </c>
      <c r="R247" s="378">
        <f t="shared" si="585"/>
        <v>11197</v>
      </c>
      <c r="S247" s="288">
        <f t="shared" si="585"/>
        <v>11264</v>
      </c>
      <c r="T247" s="222">
        <f t="shared" si="585"/>
        <v>11264</v>
      </c>
      <c r="U247" s="288">
        <f t="shared" ref="U247" si="586">U147</f>
        <v>11218</v>
      </c>
      <c r="V247" s="221">
        <f t="shared" ref="V247:X247" si="587">SUM(V244:V246)</f>
        <v>11429.256140277777</v>
      </c>
      <c r="W247" s="221">
        <f t="shared" si="587"/>
        <v>11646.289574513889</v>
      </c>
      <c r="X247" s="221">
        <f t="shared" si="587"/>
        <v>11871.11013375611</v>
      </c>
      <c r="Y247" s="222">
        <f>X247</f>
        <v>11871.11013375611</v>
      </c>
      <c r="Z247" s="221">
        <f t="shared" ref="Z247:AG247" si="588">SUM(Z244:Z246)</f>
        <v>12095.32879788221</v>
      </c>
      <c r="AA247" s="221">
        <f t="shared" si="588"/>
        <v>12329.86732423747</v>
      </c>
      <c r="AB247" s="221">
        <f t="shared" si="588"/>
        <v>12570.047285530405</v>
      </c>
      <c r="AC247" s="221">
        <f t="shared" si="588"/>
        <v>12819.508087355962</v>
      </c>
      <c r="AD247" s="222">
        <f t="shared" si="588"/>
        <v>12819.508087355962</v>
      </c>
      <c r="AE247" s="222">
        <f t="shared" si="588"/>
        <v>13836.830796700044</v>
      </c>
      <c r="AF247" s="222">
        <f t="shared" si="588"/>
        <v>14925.377293527696</v>
      </c>
      <c r="AG247" s="222">
        <f t="shared" si="588"/>
        <v>16080.768931449149</v>
      </c>
      <c r="AH247" s="9"/>
      <c r="AI247" s="9"/>
      <c r="AJ247" s="9"/>
      <c r="AK247" s="9"/>
    </row>
    <row r="248" spans="1:40" ht="13.5" customHeight="1" x14ac:dyDescent="0.25">
      <c r="A248" s="205"/>
      <c r="B248" s="9"/>
      <c r="C248" s="9"/>
      <c r="D248" s="9"/>
      <c r="E248" s="9"/>
      <c r="F248" s="250"/>
      <c r="G248" s="250"/>
      <c r="H248" s="250"/>
      <c r="I248" s="250"/>
      <c r="J248" s="9"/>
      <c r="K248" s="250"/>
      <c r="L248" s="250"/>
      <c r="M248" s="250"/>
      <c r="N248" s="375"/>
      <c r="O248" s="9"/>
      <c r="P248" s="250"/>
      <c r="Q248" s="250"/>
      <c r="R248" s="375"/>
      <c r="S248" s="250"/>
      <c r="T248" s="9"/>
      <c r="U248" s="250"/>
      <c r="V248" s="251"/>
      <c r="W248" s="251"/>
      <c r="X248" s="251"/>
      <c r="Y248" s="9"/>
      <c r="Z248" s="251"/>
      <c r="AA248" s="251"/>
      <c r="AB248" s="251"/>
      <c r="AC248" s="251"/>
      <c r="AD248" s="9"/>
      <c r="AE248" s="9"/>
      <c r="AF248" s="9"/>
      <c r="AG248" s="9"/>
      <c r="AH248" s="9"/>
      <c r="AI248" s="9"/>
      <c r="AJ248" s="9"/>
      <c r="AK248" s="9"/>
    </row>
    <row r="249" spans="1:40" ht="13.5" customHeight="1" x14ac:dyDescent="0.25">
      <c r="A249" s="205"/>
      <c r="B249" s="9"/>
      <c r="C249" s="84" t="s">
        <v>383</v>
      </c>
      <c r="D249" s="243"/>
      <c r="E249" s="243"/>
      <c r="F249" s="379">
        <f t="shared" ref="F249:T249" si="589">F246/F28</f>
        <v>1.5273004963726614E-3</v>
      </c>
      <c r="G249" s="379">
        <f t="shared" si="589"/>
        <v>6.6969624491748387E-3</v>
      </c>
      <c r="H249" s="379">
        <f t="shared" si="589"/>
        <v>8.1494848361371441E-4</v>
      </c>
      <c r="I249" s="379">
        <f t="shared" si="589"/>
        <v>1.7467741026652391E-3</v>
      </c>
      <c r="J249" s="380">
        <f t="shared" si="589"/>
        <v>2.6868950774894601E-3</v>
      </c>
      <c r="K249" s="379">
        <f t="shared" si="589"/>
        <v>5.6157690795754481E-4</v>
      </c>
      <c r="L249" s="379">
        <f t="shared" si="589"/>
        <v>4.9464586617383273E-3</v>
      </c>
      <c r="M249" s="379">
        <f t="shared" si="589"/>
        <v>4.4198306619095797E-3</v>
      </c>
      <c r="N249" s="381">
        <f t="shared" si="589"/>
        <v>6.8165261733791234E-3</v>
      </c>
      <c r="O249" s="380">
        <f t="shared" si="589"/>
        <v>4.2452258055821349E-3</v>
      </c>
      <c r="P249" s="379">
        <f t="shared" si="589"/>
        <v>1.4260814450958643E-3</v>
      </c>
      <c r="Q249" s="379">
        <f t="shared" si="589"/>
        <v>1.8562183314102243E-3</v>
      </c>
      <c r="R249" s="381">
        <f t="shared" si="589"/>
        <v>2.0917449044121224E-3</v>
      </c>
      <c r="S249" s="379">
        <f t="shared" si="589"/>
        <v>3.5171102661596958E-3</v>
      </c>
      <c r="T249" s="380">
        <f t="shared" si="589"/>
        <v>2.2494811279718629E-3</v>
      </c>
      <c r="U249" s="379">
        <f t="shared" ref="U249" si="590">U246/U28</f>
        <v>9.7222222222222224E-3</v>
      </c>
      <c r="V249" s="382">
        <f t="shared" ref="V249" si="591">U249</f>
        <v>9.7222222222222224E-3</v>
      </c>
      <c r="W249" s="382">
        <f t="shared" ref="W249" si="592">V249</f>
        <v>9.7222222222222224E-3</v>
      </c>
      <c r="X249" s="382">
        <f t="shared" ref="X249" si="593">W249</f>
        <v>9.7222222222222224E-3</v>
      </c>
      <c r="Y249" s="380">
        <f>Y246/Y28</f>
        <v>9.7222222222222224E-3</v>
      </c>
      <c r="Z249" s="382">
        <f>X249</f>
        <v>9.7222222222222224E-3</v>
      </c>
      <c r="AA249" s="382">
        <f t="shared" ref="AA249:AC249" si="594">Z249</f>
        <v>9.7222222222222224E-3</v>
      </c>
      <c r="AB249" s="382">
        <f t="shared" si="594"/>
        <v>9.7222222222222224E-3</v>
      </c>
      <c r="AC249" s="382">
        <f t="shared" si="594"/>
        <v>9.7222222222222224E-3</v>
      </c>
      <c r="AD249" s="380">
        <f>AD246/AD28</f>
        <v>9.7222222222222224E-3</v>
      </c>
      <c r="AE249" s="383">
        <f>AC249</f>
        <v>9.7222222222222224E-3</v>
      </c>
      <c r="AF249" s="383">
        <f t="shared" ref="AF249:AG249" si="595">AE249</f>
        <v>9.7222222222222224E-3</v>
      </c>
      <c r="AG249" s="383">
        <f t="shared" si="595"/>
        <v>9.7222222222222224E-3</v>
      </c>
      <c r="AH249" s="9"/>
      <c r="AI249" s="9"/>
      <c r="AJ249" s="9"/>
      <c r="AK249" s="9"/>
    </row>
    <row r="250" spans="1:40" ht="13.5" customHeight="1" x14ac:dyDescent="0.25">
      <c r="A250" s="205"/>
      <c r="B250" s="9"/>
      <c r="C250" s="9"/>
      <c r="D250" s="9"/>
      <c r="E250" s="9"/>
      <c r="F250" s="250"/>
      <c r="G250" s="250"/>
      <c r="H250" s="250"/>
      <c r="I250" s="250"/>
      <c r="J250" s="9"/>
      <c r="K250" s="250"/>
      <c r="L250" s="250"/>
      <c r="M250" s="250"/>
      <c r="N250" s="375"/>
      <c r="O250" s="9"/>
      <c r="P250" s="250"/>
      <c r="Q250" s="250"/>
      <c r="R250" s="375"/>
      <c r="S250" s="250"/>
      <c r="T250" s="9"/>
      <c r="U250" s="250"/>
      <c r="V250" s="251"/>
      <c r="W250" s="251"/>
      <c r="X250" s="251"/>
      <c r="Y250" s="9"/>
      <c r="Z250" s="251"/>
      <c r="AA250" s="251"/>
      <c r="AB250" s="251"/>
      <c r="AC250" s="251"/>
      <c r="AD250" s="9"/>
      <c r="AE250" s="9"/>
      <c r="AF250" s="9"/>
      <c r="AG250" s="9"/>
      <c r="AH250" s="9"/>
      <c r="AI250" s="9"/>
      <c r="AJ250" s="9"/>
      <c r="AK250" s="9"/>
    </row>
    <row r="251" spans="1:40" ht="13.5" customHeight="1" x14ac:dyDescent="0.25">
      <c r="A251" s="205"/>
      <c r="B251" s="9"/>
      <c r="C251" s="9" t="s">
        <v>330</v>
      </c>
      <c r="D251" s="9"/>
      <c r="E251" s="9"/>
      <c r="F251" s="250"/>
      <c r="G251" s="250"/>
      <c r="H251" s="250"/>
      <c r="I251" s="250"/>
      <c r="J251" s="9"/>
      <c r="K251" s="250"/>
      <c r="L251" s="250"/>
      <c r="M251" s="250"/>
      <c r="N251" s="375"/>
      <c r="O251" s="9"/>
      <c r="P251" s="250"/>
      <c r="Q251" s="250"/>
      <c r="R251" s="375"/>
      <c r="S251" s="250"/>
      <c r="T251" s="9"/>
      <c r="U251" s="250"/>
      <c r="V251" s="251"/>
      <c r="W251" s="251"/>
      <c r="X251" s="251"/>
      <c r="Y251" s="9"/>
      <c r="Z251" s="251"/>
      <c r="AA251" s="251"/>
      <c r="AB251" s="251"/>
      <c r="AC251" s="251"/>
      <c r="AD251" s="9"/>
      <c r="AE251" s="9"/>
      <c r="AF251" s="9"/>
      <c r="AG251" s="9"/>
      <c r="AH251" s="9"/>
      <c r="AI251" s="9"/>
      <c r="AJ251" s="9"/>
      <c r="AK251" s="9"/>
    </row>
    <row r="252" spans="1:40" ht="13.5" customHeight="1" x14ac:dyDescent="0.25">
      <c r="A252" s="205"/>
      <c r="B252" s="9"/>
      <c r="C252" s="103" t="s">
        <v>379</v>
      </c>
      <c r="D252" s="9"/>
      <c r="E252" s="9"/>
      <c r="F252" s="351">
        <v>16279</v>
      </c>
      <c r="G252" s="288">
        <f t="shared" ref="G252:I252" si="596">F256</f>
        <v>17427</v>
      </c>
      <c r="H252" s="288">
        <f t="shared" si="596"/>
        <v>18130</v>
      </c>
      <c r="I252" s="288">
        <f t="shared" si="596"/>
        <v>18953</v>
      </c>
      <c r="J252" s="222">
        <f>F252</f>
        <v>16279</v>
      </c>
      <c r="K252" s="288">
        <f t="shared" ref="K252:N252" si="597">J256</f>
        <v>19612</v>
      </c>
      <c r="L252" s="288">
        <f t="shared" si="597"/>
        <v>20421</v>
      </c>
      <c r="M252" s="288">
        <f t="shared" si="597"/>
        <v>21265</v>
      </c>
      <c r="N252" s="378">
        <f t="shared" si="597"/>
        <v>21466</v>
      </c>
      <c r="O252" s="222">
        <f>K252</f>
        <v>19612</v>
      </c>
      <c r="P252" s="288">
        <f t="shared" ref="P252:U252" si="598">O256</f>
        <v>22148</v>
      </c>
      <c r="Q252" s="288">
        <f t="shared" si="598"/>
        <v>23391</v>
      </c>
      <c r="R252" s="378">
        <f t="shared" si="598"/>
        <v>24367</v>
      </c>
      <c r="S252" s="288">
        <f t="shared" si="598"/>
        <v>24469</v>
      </c>
      <c r="T252" s="222">
        <f>P252</f>
        <v>22148</v>
      </c>
      <c r="U252" s="288">
        <f t="shared" si="598"/>
        <v>25487</v>
      </c>
      <c r="V252" s="221">
        <f t="shared" ref="V252" si="599">U256</f>
        <v>26088</v>
      </c>
      <c r="W252" s="221">
        <f t="shared" ref="W252" si="600">V256</f>
        <v>28379.428469585997</v>
      </c>
      <c r="X252" s="221">
        <f t="shared" ref="X252" si="601">W256</f>
        <v>30977.298767584398</v>
      </c>
      <c r="Y252" s="222">
        <f>T256</f>
        <v>25487</v>
      </c>
      <c r="Z252" s="221">
        <f t="shared" ref="Z252:AC252" si="602">Y256</f>
        <v>33791.268248204477</v>
      </c>
      <c r="AA252" s="221">
        <f t="shared" si="602"/>
        <v>36566.745290963881</v>
      </c>
      <c r="AB252" s="221">
        <f t="shared" si="602"/>
        <v>39593.632218586608</v>
      </c>
      <c r="AC252" s="221">
        <f t="shared" si="602"/>
        <v>42898.639521226534</v>
      </c>
      <c r="AD252" s="222">
        <f>Y256</f>
        <v>33791.268248204477</v>
      </c>
      <c r="AE252" s="222">
        <f t="shared" ref="AE252:AG252" si="603">AD256</f>
        <v>46417.247977164334</v>
      </c>
      <c r="AF252" s="222">
        <f t="shared" si="603"/>
        <v>60879.403673960995</v>
      </c>
      <c r="AG252" s="222">
        <f t="shared" si="603"/>
        <v>77153.81075667197</v>
      </c>
      <c r="AH252" s="9"/>
      <c r="AI252" s="9"/>
      <c r="AJ252" s="9"/>
      <c r="AK252" s="9"/>
      <c r="AN252">
        <v>4</v>
      </c>
    </row>
    <row r="253" spans="1:40" ht="13.5" customHeight="1" x14ac:dyDescent="0.25">
      <c r="A253" s="205"/>
      <c r="B253" s="9"/>
      <c r="C253" s="103" t="s">
        <v>282</v>
      </c>
      <c r="D253" s="9"/>
      <c r="E253" s="9"/>
      <c r="F253" s="319">
        <f>F45</f>
        <v>1816</v>
      </c>
      <c r="G253" s="319">
        <f>G45</f>
        <v>2174</v>
      </c>
      <c r="H253" s="319">
        <f>H45</f>
        <v>2451</v>
      </c>
      <c r="I253" s="319">
        <f>I45</f>
        <v>1933</v>
      </c>
      <c r="J253" s="126">
        <f t="shared" ref="J253:J255" si="604">SUM(F253:I253)</f>
        <v>8374</v>
      </c>
      <c r="K253" s="319">
        <f>K45</f>
        <v>2437</v>
      </c>
      <c r="L253" s="319">
        <f>L45</f>
        <v>3015</v>
      </c>
      <c r="M253" s="319">
        <f>M45</f>
        <v>2507</v>
      </c>
      <c r="N253" s="371">
        <f>N45</f>
        <v>2170</v>
      </c>
      <c r="O253" s="126">
        <f t="shared" ref="O253:O255" si="605">SUM(K253:N253)</f>
        <v>10129</v>
      </c>
      <c r="P253" s="319">
        <f>P45</f>
        <v>2584</v>
      </c>
      <c r="Q253" s="319">
        <f>Q45</f>
        <v>2885</v>
      </c>
      <c r="R253" s="371">
        <f>R45</f>
        <v>2902</v>
      </c>
      <c r="S253" s="319">
        <f>S45</f>
        <v>2462</v>
      </c>
      <c r="T253" s="126">
        <f t="shared" ref="T253:T255" si="606">SUM(P253:S253)</f>
        <v>10833</v>
      </c>
      <c r="U253" s="319">
        <f>U45</f>
        <v>2971</v>
      </c>
      <c r="V253" s="294">
        <f>V45</f>
        <v>2953.3484695859979</v>
      </c>
      <c r="W253" s="294">
        <f>W45</f>
        <v>3254.4002979984007</v>
      </c>
      <c r="X253" s="294">
        <f>X45</f>
        <v>3471.6294806200799</v>
      </c>
      <c r="Y253" s="126">
        <f t="shared" ref="Y253:Y255" si="607">SUM(U253:X253)</f>
        <v>12650.378248204479</v>
      </c>
      <c r="Z253" s="294">
        <f>Z45</f>
        <v>3528.0570427594084</v>
      </c>
      <c r="AA253" s="294">
        <f>AA45</f>
        <v>3774.856527622725</v>
      </c>
      <c r="AB253" s="294">
        <f>AB45</f>
        <v>4050.1688526399221</v>
      </c>
      <c r="AC253" s="294">
        <f>AC45</f>
        <v>4263.0795759377934</v>
      </c>
      <c r="AD253" s="126">
        <f t="shared" ref="AD253:AD255" si="608">SUM(Z253:AC253)</f>
        <v>15616.161998959851</v>
      </c>
      <c r="AE253" s="126">
        <f>AE45</f>
        <v>17841.06166189666</v>
      </c>
      <c r="AF253" s="126">
        <f>AF45</f>
        <v>19545.188056927778</v>
      </c>
      <c r="AG253" s="126">
        <f>AG45</f>
        <v>21063.726501004181</v>
      </c>
      <c r="AH253" s="9"/>
      <c r="AI253" s="9"/>
      <c r="AJ253" s="9"/>
      <c r="AK253" s="9"/>
    </row>
    <row r="254" spans="1:40" ht="13.5" customHeight="1" x14ac:dyDescent="0.25">
      <c r="A254" s="205"/>
      <c r="B254" s="9"/>
      <c r="C254" s="103" t="s">
        <v>384</v>
      </c>
      <c r="D254" s="9"/>
      <c r="E254" s="9"/>
      <c r="F254" s="372">
        <f>-450-14</f>
        <v>-464</v>
      </c>
      <c r="G254" s="372">
        <f>-445-15</f>
        <v>-460</v>
      </c>
      <c r="H254" s="293">
        <f>-14-439</f>
        <v>-453</v>
      </c>
      <c r="I254" s="293">
        <f>-58-1770-SUM(F254:H254)</f>
        <v>-451</v>
      </c>
      <c r="J254" s="126">
        <f t="shared" si="604"/>
        <v>-1828</v>
      </c>
      <c r="K254" s="293">
        <f>-14-507</f>
        <v>-521</v>
      </c>
      <c r="L254" s="293">
        <f>-15-503</f>
        <v>-518</v>
      </c>
      <c r="M254" s="293">
        <f>-15-494</f>
        <v>-509</v>
      </c>
      <c r="N254" s="293">
        <f>-58-1999-SUM(K254:M254)</f>
        <v>-509</v>
      </c>
      <c r="O254" s="126">
        <f t="shared" si="605"/>
        <v>-2057</v>
      </c>
      <c r="P254" s="293">
        <f>-14-576</f>
        <v>-590</v>
      </c>
      <c r="Q254" s="293">
        <f>-15-576</f>
        <v>-591</v>
      </c>
      <c r="R254" s="372">
        <f>-14-567</f>
        <v>-581</v>
      </c>
      <c r="S254" s="293">
        <f>-58-2286-SUM(P254:R254)</f>
        <v>-582</v>
      </c>
      <c r="T254" s="126">
        <f t="shared" si="606"/>
        <v>-2344</v>
      </c>
      <c r="U254" s="293">
        <f>-14-652</f>
        <v>-666</v>
      </c>
      <c r="V254" s="294">
        <f t="shared" ref="V254:X254" si="609">-V267</f>
        <v>-661.92000000000007</v>
      </c>
      <c r="W254" s="294">
        <f t="shared" si="609"/>
        <v>-656.53</v>
      </c>
      <c r="X254" s="294">
        <f t="shared" si="609"/>
        <v>-657.66</v>
      </c>
      <c r="Y254" s="126">
        <f t="shared" si="607"/>
        <v>-2642.11</v>
      </c>
      <c r="Z254" s="294">
        <f t="shared" ref="Z254:AC254" si="610">-Z267</f>
        <v>-752.57999999999993</v>
      </c>
      <c r="AA254" s="294">
        <f t="shared" si="610"/>
        <v>-747.96960000000001</v>
      </c>
      <c r="AB254" s="294">
        <f t="shared" si="610"/>
        <v>-745.16154999999992</v>
      </c>
      <c r="AC254" s="294">
        <f t="shared" si="610"/>
        <v>-744.47112000000004</v>
      </c>
      <c r="AD254" s="126">
        <f t="shared" si="608"/>
        <v>-2990.1822699999998</v>
      </c>
      <c r="AE254" s="126">
        <f t="shared" ref="AE254:AG254" si="611">-AE267</f>
        <v>-3378.9059650999993</v>
      </c>
      <c r="AF254" s="126">
        <f t="shared" si="611"/>
        <v>-3270.7809742167992</v>
      </c>
      <c r="AG254" s="126">
        <f t="shared" si="611"/>
        <v>-3368.9044034433032</v>
      </c>
      <c r="AH254" s="9"/>
      <c r="AI254" s="9"/>
      <c r="AJ254" s="9"/>
      <c r="AK254" s="9"/>
    </row>
    <row r="255" spans="1:40" ht="13.5" customHeight="1" x14ac:dyDescent="0.25">
      <c r="A255" s="205"/>
      <c r="B255" s="9"/>
      <c r="C255" s="103" t="s">
        <v>385</v>
      </c>
      <c r="D255" s="9"/>
      <c r="E255" s="9"/>
      <c r="F255" s="307">
        <f t="shared" ref="F255:I255" si="612">F256-SUM(F252:F254)</f>
        <v>-204</v>
      </c>
      <c r="G255" s="307">
        <f t="shared" si="612"/>
        <v>-1011</v>
      </c>
      <c r="H255" s="307">
        <f t="shared" si="612"/>
        <v>-1175</v>
      </c>
      <c r="I255" s="307">
        <f t="shared" si="612"/>
        <v>-823</v>
      </c>
      <c r="J255" s="290">
        <f t="shared" si="604"/>
        <v>-3213</v>
      </c>
      <c r="K255" s="307">
        <f t="shared" ref="K255:N255" si="613">K256-SUM(K252:K254)</f>
        <v>-1107</v>
      </c>
      <c r="L255" s="307">
        <f t="shared" si="613"/>
        <v>-1653</v>
      </c>
      <c r="M255" s="307">
        <f t="shared" si="613"/>
        <v>-1797</v>
      </c>
      <c r="N255" s="384">
        <f t="shared" si="613"/>
        <v>-979</v>
      </c>
      <c r="O255" s="290">
        <f t="shared" si="605"/>
        <v>-5536</v>
      </c>
      <c r="P255" s="307">
        <f t="shared" ref="P255:S255" si="614">P256-SUM(P252:P254)</f>
        <v>-751</v>
      </c>
      <c r="Q255" s="307">
        <f t="shared" si="614"/>
        <v>-1318</v>
      </c>
      <c r="R255" s="384">
        <f t="shared" si="614"/>
        <v>-2219</v>
      </c>
      <c r="S255" s="307">
        <f t="shared" si="614"/>
        <v>-862</v>
      </c>
      <c r="T255" s="290">
        <f t="shared" si="606"/>
        <v>-5150</v>
      </c>
      <c r="U255" s="307">
        <f t="shared" ref="U255" si="615">U256-SUM(U252:U254)</f>
        <v>-1704</v>
      </c>
      <c r="V255" s="303">
        <v>0</v>
      </c>
      <c r="W255" s="303">
        <v>0</v>
      </c>
      <c r="X255" s="303">
        <v>0</v>
      </c>
      <c r="Y255" s="290">
        <f t="shared" si="607"/>
        <v>-1704</v>
      </c>
      <c r="Z255" s="303">
        <v>0</v>
      </c>
      <c r="AA255" s="303">
        <v>0</v>
      </c>
      <c r="AB255" s="303">
        <v>0</v>
      </c>
      <c r="AC255" s="303">
        <v>0</v>
      </c>
      <c r="AD255" s="290">
        <f t="shared" si="608"/>
        <v>0</v>
      </c>
      <c r="AE255" s="304">
        <v>0</v>
      </c>
      <c r="AF255" s="304">
        <v>0</v>
      </c>
      <c r="AG255" s="304">
        <v>0</v>
      </c>
      <c r="AH255" s="9"/>
      <c r="AI255" s="9"/>
      <c r="AJ255" s="9"/>
      <c r="AK255" s="9"/>
    </row>
    <row r="256" spans="1:40" ht="13.5" customHeight="1" x14ac:dyDescent="0.25">
      <c r="A256" s="205"/>
      <c r="B256" s="9"/>
      <c r="C256" s="103" t="s">
        <v>382</v>
      </c>
      <c r="D256" s="9"/>
      <c r="E256" s="9"/>
      <c r="F256" s="288">
        <f t="shared" ref="F256:T256" si="616">F148</f>
        <v>17427</v>
      </c>
      <c r="G256" s="288">
        <f t="shared" si="616"/>
        <v>18130</v>
      </c>
      <c r="H256" s="288">
        <f t="shared" si="616"/>
        <v>18953</v>
      </c>
      <c r="I256" s="288">
        <f t="shared" si="616"/>
        <v>19612</v>
      </c>
      <c r="J256" s="222">
        <f t="shared" si="616"/>
        <v>19612</v>
      </c>
      <c r="K256" s="288">
        <f t="shared" si="616"/>
        <v>20421</v>
      </c>
      <c r="L256" s="288">
        <f t="shared" si="616"/>
        <v>21265</v>
      </c>
      <c r="M256" s="288">
        <f t="shared" si="616"/>
        <v>21466</v>
      </c>
      <c r="N256" s="378">
        <f t="shared" si="616"/>
        <v>22148</v>
      </c>
      <c r="O256" s="222">
        <f t="shared" si="616"/>
        <v>22148</v>
      </c>
      <c r="P256" s="288">
        <f t="shared" si="616"/>
        <v>23391</v>
      </c>
      <c r="Q256" s="288">
        <f t="shared" si="616"/>
        <v>24367</v>
      </c>
      <c r="R256" s="378">
        <f t="shared" si="616"/>
        <v>24469</v>
      </c>
      <c r="S256" s="288">
        <f t="shared" si="616"/>
        <v>25487</v>
      </c>
      <c r="T256" s="222">
        <f t="shared" si="616"/>
        <v>25487</v>
      </c>
      <c r="U256" s="288">
        <f t="shared" ref="U256" si="617">U148</f>
        <v>26088</v>
      </c>
      <c r="V256" s="221">
        <f t="shared" ref="V256:X256" si="618">SUM(V252:V255)</f>
        <v>28379.428469585997</v>
      </c>
      <c r="W256" s="221">
        <f t="shared" si="618"/>
        <v>30977.298767584398</v>
      </c>
      <c r="X256" s="221">
        <f t="shared" si="618"/>
        <v>33791.268248204477</v>
      </c>
      <c r="Y256" s="222">
        <f t="shared" ref="Y256:AG256" si="619">SUM(Y252:Y255)</f>
        <v>33791.268248204477</v>
      </c>
      <c r="Z256" s="221">
        <f t="shared" si="619"/>
        <v>36566.745290963881</v>
      </c>
      <c r="AA256" s="221">
        <f t="shared" si="619"/>
        <v>39593.632218586608</v>
      </c>
      <c r="AB256" s="221">
        <f t="shared" si="619"/>
        <v>42898.639521226534</v>
      </c>
      <c r="AC256" s="221">
        <f t="shared" si="619"/>
        <v>46417.247977164327</v>
      </c>
      <c r="AD256" s="222">
        <f t="shared" si="619"/>
        <v>46417.247977164334</v>
      </c>
      <c r="AE256" s="222">
        <f t="shared" si="619"/>
        <v>60879.403673960995</v>
      </c>
      <c r="AF256" s="222">
        <f t="shared" si="619"/>
        <v>77153.81075667197</v>
      </c>
      <c r="AG256" s="222">
        <f t="shared" si="619"/>
        <v>94848.632854232856</v>
      </c>
      <c r="AH256" s="9"/>
      <c r="AI256" s="9"/>
      <c r="AJ256" s="9"/>
      <c r="AK256" s="9"/>
    </row>
    <row r="257" spans="1:37" ht="13.5" customHeight="1" x14ac:dyDescent="0.25">
      <c r="A257" s="205"/>
      <c r="B257" s="9"/>
      <c r="C257" s="9"/>
      <c r="D257" s="9"/>
      <c r="E257" s="9"/>
      <c r="F257" s="250"/>
      <c r="G257" s="250"/>
      <c r="H257" s="250"/>
      <c r="I257" s="250"/>
      <c r="J257" s="9"/>
      <c r="K257" s="250"/>
      <c r="L257" s="250"/>
      <c r="M257" s="250"/>
      <c r="N257" s="375"/>
      <c r="O257" s="9"/>
      <c r="P257" s="250"/>
      <c r="Q257" s="250"/>
      <c r="R257" s="375"/>
      <c r="S257" s="250"/>
      <c r="T257" s="9"/>
      <c r="U257" s="250"/>
      <c r="V257" s="251"/>
      <c r="W257" s="251"/>
      <c r="X257" s="251"/>
      <c r="Y257" s="9"/>
      <c r="Z257" s="251"/>
      <c r="AA257" s="251"/>
      <c r="AB257" s="251"/>
      <c r="AC257" s="251"/>
      <c r="AD257" s="9"/>
      <c r="AE257" s="9"/>
      <c r="AF257" s="9"/>
      <c r="AG257" s="9"/>
      <c r="AH257" s="9"/>
      <c r="AI257" s="9"/>
      <c r="AJ257" s="9"/>
      <c r="AK257" s="9"/>
    </row>
    <row r="258" spans="1:37" ht="13.5" customHeight="1" x14ac:dyDescent="0.25">
      <c r="A258" s="205"/>
      <c r="B258" s="9"/>
      <c r="C258" s="9" t="s">
        <v>386</v>
      </c>
      <c r="D258" s="9"/>
      <c r="E258" s="9"/>
      <c r="F258" s="250"/>
      <c r="G258" s="250"/>
      <c r="H258" s="250"/>
      <c r="I258" s="250"/>
      <c r="J258" s="9"/>
      <c r="K258" s="250"/>
      <c r="L258" s="250"/>
      <c r="M258" s="250"/>
      <c r="N258" s="375"/>
      <c r="O258" s="9"/>
      <c r="P258" s="250"/>
      <c r="Q258" s="250"/>
      <c r="R258" s="250"/>
      <c r="S258" s="250"/>
      <c r="T258" s="9"/>
      <c r="U258" s="250"/>
      <c r="V258" s="251"/>
      <c r="W258" s="251"/>
      <c r="X258" s="251"/>
      <c r="Y258" s="9"/>
      <c r="Z258" s="251"/>
      <c r="AA258" s="251"/>
      <c r="AB258" s="251"/>
      <c r="AC258" s="251"/>
      <c r="AD258" s="9"/>
      <c r="AE258" s="9"/>
      <c r="AF258" s="9"/>
      <c r="AG258" s="9"/>
      <c r="AH258" s="9"/>
      <c r="AI258" s="9"/>
      <c r="AJ258" s="9"/>
      <c r="AK258" s="9"/>
    </row>
    <row r="259" spans="1:37" ht="13.5" customHeight="1" x14ac:dyDescent="0.25">
      <c r="A259" s="205"/>
      <c r="B259" s="9"/>
      <c r="C259" s="103" t="s">
        <v>379</v>
      </c>
      <c r="D259" s="9"/>
      <c r="E259" s="9"/>
      <c r="F259" s="351">
        <v>-2945</v>
      </c>
      <c r="G259" s="288">
        <f t="shared" ref="G259:I259" si="620">F261</f>
        <v>-3106</v>
      </c>
      <c r="H259" s="288">
        <f t="shared" si="620"/>
        <v>-3084</v>
      </c>
      <c r="I259" s="288">
        <f t="shared" si="620"/>
        <v>-3176</v>
      </c>
      <c r="J259" s="222">
        <f>F259</f>
        <v>-2945</v>
      </c>
      <c r="K259" s="288">
        <f t="shared" ref="K259:N259" si="621">J261</f>
        <v>-3072</v>
      </c>
      <c r="L259" s="288">
        <f t="shared" si="621"/>
        <v>-3155</v>
      </c>
      <c r="M259" s="288">
        <f t="shared" si="621"/>
        <v>-3200</v>
      </c>
      <c r="N259" s="378">
        <f t="shared" si="621"/>
        <v>-3195</v>
      </c>
      <c r="O259" s="222">
        <f>K259</f>
        <v>-3072</v>
      </c>
      <c r="P259" s="288">
        <f t="shared" ref="P259:U259" si="622">O261</f>
        <v>-3395</v>
      </c>
      <c r="Q259" s="288">
        <f t="shared" si="622"/>
        <v>-3366</v>
      </c>
      <c r="R259" s="288">
        <f t="shared" si="622"/>
        <v>-3248</v>
      </c>
      <c r="S259" s="288">
        <f t="shared" si="622"/>
        <v>-3249</v>
      </c>
      <c r="T259" s="222">
        <f>P259</f>
        <v>-3395</v>
      </c>
      <c r="U259" s="288">
        <f t="shared" si="622"/>
        <v>-3277</v>
      </c>
      <c r="V259" s="221">
        <f t="shared" ref="V259" si="623">U261</f>
        <v>-3311</v>
      </c>
      <c r="W259" s="221">
        <f t="shared" ref="W259" si="624">V261</f>
        <v>-3311</v>
      </c>
      <c r="X259" s="221">
        <f t="shared" ref="X259" si="625">W261</f>
        <v>-3311</v>
      </c>
      <c r="Y259" s="222">
        <f>T261</f>
        <v>-3277</v>
      </c>
      <c r="Z259" s="221">
        <f t="shared" ref="Z259:AC259" si="626">Y261</f>
        <v>-3311</v>
      </c>
      <c r="AA259" s="221">
        <f t="shared" si="626"/>
        <v>-3311</v>
      </c>
      <c r="AB259" s="221">
        <f t="shared" si="626"/>
        <v>-3311</v>
      </c>
      <c r="AC259" s="221">
        <f t="shared" si="626"/>
        <v>-3311</v>
      </c>
      <c r="AD259" s="222">
        <f>Y261</f>
        <v>-3311</v>
      </c>
      <c r="AE259" s="222">
        <f t="shared" ref="AE259:AG259" si="627">AD261</f>
        <v>-3311</v>
      </c>
      <c r="AF259" s="222">
        <f t="shared" si="627"/>
        <v>-3311</v>
      </c>
      <c r="AG259" s="222">
        <f t="shared" si="627"/>
        <v>-3311</v>
      </c>
      <c r="AH259" s="9"/>
      <c r="AI259" s="9"/>
      <c r="AJ259" s="9"/>
      <c r="AK259" s="9"/>
    </row>
    <row r="260" spans="1:37" ht="13.5" customHeight="1" x14ac:dyDescent="0.25">
      <c r="A260" s="205"/>
      <c r="B260" s="9"/>
      <c r="C260" s="103" t="s">
        <v>387</v>
      </c>
      <c r="D260" s="9"/>
      <c r="E260" s="9"/>
      <c r="F260" s="307">
        <f t="shared" ref="F260:I260" si="628">F261-F259</f>
        <v>-161</v>
      </c>
      <c r="G260" s="307">
        <f t="shared" si="628"/>
        <v>22</v>
      </c>
      <c r="H260" s="307">
        <f t="shared" si="628"/>
        <v>-92</v>
      </c>
      <c r="I260" s="307">
        <f t="shared" si="628"/>
        <v>104</v>
      </c>
      <c r="J260" s="290">
        <f>SUM(F260:I260)</f>
        <v>-127</v>
      </c>
      <c r="K260" s="307">
        <f t="shared" ref="K260:N260" si="629">K261-K259</f>
        <v>-83</v>
      </c>
      <c r="L260" s="307">
        <f t="shared" si="629"/>
        <v>-45</v>
      </c>
      <c r="M260" s="307">
        <f t="shared" si="629"/>
        <v>5</v>
      </c>
      <c r="N260" s="384">
        <f t="shared" si="629"/>
        <v>-200</v>
      </c>
      <c r="O260" s="290">
        <f>SUM(K260:N260)</f>
        <v>-323</v>
      </c>
      <c r="P260" s="307">
        <f t="shared" ref="P260:S260" si="630">P261-P259</f>
        <v>29</v>
      </c>
      <c r="Q260" s="307">
        <f t="shared" si="630"/>
        <v>118</v>
      </c>
      <c r="R260" s="307">
        <f t="shared" si="630"/>
        <v>-1</v>
      </c>
      <c r="S260" s="307">
        <f t="shared" si="630"/>
        <v>-28</v>
      </c>
      <c r="T260" s="290">
        <f>SUM(P260:S260)</f>
        <v>118</v>
      </c>
      <c r="U260" s="307">
        <f t="shared" ref="U260" si="631">U261-U259</f>
        <v>-34</v>
      </c>
      <c r="V260" s="320">
        <f>Drivers!V110</f>
        <v>0</v>
      </c>
      <c r="W260" s="320">
        <f>Drivers!W110</f>
        <v>0</v>
      </c>
      <c r="X260" s="320">
        <f>Drivers!X110</f>
        <v>0</v>
      </c>
      <c r="Y260" s="290">
        <f>SUM(U260:X260)</f>
        <v>-34</v>
      </c>
      <c r="Z260" s="320">
        <f>Drivers!Z110</f>
        <v>0</v>
      </c>
      <c r="AA260" s="320">
        <f>Drivers!AA110</f>
        <v>0</v>
      </c>
      <c r="AB260" s="320">
        <f>Drivers!AB110</f>
        <v>0</v>
      </c>
      <c r="AC260" s="320">
        <f>Drivers!AC110</f>
        <v>0</v>
      </c>
      <c r="AD260" s="290">
        <f>SUM(Z260:AC260)</f>
        <v>0</v>
      </c>
      <c r="AE260" s="326">
        <f>Drivers!AE110</f>
        <v>0</v>
      </c>
      <c r="AF260" s="326">
        <f>Drivers!AF110</f>
        <v>0</v>
      </c>
      <c r="AG260" s="326">
        <f>Drivers!AG110</f>
        <v>0</v>
      </c>
      <c r="AH260" s="9"/>
      <c r="AI260" s="9"/>
      <c r="AJ260" s="9"/>
      <c r="AK260" s="9"/>
    </row>
    <row r="261" spans="1:37" ht="13.5" customHeight="1" x14ac:dyDescent="0.25">
      <c r="A261" s="205"/>
      <c r="B261" s="9"/>
      <c r="C261" s="103" t="s">
        <v>382</v>
      </c>
      <c r="D261" s="9"/>
      <c r="E261" s="9"/>
      <c r="F261" s="288">
        <f t="shared" ref="F261:I261" si="632">F150</f>
        <v>-3106</v>
      </c>
      <c r="G261" s="288">
        <f t="shared" si="632"/>
        <v>-3084</v>
      </c>
      <c r="H261" s="288">
        <f t="shared" si="632"/>
        <v>-3176</v>
      </c>
      <c r="I261" s="288">
        <f t="shared" si="632"/>
        <v>-3072</v>
      </c>
      <c r="J261" s="222">
        <f>SUM(J259:J260)</f>
        <v>-3072</v>
      </c>
      <c r="K261" s="288">
        <f t="shared" ref="K261:N261" si="633">K150</f>
        <v>-3155</v>
      </c>
      <c r="L261" s="288">
        <f t="shared" si="633"/>
        <v>-3200</v>
      </c>
      <c r="M261" s="288">
        <f t="shared" si="633"/>
        <v>-3195</v>
      </c>
      <c r="N261" s="288">
        <f t="shared" si="633"/>
        <v>-3395</v>
      </c>
      <c r="O261" s="222">
        <f>SUM(O259:O260)</f>
        <v>-3395</v>
      </c>
      <c r="P261" s="288">
        <f t="shared" ref="P261:S261" si="634">P150</f>
        <v>-3366</v>
      </c>
      <c r="Q261" s="288">
        <f t="shared" si="634"/>
        <v>-3248</v>
      </c>
      <c r="R261" s="288">
        <f t="shared" si="634"/>
        <v>-3249</v>
      </c>
      <c r="S261" s="288">
        <f t="shared" si="634"/>
        <v>-3277</v>
      </c>
      <c r="T261" s="222">
        <f>SUM(T259:T260)</f>
        <v>-3277</v>
      </c>
      <c r="U261" s="288">
        <f t="shared" ref="U261" si="635">U150</f>
        <v>-3311</v>
      </c>
      <c r="V261" s="221">
        <f t="shared" ref="V261:X261" si="636">SUM(V259:V260)</f>
        <v>-3311</v>
      </c>
      <c r="W261" s="221">
        <f t="shared" si="636"/>
        <v>-3311</v>
      </c>
      <c r="X261" s="221">
        <f t="shared" si="636"/>
        <v>-3311</v>
      </c>
      <c r="Y261" s="222">
        <f t="shared" ref="Y261:AG261" si="637">SUM(Y259:Y260)</f>
        <v>-3311</v>
      </c>
      <c r="Z261" s="221">
        <f t="shared" si="637"/>
        <v>-3311</v>
      </c>
      <c r="AA261" s="221">
        <f t="shared" si="637"/>
        <v>-3311</v>
      </c>
      <c r="AB261" s="221">
        <f t="shared" si="637"/>
        <v>-3311</v>
      </c>
      <c r="AC261" s="221">
        <f t="shared" si="637"/>
        <v>-3311</v>
      </c>
      <c r="AD261" s="222">
        <f t="shared" si="637"/>
        <v>-3311</v>
      </c>
      <c r="AE261" s="222">
        <f t="shared" si="637"/>
        <v>-3311</v>
      </c>
      <c r="AF261" s="222">
        <f t="shared" si="637"/>
        <v>-3311</v>
      </c>
      <c r="AG261" s="222">
        <f t="shared" si="637"/>
        <v>-3311</v>
      </c>
      <c r="AH261" s="9"/>
      <c r="AI261" s="9"/>
      <c r="AJ261" s="9"/>
      <c r="AK261" s="9"/>
    </row>
    <row r="262" spans="1:37" ht="13.5" customHeight="1" x14ac:dyDescent="0.25">
      <c r="A262" s="205"/>
      <c r="B262" s="9"/>
      <c r="C262" s="9"/>
      <c r="D262" s="9"/>
      <c r="E262" s="9"/>
      <c r="F262" s="250"/>
      <c r="G262" s="250"/>
      <c r="H262" s="250"/>
      <c r="I262" s="250"/>
      <c r="J262" s="9"/>
      <c r="K262" s="250"/>
      <c r="L262" s="250"/>
      <c r="M262" s="250"/>
      <c r="N262" s="250"/>
      <c r="O262" s="9"/>
      <c r="P262" s="250"/>
      <c r="Q262" s="250"/>
      <c r="R262" s="250"/>
      <c r="S262" s="250"/>
      <c r="T262" s="9"/>
      <c r="U262" s="250"/>
      <c r="V262" s="251"/>
      <c r="W262" s="251"/>
      <c r="X262" s="251"/>
      <c r="Y262" s="9"/>
      <c r="Z262" s="251"/>
      <c r="AA262" s="251"/>
      <c r="AB262" s="251"/>
      <c r="AC262" s="251"/>
      <c r="AD262" s="9"/>
      <c r="AE262" s="9"/>
      <c r="AF262" s="9"/>
      <c r="AG262" s="9"/>
      <c r="AH262" s="9"/>
      <c r="AI262" s="9"/>
      <c r="AJ262" s="9"/>
      <c r="AK262" s="9"/>
    </row>
    <row r="263" spans="1:37" ht="13.5" customHeight="1" x14ac:dyDescent="0.25">
      <c r="A263" s="205"/>
      <c r="B263" s="9"/>
      <c r="C263" s="9" t="s">
        <v>388</v>
      </c>
      <c r="D263" s="9"/>
      <c r="E263" s="9"/>
      <c r="F263" s="250"/>
      <c r="G263" s="250"/>
      <c r="H263" s="250"/>
      <c r="I263" s="250"/>
      <c r="J263" s="9"/>
      <c r="K263" s="250"/>
      <c r="L263" s="250"/>
      <c r="M263" s="250"/>
      <c r="N263" s="250"/>
      <c r="O263" s="9"/>
      <c r="P263" s="250"/>
      <c r="Q263" s="250"/>
      <c r="R263" s="250"/>
      <c r="S263" s="250"/>
      <c r="T263" s="9"/>
      <c r="U263" s="250"/>
      <c r="V263" s="251"/>
      <c r="W263" s="251"/>
      <c r="X263" s="251"/>
      <c r="Y263" s="9"/>
      <c r="Z263" s="251"/>
      <c r="AA263" s="251"/>
      <c r="AB263" s="251"/>
      <c r="AC263" s="251"/>
      <c r="AD263" s="9"/>
      <c r="AE263" s="9"/>
      <c r="AF263" s="9"/>
      <c r="AG263" s="9"/>
      <c r="AH263" s="9"/>
      <c r="AI263" s="9"/>
      <c r="AJ263" s="9"/>
      <c r="AK263" s="9"/>
    </row>
    <row r="264" spans="1:37" ht="13.5" customHeight="1" x14ac:dyDescent="0.25">
      <c r="A264" s="205"/>
      <c r="B264" s="9"/>
      <c r="C264" s="103" t="s">
        <v>389</v>
      </c>
      <c r="D264" s="9"/>
      <c r="E264" s="9"/>
      <c r="F264" s="305">
        <f t="shared" ref="F264:AG264" si="638">F267/F266</f>
        <v>0.62449528936742937</v>
      </c>
      <c r="G264" s="305">
        <f t="shared" si="638"/>
        <v>0.6216216216216216</v>
      </c>
      <c r="H264" s="305">
        <f t="shared" si="638"/>
        <v>0.61885245901639341</v>
      </c>
      <c r="I264" s="305">
        <f t="shared" si="638"/>
        <v>0.61360544217687074</v>
      </c>
      <c r="J264" s="91">
        <f t="shared" si="638"/>
        <v>2.4870748299319727</v>
      </c>
      <c r="K264" s="305">
        <f t="shared" si="638"/>
        <v>0.72260748959778087</v>
      </c>
      <c r="L264" s="305">
        <f t="shared" si="638"/>
        <v>0.72346368715083798</v>
      </c>
      <c r="M264" s="305">
        <f t="shared" si="638"/>
        <v>0.71892655367231639</v>
      </c>
      <c r="N264" s="305">
        <f t="shared" si="638"/>
        <v>0.7148876404494382</v>
      </c>
      <c r="O264" s="91">
        <f t="shared" si="638"/>
        <v>2.8890449438202248</v>
      </c>
      <c r="P264" s="305">
        <f t="shared" si="638"/>
        <v>0.84165477888730389</v>
      </c>
      <c r="Q264" s="305">
        <f t="shared" si="638"/>
        <v>0.84670487106017189</v>
      </c>
      <c r="R264" s="305">
        <f t="shared" si="638"/>
        <v>0.83959537572254339</v>
      </c>
      <c r="S264" s="305">
        <f t="shared" si="638"/>
        <v>0.83741007194244599</v>
      </c>
      <c r="T264" s="91">
        <f t="shared" si="638"/>
        <v>3.3726618705035971</v>
      </c>
      <c r="U264" s="305">
        <f t="shared" ref="U264" si="639">U267/U266</f>
        <v>0.9722627737226277</v>
      </c>
      <c r="V264" s="385">
        <f t="shared" ref="V264:X264" si="640">V267/V266</f>
        <v>0.96663370510986024</v>
      </c>
      <c r="W264" s="385">
        <f t="shared" si="640"/>
        <v>0.9594120314582959</v>
      </c>
      <c r="X264" s="385">
        <f t="shared" si="640"/>
        <v>0.96171494685093106</v>
      </c>
      <c r="Y264" s="386">
        <f t="shared" si="638"/>
        <v>3.86003416240372</v>
      </c>
      <c r="Z264" s="385">
        <f t="shared" si="638"/>
        <v>1.1012597045438888</v>
      </c>
      <c r="AA264" s="385">
        <f t="shared" si="638"/>
        <v>1.0952441482319351</v>
      </c>
      <c r="AB264" s="385">
        <f t="shared" si="638"/>
        <v>1.0918614783868463</v>
      </c>
      <c r="AC264" s="385">
        <f t="shared" si="638"/>
        <v>1.0915792406547022</v>
      </c>
      <c r="AD264" s="386">
        <f t="shared" si="638"/>
        <v>4.3799554015843976</v>
      </c>
      <c r="AE264" s="386">
        <f t="shared" si="638"/>
        <v>4.9625921174783398</v>
      </c>
      <c r="AF264" s="386">
        <f t="shared" si="638"/>
        <v>4.8166422209129554</v>
      </c>
      <c r="AG264" s="386">
        <f t="shared" si="638"/>
        <v>4.9744155516732169</v>
      </c>
      <c r="AH264" s="9"/>
      <c r="AI264" s="9"/>
      <c r="AJ264" s="9"/>
      <c r="AK264" s="9"/>
    </row>
    <row r="265" spans="1:37" ht="13.5" customHeight="1" x14ac:dyDescent="0.25">
      <c r="A265" s="205"/>
      <c r="B265" s="9"/>
      <c r="C265" s="103" t="s">
        <v>46</v>
      </c>
      <c r="D265" s="9"/>
      <c r="E265" s="9"/>
      <c r="F265" s="332">
        <f t="shared" ref="F265:I265" si="641">4*F264/F239</f>
        <v>1.4205181447083978E-2</v>
      </c>
      <c r="G265" s="332">
        <f t="shared" si="641"/>
        <v>1.5431555182067191E-2</v>
      </c>
      <c r="H265" s="332">
        <f t="shared" si="641"/>
        <v>1.5277478467355264E-2</v>
      </c>
      <c r="I265" s="332">
        <f t="shared" si="641"/>
        <v>1.5600468878837365E-2</v>
      </c>
      <c r="J265" s="333">
        <f>J264/J239</f>
        <v>1.5105820369676757E-2</v>
      </c>
      <c r="K265" s="332">
        <f t="shared" ref="K265:N265" si="642">4*K264/K239</f>
        <v>1.3532609009743544E-2</v>
      </c>
      <c r="L265" s="332">
        <f t="shared" si="642"/>
        <v>1.2242902012113855E-2</v>
      </c>
      <c r="M265" s="332">
        <f t="shared" si="642"/>
        <v>1.1723221421480903E-2</v>
      </c>
      <c r="N265" s="332">
        <f t="shared" si="642"/>
        <v>9.7247085930887694E-3</v>
      </c>
      <c r="O265" s="333">
        <f>O264/O239</f>
        <v>1.2049977209151207E-2</v>
      </c>
      <c r="P265" s="332">
        <f t="shared" ref="P265:S265" si="643">4*P264/P239</f>
        <v>1.1321313903719998E-2</v>
      </c>
      <c r="Q265" s="332">
        <f t="shared" si="643"/>
        <v>1.1611421709547064E-2</v>
      </c>
      <c r="R265" s="332">
        <f t="shared" si="643"/>
        <v>1.0652735846254436E-2</v>
      </c>
      <c r="S265" s="332">
        <f t="shared" si="643"/>
        <v>9.2877867399689014E-3</v>
      </c>
      <c r="T265" s="333">
        <f>T264/T239</f>
        <v>1.0737381227519634E-2</v>
      </c>
      <c r="U265" s="332">
        <f t="shared" ref="U265" si="644">4*U264/U239</f>
        <v>1.2503379291700459E-2</v>
      </c>
      <c r="V265" s="334">
        <f t="shared" ref="V265:X265" si="645">V264*4/V239</f>
        <v>1.2430989006042441E-2</v>
      </c>
      <c r="W265" s="334">
        <f t="shared" si="645"/>
        <v>1.2338117688506891E-2</v>
      </c>
      <c r="X265" s="334">
        <f t="shared" si="645"/>
        <v>1.2367733369996541E-2</v>
      </c>
      <c r="Y265" s="333">
        <f>Y264/Y239</f>
        <v>1.2410089256699204E-2</v>
      </c>
      <c r="Z265" s="334">
        <f t="shared" ref="Z265:AC265" si="646">Z264*4/Z239</f>
        <v>1.4162290439093219E-2</v>
      </c>
      <c r="AA265" s="334">
        <f t="shared" si="646"/>
        <v>1.4084929889813979E-2</v>
      </c>
      <c r="AB265" s="334">
        <f t="shared" si="646"/>
        <v>1.4041428477197098E-2</v>
      </c>
      <c r="AC265" s="334">
        <f t="shared" si="646"/>
        <v>1.4037798876732281E-2</v>
      </c>
      <c r="AD265" s="333">
        <f t="shared" ref="AD265:AG265" si="647">AD264/AD239</f>
        <v>1.4081646738632965E-2</v>
      </c>
      <c r="AE265" s="333">
        <f t="shared" si="647"/>
        <v>1.5954835768641779E-2</v>
      </c>
      <c r="AF265" s="333">
        <f t="shared" si="647"/>
        <v>1.5485603848099778E-2</v>
      </c>
      <c r="AG265" s="333">
        <f t="shared" si="647"/>
        <v>1.599284835285885E-2</v>
      </c>
      <c r="AH265" s="9"/>
      <c r="AI265" s="9"/>
      <c r="AJ265" s="9"/>
      <c r="AK265" s="9"/>
    </row>
    <row r="266" spans="1:37" ht="13.5" customHeight="1" x14ac:dyDescent="0.25">
      <c r="A266" s="205"/>
      <c r="B266" s="9"/>
      <c r="C266" s="103" t="s">
        <v>390</v>
      </c>
      <c r="D266" s="9"/>
      <c r="E266" s="9"/>
      <c r="F266" s="319">
        <f t="shared" ref="F266:AG266" si="648">F282</f>
        <v>743</v>
      </c>
      <c r="G266" s="319">
        <f t="shared" si="648"/>
        <v>740</v>
      </c>
      <c r="H266" s="319">
        <f t="shared" si="648"/>
        <v>732</v>
      </c>
      <c r="I266" s="319">
        <f t="shared" si="648"/>
        <v>735</v>
      </c>
      <c r="J266" s="126">
        <f t="shared" si="648"/>
        <v>735</v>
      </c>
      <c r="K266" s="319">
        <f t="shared" si="648"/>
        <v>721</v>
      </c>
      <c r="L266" s="319">
        <f t="shared" si="648"/>
        <v>716</v>
      </c>
      <c r="M266" s="319">
        <f t="shared" si="648"/>
        <v>708</v>
      </c>
      <c r="N266" s="319">
        <f t="shared" si="648"/>
        <v>712</v>
      </c>
      <c r="O266" s="126">
        <f t="shared" si="648"/>
        <v>712</v>
      </c>
      <c r="P266" s="319">
        <f t="shared" si="648"/>
        <v>701</v>
      </c>
      <c r="Q266" s="319">
        <f t="shared" si="648"/>
        <v>698</v>
      </c>
      <c r="R266" s="319">
        <f t="shared" si="648"/>
        <v>692</v>
      </c>
      <c r="S266" s="319">
        <f t="shared" si="648"/>
        <v>695</v>
      </c>
      <c r="T266" s="126">
        <f t="shared" si="648"/>
        <v>695</v>
      </c>
      <c r="U266" s="319">
        <f t="shared" ref="U266" si="649">U282</f>
        <v>685</v>
      </c>
      <c r="V266" s="294">
        <f t="shared" ref="V266:X266" si="650">V282</f>
        <v>684.76817692258237</v>
      </c>
      <c r="W266" s="294">
        <f t="shared" si="650"/>
        <v>684.30453076774688</v>
      </c>
      <c r="X266" s="294">
        <f t="shared" si="650"/>
        <v>683.84088461291162</v>
      </c>
      <c r="Y266" s="126">
        <f t="shared" si="648"/>
        <v>684.47839807581022</v>
      </c>
      <c r="Z266" s="294">
        <f t="shared" si="648"/>
        <v>683.38103800111139</v>
      </c>
      <c r="AA266" s="294">
        <f t="shared" si="648"/>
        <v>682.92499093234665</v>
      </c>
      <c r="AB266" s="294">
        <f t="shared" si="648"/>
        <v>682.46894386358167</v>
      </c>
      <c r="AC266" s="294">
        <f t="shared" si="648"/>
        <v>682.01289679481692</v>
      </c>
      <c r="AD266" s="126">
        <f t="shared" si="648"/>
        <v>682.69696739796404</v>
      </c>
      <c r="AE266" s="126">
        <f t="shared" si="648"/>
        <v>680.87521301608308</v>
      </c>
      <c r="AF266" s="126">
        <f t="shared" si="648"/>
        <v>679.05831992579454</v>
      </c>
      <c r="AG266" s="126">
        <f t="shared" si="648"/>
        <v>677.24627515490204</v>
      </c>
      <c r="AH266" s="9"/>
      <c r="AI266" s="9"/>
      <c r="AJ266" s="9"/>
      <c r="AK266" s="9"/>
    </row>
    <row r="267" spans="1:37" ht="13.5" customHeight="1" x14ac:dyDescent="0.25">
      <c r="A267" s="205"/>
      <c r="B267" s="9"/>
      <c r="C267" s="103" t="s">
        <v>391</v>
      </c>
      <c r="D267" s="9"/>
      <c r="E267" s="9"/>
      <c r="F267" s="288">
        <f t="shared" ref="F267:I267" si="651">-F254</f>
        <v>464</v>
      </c>
      <c r="G267" s="288">
        <f t="shared" si="651"/>
        <v>460</v>
      </c>
      <c r="H267" s="288">
        <f t="shared" si="651"/>
        <v>453</v>
      </c>
      <c r="I267" s="288">
        <f t="shared" si="651"/>
        <v>451</v>
      </c>
      <c r="J267" s="222">
        <f>SUM(F267:I267)</f>
        <v>1828</v>
      </c>
      <c r="K267" s="288">
        <f t="shared" ref="K267:N267" si="652">-K254</f>
        <v>521</v>
      </c>
      <c r="L267" s="288">
        <f t="shared" si="652"/>
        <v>518</v>
      </c>
      <c r="M267" s="288">
        <f t="shared" si="652"/>
        <v>509</v>
      </c>
      <c r="N267" s="288">
        <f t="shared" si="652"/>
        <v>509</v>
      </c>
      <c r="O267" s="222">
        <f>SUM(K267:N267)</f>
        <v>2057</v>
      </c>
      <c r="P267" s="288">
        <f t="shared" ref="P267:S267" si="653">-P254</f>
        <v>590</v>
      </c>
      <c r="Q267" s="288">
        <f t="shared" si="653"/>
        <v>591</v>
      </c>
      <c r="R267" s="288">
        <f t="shared" si="653"/>
        <v>581</v>
      </c>
      <c r="S267" s="288">
        <f t="shared" si="653"/>
        <v>582</v>
      </c>
      <c r="T267" s="222">
        <f>SUM(P267:S267)</f>
        <v>2344</v>
      </c>
      <c r="U267" s="288">
        <f t="shared" ref="U267" si="654">-U254</f>
        <v>666</v>
      </c>
      <c r="V267" s="221">
        <f t="shared" ref="V267" si="655">Q267*(1+V273)</f>
        <v>661.92000000000007</v>
      </c>
      <c r="W267" s="221">
        <f t="shared" ref="W267" si="656">R267*(1+W273)</f>
        <v>656.53</v>
      </c>
      <c r="X267" s="221">
        <f t="shared" ref="X267" si="657">S267*(1+X273)</f>
        <v>657.66</v>
      </c>
      <c r="Y267" s="222">
        <f>SUM(U267:X267)</f>
        <v>2642.11</v>
      </c>
      <c r="Z267" s="221">
        <f t="shared" ref="Z267:AC267" si="658">U267*(1+Z273)</f>
        <v>752.57999999999993</v>
      </c>
      <c r="AA267" s="221">
        <f t="shared" si="658"/>
        <v>747.96960000000001</v>
      </c>
      <c r="AB267" s="221">
        <f t="shared" si="658"/>
        <v>745.16154999999992</v>
      </c>
      <c r="AC267" s="221">
        <f t="shared" si="658"/>
        <v>744.47112000000004</v>
      </c>
      <c r="AD267" s="222">
        <f>SUM(Z267:AC267)</f>
        <v>2990.1822699999998</v>
      </c>
      <c r="AE267" s="222">
        <f t="shared" ref="AE267:AG267" si="659">AD267*(1+AE273)</f>
        <v>3378.9059650999993</v>
      </c>
      <c r="AF267" s="222">
        <f t="shared" si="659"/>
        <v>3270.7809742167992</v>
      </c>
      <c r="AG267" s="222">
        <f t="shared" si="659"/>
        <v>3368.9044034433032</v>
      </c>
      <c r="AH267" s="9"/>
      <c r="AI267" s="9"/>
      <c r="AJ267" s="9"/>
      <c r="AK267" s="9"/>
    </row>
    <row r="268" spans="1:37" ht="13.5" customHeight="1" x14ac:dyDescent="0.25">
      <c r="A268" s="205"/>
      <c r="B268" s="9"/>
      <c r="C268" s="103"/>
      <c r="D268" s="9"/>
      <c r="E268" s="9"/>
      <c r="F268" s="288"/>
      <c r="G268" s="288"/>
      <c r="H268" s="288"/>
      <c r="I268" s="288"/>
      <c r="J268" s="222"/>
      <c r="K268" s="288"/>
      <c r="L268" s="288"/>
      <c r="M268" s="288"/>
      <c r="N268" s="288"/>
      <c r="O268" s="222"/>
      <c r="P268" s="288"/>
      <c r="Q268" s="288"/>
      <c r="R268" s="288"/>
      <c r="S268" s="288"/>
      <c r="T268" s="222"/>
      <c r="U268" s="288"/>
      <c r="V268" s="294"/>
      <c r="W268" s="294"/>
      <c r="X268" s="294"/>
      <c r="Y268" s="126"/>
      <c r="Z268" s="294"/>
      <c r="AA268" s="294"/>
      <c r="AB268" s="294"/>
      <c r="AC268" s="294"/>
      <c r="AD268" s="126"/>
      <c r="AE268" s="9"/>
      <c r="AF268" s="9"/>
      <c r="AG268" s="9"/>
      <c r="AH268" s="9"/>
      <c r="AI268" s="9"/>
      <c r="AJ268" s="9"/>
      <c r="AK268" s="9"/>
    </row>
    <row r="269" spans="1:37" ht="13.5" customHeight="1" x14ac:dyDescent="0.25">
      <c r="A269" s="205" t="s">
        <v>0</v>
      </c>
      <c r="B269" s="9"/>
      <c r="C269" s="33" t="s">
        <v>42</v>
      </c>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31"/>
      <c r="AH269" s="205" t="s">
        <v>0</v>
      </c>
      <c r="AI269" s="9"/>
      <c r="AJ269" s="9"/>
      <c r="AK269" s="9"/>
    </row>
    <row r="270" spans="1:37" ht="13.5" customHeight="1" x14ac:dyDescent="0.25">
      <c r="A270" s="205"/>
      <c r="B270" s="9"/>
      <c r="C270" s="103"/>
      <c r="D270" s="9"/>
      <c r="E270" s="9"/>
      <c r="F270" s="288"/>
      <c r="G270" s="288"/>
      <c r="H270" s="288"/>
      <c r="I270" s="288"/>
      <c r="J270" s="222"/>
      <c r="K270" s="288"/>
      <c r="L270" s="288"/>
      <c r="M270" s="288"/>
      <c r="N270" s="288"/>
      <c r="O270" s="222"/>
      <c r="P270" s="288"/>
      <c r="Q270" s="288"/>
      <c r="R270" s="288"/>
      <c r="S270" s="288"/>
      <c r="T270" s="222"/>
      <c r="U270" s="288"/>
      <c r="V270" s="294"/>
      <c r="W270" s="294"/>
      <c r="X270" s="294"/>
      <c r="Y270" s="126"/>
      <c r="Z270" s="294"/>
      <c r="AA270" s="294"/>
      <c r="AB270" s="294"/>
      <c r="AC270" s="294"/>
      <c r="AD270" s="126"/>
      <c r="AE270" s="9"/>
      <c r="AF270" s="9"/>
      <c r="AG270" s="9"/>
      <c r="AH270" s="9"/>
      <c r="AI270" s="9"/>
      <c r="AJ270" s="9"/>
      <c r="AK270" s="9"/>
    </row>
    <row r="271" spans="1:37" ht="13.5" customHeight="1" x14ac:dyDescent="0.25">
      <c r="A271" s="205"/>
      <c r="B271" s="9"/>
      <c r="C271" s="103" t="s">
        <v>392</v>
      </c>
      <c r="D271" s="9"/>
      <c r="E271" s="9"/>
      <c r="F271" s="348">
        <v>0</v>
      </c>
      <c r="G271" s="348">
        <v>0</v>
      </c>
      <c r="H271" s="348">
        <v>0</v>
      </c>
      <c r="I271" s="348">
        <v>0</v>
      </c>
      <c r="J271" s="264">
        <f>SUM(F271:I271)</f>
        <v>0</v>
      </c>
      <c r="K271" s="348">
        <v>0</v>
      </c>
      <c r="L271" s="348">
        <v>0</v>
      </c>
      <c r="M271" s="348">
        <v>0</v>
      </c>
      <c r="N271" s="348">
        <v>0</v>
      </c>
      <c r="O271" s="264">
        <f>SUM(K271:N271)</f>
        <v>0</v>
      </c>
      <c r="P271" s="348">
        <v>0</v>
      </c>
      <c r="Q271" s="348">
        <v>0</v>
      </c>
      <c r="R271" s="348">
        <v>0</v>
      </c>
      <c r="S271" s="348">
        <v>0</v>
      </c>
      <c r="T271" s="264">
        <f>SUM(P271:S271)</f>
        <v>0</v>
      </c>
      <c r="U271" s="348">
        <v>0</v>
      </c>
      <c r="V271" s="352">
        <v>0</v>
      </c>
      <c r="W271" s="352">
        <v>0</v>
      </c>
      <c r="X271" s="352">
        <v>0</v>
      </c>
      <c r="Y271" s="264">
        <f t="shared" ref="Y271:Y272" si="660">SUM(U271:X271)</f>
        <v>0</v>
      </c>
      <c r="Z271" s="352">
        <v>0</v>
      </c>
      <c r="AA271" s="352">
        <v>0</v>
      </c>
      <c r="AB271" s="352">
        <v>0</v>
      </c>
      <c r="AC271" s="352">
        <v>0</v>
      </c>
      <c r="AD271" s="264">
        <f t="shared" ref="AD271:AD272" si="661">SUM(Z271:AC271)</f>
        <v>0</v>
      </c>
      <c r="AE271" s="264">
        <v>0</v>
      </c>
      <c r="AF271" s="264">
        <v>0</v>
      </c>
      <c r="AG271" s="264">
        <v>0</v>
      </c>
      <c r="AH271" s="9"/>
      <c r="AI271" s="9"/>
      <c r="AJ271" s="9"/>
      <c r="AK271" s="9"/>
    </row>
    <row r="272" spans="1:37" ht="13.5" customHeight="1" x14ac:dyDescent="0.25">
      <c r="A272" s="205"/>
      <c r="B272" s="9"/>
      <c r="C272" s="103" t="s">
        <v>393</v>
      </c>
      <c r="D272" s="9"/>
      <c r="E272" s="9"/>
      <c r="F272" s="319">
        <f t="shared" ref="F272:T272" si="662">F241</f>
        <v>140</v>
      </c>
      <c r="G272" s="319">
        <f t="shared" si="662"/>
        <v>108</v>
      </c>
      <c r="H272" s="319">
        <f t="shared" si="662"/>
        <v>93</v>
      </c>
      <c r="I272" s="319">
        <f t="shared" si="662"/>
        <v>109</v>
      </c>
      <c r="J272" s="126">
        <f t="shared" si="662"/>
        <v>450</v>
      </c>
      <c r="K272" s="319">
        <f t="shared" si="662"/>
        <v>176</v>
      </c>
      <c r="L272" s="319">
        <f t="shared" si="662"/>
        <v>104</v>
      </c>
      <c r="M272" s="319">
        <f t="shared" si="662"/>
        <v>113</v>
      </c>
      <c r="N272" s="319">
        <f t="shared" si="662"/>
        <v>111</v>
      </c>
      <c r="O272" s="126">
        <f t="shared" si="662"/>
        <v>504</v>
      </c>
      <c r="P272" s="319">
        <f t="shared" si="662"/>
        <v>158</v>
      </c>
      <c r="Q272" s="319">
        <f t="shared" si="662"/>
        <v>127</v>
      </c>
      <c r="R272" s="319">
        <f t="shared" si="662"/>
        <v>125</v>
      </c>
      <c r="S272" s="319">
        <f t="shared" si="662"/>
        <v>141</v>
      </c>
      <c r="T272" s="126">
        <f t="shared" si="662"/>
        <v>551</v>
      </c>
      <c r="U272" s="319">
        <f t="shared" ref="U272" si="663">U241</f>
        <v>1664</v>
      </c>
      <c r="V272" s="296">
        <f>Drivers!V167</f>
        <v>144.21250000000001</v>
      </c>
      <c r="W272" s="296">
        <f>Drivers!W167</f>
        <v>144.21250000000001</v>
      </c>
      <c r="X272" s="296">
        <f>Drivers!X167</f>
        <v>144.21250000000001</v>
      </c>
      <c r="Y272" s="126">
        <f t="shared" si="660"/>
        <v>2096.6375000000003</v>
      </c>
      <c r="Z272" s="296">
        <f>Drivers!Z167</f>
        <v>141.84888026861498</v>
      </c>
      <c r="AA272" s="296">
        <f>Drivers!AA167</f>
        <v>141.84888026861498</v>
      </c>
      <c r="AB272" s="296">
        <f>Drivers!AB167</f>
        <v>141.84888026861498</v>
      </c>
      <c r="AC272" s="296">
        <f>Drivers!AC167</f>
        <v>141.84888026861498</v>
      </c>
      <c r="AD272" s="126">
        <f t="shared" si="661"/>
        <v>567.39552107445991</v>
      </c>
      <c r="AE272" s="297">
        <f>Drivers!AE167</f>
        <v>565.88144480616063</v>
      </c>
      <c r="AF272" s="297">
        <f>Drivers!AF167</f>
        <v>564.37140880053721</v>
      </c>
      <c r="AG272" s="297">
        <f>Drivers!AG167</f>
        <v>562.86540227628166</v>
      </c>
      <c r="AH272" s="9"/>
      <c r="AI272" s="9"/>
      <c r="AJ272" s="9"/>
      <c r="AK272" s="9"/>
    </row>
    <row r="273" spans="1:37" ht="13.5" customHeight="1" x14ac:dyDescent="0.25">
      <c r="A273" s="205"/>
      <c r="B273" s="9"/>
      <c r="C273" s="103" t="s">
        <v>394</v>
      </c>
      <c r="D273" s="9"/>
      <c r="E273" s="9"/>
      <c r="F273" s="345"/>
      <c r="G273" s="332"/>
      <c r="H273" s="332"/>
      <c r="I273" s="332"/>
      <c r="J273" s="333"/>
      <c r="K273" s="332">
        <f t="shared" ref="K273:U273" si="664">K267/F267-1</f>
        <v>0.12284482758620685</v>
      </c>
      <c r="L273" s="332">
        <f t="shared" si="664"/>
        <v>0.12608695652173907</v>
      </c>
      <c r="M273" s="332">
        <f t="shared" si="664"/>
        <v>0.12362030905077259</v>
      </c>
      <c r="N273" s="332">
        <f t="shared" si="664"/>
        <v>0.12860310421286036</v>
      </c>
      <c r="O273" s="333">
        <f t="shared" si="664"/>
        <v>0.12527352297593009</v>
      </c>
      <c r="P273" s="332">
        <f t="shared" si="664"/>
        <v>0.13243761996161219</v>
      </c>
      <c r="Q273" s="332">
        <f t="shared" si="664"/>
        <v>0.14092664092664098</v>
      </c>
      <c r="R273" s="332">
        <f t="shared" si="664"/>
        <v>0.14145383104125742</v>
      </c>
      <c r="S273" s="332">
        <f t="shared" si="664"/>
        <v>0.14341846758349708</v>
      </c>
      <c r="T273" s="333">
        <f t="shared" si="664"/>
        <v>0.13952357802625182</v>
      </c>
      <c r="U273" s="332">
        <f t="shared" si="664"/>
        <v>0.12881355932203387</v>
      </c>
      <c r="V273" s="357">
        <f>Drivers!V103</f>
        <v>0.12</v>
      </c>
      <c r="W273" s="357">
        <f>Drivers!W103</f>
        <v>0.13</v>
      </c>
      <c r="X273" s="357">
        <f>Drivers!X103</f>
        <v>0.13</v>
      </c>
      <c r="Y273" s="333">
        <f>Y267/T267-1</f>
        <v>0.12718003412969292</v>
      </c>
      <c r="Z273" s="357">
        <f>Drivers!Z103</f>
        <v>0.13</v>
      </c>
      <c r="AA273" s="357">
        <f>Drivers!AA103</f>
        <v>0.13</v>
      </c>
      <c r="AB273" s="357">
        <f>Drivers!AB103</f>
        <v>0.13500000000000001</v>
      </c>
      <c r="AC273" s="357">
        <f>Drivers!AC103</f>
        <v>0.13200000000000001</v>
      </c>
      <c r="AD273" s="333">
        <f>AD267/Y267-1</f>
        <v>0.1317402644098844</v>
      </c>
      <c r="AE273" s="358">
        <f>Drivers!AE103</f>
        <v>0.13</v>
      </c>
      <c r="AF273" s="358">
        <f>Drivers!AF103</f>
        <v>-3.2000000000000001E-2</v>
      </c>
      <c r="AG273" s="358">
        <f>Drivers!AG103</f>
        <v>0.03</v>
      </c>
      <c r="AH273" s="9"/>
      <c r="AI273" s="9"/>
      <c r="AJ273" s="9"/>
      <c r="AK273" s="9"/>
    </row>
    <row r="274" spans="1:37" ht="13.5" customHeight="1" x14ac:dyDescent="0.25">
      <c r="A274" s="205"/>
      <c r="B274" s="9"/>
      <c r="C274" s="9"/>
      <c r="D274" s="9"/>
      <c r="E274" s="9"/>
      <c r="F274" s="250"/>
      <c r="G274" s="250"/>
      <c r="H274" s="250"/>
      <c r="I274" s="250"/>
      <c r="J274" s="9"/>
      <c r="K274" s="250"/>
      <c r="L274" s="250"/>
      <c r="M274" s="250"/>
      <c r="N274" s="250"/>
      <c r="O274" s="9"/>
      <c r="P274" s="250"/>
      <c r="Q274" s="250"/>
      <c r="R274" s="250"/>
      <c r="S274" s="250"/>
      <c r="T274" s="9"/>
      <c r="U274" s="250"/>
      <c r="V274" s="251"/>
      <c r="W274" s="251"/>
      <c r="X274" s="251"/>
      <c r="Y274" s="9"/>
      <c r="Z274" s="251"/>
      <c r="AA274" s="251"/>
      <c r="AB274" s="251"/>
      <c r="AC274" s="251"/>
      <c r="AD274" s="9"/>
      <c r="AE274" s="9"/>
      <c r="AF274" s="9"/>
      <c r="AG274" s="9"/>
      <c r="AH274" s="9"/>
      <c r="AI274" s="9"/>
      <c r="AJ274" s="9"/>
      <c r="AK274" s="9"/>
    </row>
    <row r="275" spans="1:37" ht="13.5" customHeight="1" x14ac:dyDescent="0.25">
      <c r="A275" s="205" t="s">
        <v>0</v>
      </c>
      <c r="B275" s="37"/>
      <c r="C275" s="50" t="s">
        <v>395</v>
      </c>
      <c r="D275" s="12"/>
      <c r="E275" s="12"/>
      <c r="F275" s="248" t="str">
        <f>F$25</f>
        <v>1Q23</v>
      </c>
      <c r="G275" s="51" t="str">
        <f t="shared" ref="G275:AG275" si="665">G$63</f>
        <v>2Q23</v>
      </c>
      <c r="H275" s="51" t="str">
        <f t="shared" si="665"/>
        <v>3Q23</v>
      </c>
      <c r="I275" s="51" t="str">
        <f t="shared" si="665"/>
        <v>4Q23</v>
      </c>
      <c r="J275" s="51">
        <f t="shared" si="665"/>
        <v>2023</v>
      </c>
      <c r="K275" s="51" t="str">
        <f t="shared" si="665"/>
        <v>1Q24</v>
      </c>
      <c r="L275" s="51" t="str">
        <f t="shared" si="665"/>
        <v>2Q24</v>
      </c>
      <c r="M275" s="51" t="str">
        <f t="shared" si="665"/>
        <v>3Q24</v>
      </c>
      <c r="N275" s="51" t="str">
        <f t="shared" si="665"/>
        <v>4Q24</v>
      </c>
      <c r="O275" s="51">
        <f t="shared" si="665"/>
        <v>2024</v>
      </c>
      <c r="P275" s="51" t="str">
        <f t="shared" si="665"/>
        <v>1Q25</v>
      </c>
      <c r="Q275" s="51" t="str">
        <f t="shared" si="665"/>
        <v>2Q25</v>
      </c>
      <c r="R275" s="51" t="str">
        <f t="shared" si="665"/>
        <v>3Q25</v>
      </c>
      <c r="S275" s="51" t="str">
        <f t="shared" si="665"/>
        <v>4Q25</v>
      </c>
      <c r="T275" s="51">
        <f t="shared" si="665"/>
        <v>2025</v>
      </c>
      <c r="U275" s="51" t="str">
        <f t="shared" si="665"/>
        <v>1Q26</v>
      </c>
      <c r="V275" s="51" t="str">
        <f t="shared" si="665"/>
        <v>2Q26e</v>
      </c>
      <c r="W275" s="51" t="str">
        <f t="shared" si="665"/>
        <v>3Q26e</v>
      </c>
      <c r="X275" s="51" t="str">
        <f t="shared" si="665"/>
        <v>4Q26e</v>
      </c>
      <c r="Y275" s="51" t="str">
        <f t="shared" si="665"/>
        <v>2026e</v>
      </c>
      <c r="Z275" s="51" t="str">
        <f t="shared" si="665"/>
        <v>1Q27e</v>
      </c>
      <c r="AA275" s="51" t="str">
        <f t="shared" si="665"/>
        <v>2Q27e</v>
      </c>
      <c r="AB275" s="51" t="str">
        <f t="shared" si="665"/>
        <v>3Q27e</v>
      </c>
      <c r="AC275" s="51" t="str">
        <f t="shared" si="665"/>
        <v>4Q27e</v>
      </c>
      <c r="AD275" s="51" t="str">
        <f t="shared" si="665"/>
        <v>2027e</v>
      </c>
      <c r="AE275" s="51" t="str">
        <f t="shared" si="665"/>
        <v>2028e</v>
      </c>
      <c r="AF275" s="51" t="str">
        <f t="shared" si="665"/>
        <v>2029e</v>
      </c>
      <c r="AG275" s="52" t="str">
        <f t="shared" si="665"/>
        <v>2030e</v>
      </c>
      <c r="AH275" s="205" t="s">
        <v>0</v>
      </c>
      <c r="AI275" s="9"/>
      <c r="AJ275" s="9"/>
      <c r="AK275" s="9"/>
    </row>
    <row r="276" spans="1:37" ht="13.5" customHeight="1" x14ac:dyDescent="0.25">
      <c r="A276" s="205"/>
      <c r="B276" s="9"/>
      <c r="C276" s="9"/>
      <c r="D276" s="9"/>
      <c r="E276" s="9"/>
      <c r="F276" s="250"/>
      <c r="G276" s="250"/>
      <c r="H276" s="250"/>
      <c r="I276" s="250"/>
      <c r="J276" s="9"/>
      <c r="K276" s="250"/>
      <c r="L276" s="250"/>
      <c r="M276" s="250"/>
      <c r="N276" s="250"/>
      <c r="O276" s="9"/>
      <c r="P276" s="250"/>
      <c r="Q276" s="250"/>
      <c r="R276" s="250"/>
      <c r="S276" s="250"/>
      <c r="T276" s="9"/>
      <c r="U276" s="250"/>
      <c r="V276" s="251"/>
      <c r="W276" s="251"/>
      <c r="X276" s="251"/>
      <c r="Y276" s="9"/>
      <c r="Z276" s="251"/>
      <c r="AA276" s="251"/>
      <c r="AB276" s="251"/>
      <c r="AC276" s="251"/>
      <c r="AD276" s="9"/>
      <c r="AE276" s="9"/>
      <c r="AF276" s="9"/>
      <c r="AG276" s="9"/>
      <c r="AH276" s="9"/>
      <c r="AI276" s="9"/>
      <c r="AJ276" s="9"/>
      <c r="AK276" s="9"/>
    </row>
    <row r="277" spans="1:37" ht="13.5" customHeight="1" x14ac:dyDescent="0.25">
      <c r="A277" s="205"/>
      <c r="B277" s="9"/>
      <c r="C277" s="9" t="s">
        <v>396</v>
      </c>
      <c r="D277" s="9"/>
      <c r="E277" s="9"/>
      <c r="F277" s="292"/>
      <c r="G277" s="292"/>
      <c r="H277" s="292"/>
      <c r="I277" s="292"/>
      <c r="J277" s="9"/>
      <c r="K277" s="292"/>
      <c r="L277" s="292"/>
      <c r="M277" s="292"/>
      <c r="N277" s="292"/>
      <c r="O277" s="9"/>
      <c r="P277" s="292"/>
      <c r="Q277" s="292"/>
      <c r="R277" s="292"/>
      <c r="S277" s="292"/>
      <c r="T277" s="9"/>
      <c r="U277" s="292"/>
      <c r="V277" s="295">
        <f t="shared" ref="V277" si="666">U280</f>
        <v>685</v>
      </c>
      <c r="W277" s="295">
        <f t="shared" ref="W277" si="667">V280</f>
        <v>684.53635384516463</v>
      </c>
      <c r="X277" s="295">
        <f t="shared" ref="X277" si="668">W280</f>
        <v>684.07270769032925</v>
      </c>
      <c r="Y277" s="9"/>
      <c r="Z277" s="295">
        <f t="shared" ref="Z277:AC277" si="669">Y280</f>
        <v>683.60906153549388</v>
      </c>
      <c r="AA277" s="295">
        <f t="shared" si="669"/>
        <v>683.15301446672902</v>
      </c>
      <c r="AB277" s="295">
        <f t="shared" si="669"/>
        <v>682.69696739796416</v>
      </c>
      <c r="AC277" s="295">
        <f t="shared" si="669"/>
        <v>682.2409203291993</v>
      </c>
      <c r="AD277" s="126">
        <f>Y280</f>
        <v>683.60906153549388</v>
      </c>
      <c r="AE277" s="387">
        <f t="shared" ref="AE277:AG277" si="670">AD280</f>
        <v>681.78487326043455</v>
      </c>
      <c r="AF277" s="387">
        <f t="shared" si="670"/>
        <v>679.96555277173161</v>
      </c>
      <c r="AG277" s="387">
        <f t="shared" si="670"/>
        <v>678.15108707985746</v>
      </c>
      <c r="AH277" s="9"/>
      <c r="AI277" s="9"/>
      <c r="AJ277" s="9"/>
      <c r="AK277" s="9"/>
    </row>
    <row r="278" spans="1:37" ht="13.5" customHeight="1" x14ac:dyDescent="0.25">
      <c r="A278" s="205"/>
      <c r="B278" s="9"/>
      <c r="C278" s="103" t="s">
        <v>397</v>
      </c>
      <c r="D278" s="9"/>
      <c r="E278" s="9"/>
      <c r="F278" s="388"/>
      <c r="G278" s="388"/>
      <c r="H278" s="388"/>
      <c r="I278" s="388"/>
      <c r="J278" s="389"/>
      <c r="K278" s="388"/>
      <c r="L278" s="388"/>
      <c r="M278" s="388"/>
      <c r="N278" s="388"/>
      <c r="O278" s="389"/>
      <c r="P278" s="388"/>
      <c r="Q278" s="388"/>
      <c r="R278" s="388"/>
      <c r="S278" s="388"/>
      <c r="T278" s="389"/>
      <c r="U278" s="388"/>
      <c r="V278" s="295">
        <f t="shared" ref="V278:X278" si="671">V271</f>
        <v>0</v>
      </c>
      <c r="W278" s="295">
        <f t="shared" si="671"/>
        <v>0</v>
      </c>
      <c r="X278" s="295">
        <f t="shared" si="671"/>
        <v>0</v>
      </c>
      <c r="Y278" s="387">
        <f t="shared" ref="Y278:Y279" si="672">SUM(U278:X278)</f>
        <v>0</v>
      </c>
      <c r="Z278" s="295">
        <f t="shared" ref="Z278:AC278" si="673">Z271</f>
        <v>0</v>
      </c>
      <c r="AA278" s="295">
        <f t="shared" si="673"/>
        <v>0</v>
      </c>
      <c r="AB278" s="295">
        <f t="shared" si="673"/>
        <v>0</v>
      </c>
      <c r="AC278" s="295">
        <f t="shared" si="673"/>
        <v>0</v>
      </c>
      <c r="AD278" s="387">
        <f t="shared" ref="AD278:AD279" si="674">SUM(Z278:AC278)</f>
        <v>0</v>
      </c>
      <c r="AE278" s="387">
        <f t="shared" ref="AE278:AG278" si="675">AE271</f>
        <v>0</v>
      </c>
      <c r="AF278" s="387">
        <f t="shared" si="675"/>
        <v>0</v>
      </c>
      <c r="AG278" s="387">
        <f t="shared" si="675"/>
        <v>0</v>
      </c>
      <c r="AH278" s="9"/>
      <c r="AI278" s="9"/>
      <c r="AJ278" s="9"/>
      <c r="AK278" s="9"/>
    </row>
    <row r="279" spans="1:37" ht="13.5" customHeight="1" x14ac:dyDescent="0.25">
      <c r="A279" s="205"/>
      <c r="B279" s="9"/>
      <c r="C279" s="103" t="s">
        <v>398</v>
      </c>
      <c r="D279" s="9"/>
      <c r="E279" s="9"/>
      <c r="F279" s="390"/>
      <c r="G279" s="390"/>
      <c r="H279" s="390"/>
      <c r="I279" s="390"/>
      <c r="J279" s="391"/>
      <c r="K279" s="390"/>
      <c r="L279" s="390"/>
      <c r="M279" s="390"/>
      <c r="N279" s="390"/>
      <c r="O279" s="391"/>
      <c r="P279" s="390"/>
      <c r="Q279" s="390"/>
      <c r="R279" s="390"/>
      <c r="S279" s="390"/>
      <c r="T279" s="391"/>
      <c r="U279" s="390"/>
      <c r="V279" s="392">
        <f t="shared" ref="V279:X279" si="676">-V240</f>
        <v>-0.46364615483539096</v>
      </c>
      <c r="W279" s="392">
        <f t="shared" si="676"/>
        <v>-0.46364615483539096</v>
      </c>
      <c r="X279" s="392">
        <f t="shared" si="676"/>
        <v>-0.46364615483539096</v>
      </c>
      <c r="Y279" s="393">
        <f t="shared" si="672"/>
        <v>-1.3909384645061729</v>
      </c>
      <c r="Z279" s="392">
        <f t="shared" ref="Z279:AC279" si="677">-Z240</f>
        <v>-0.45604706876483719</v>
      </c>
      <c r="AA279" s="392">
        <f t="shared" si="677"/>
        <v>-0.45604706876483719</v>
      </c>
      <c r="AB279" s="392">
        <f t="shared" si="677"/>
        <v>-0.45604706876483719</v>
      </c>
      <c r="AC279" s="392">
        <f t="shared" si="677"/>
        <v>-0.45604706876483719</v>
      </c>
      <c r="AD279" s="393">
        <f t="shared" si="674"/>
        <v>-1.8241882750593488</v>
      </c>
      <c r="AE279" s="393">
        <f t="shared" ref="AE279:AG279" si="678">-AE240</f>
        <v>-1.8193204887029339</v>
      </c>
      <c r="AF279" s="393">
        <f t="shared" si="678"/>
        <v>-1.8144656918741551</v>
      </c>
      <c r="AG279" s="393">
        <f t="shared" si="678"/>
        <v>-1.8096238499108848</v>
      </c>
      <c r="AH279" s="9"/>
      <c r="AI279" s="9"/>
      <c r="AJ279" s="9"/>
      <c r="AK279" s="9"/>
    </row>
    <row r="280" spans="1:37" ht="13.5" customHeight="1" x14ac:dyDescent="0.25">
      <c r="A280" s="205"/>
      <c r="B280" s="9"/>
      <c r="C280" s="9" t="s">
        <v>399</v>
      </c>
      <c r="D280" s="9"/>
      <c r="E280" s="9"/>
      <c r="F280" s="293">
        <v>743</v>
      </c>
      <c r="G280" s="293">
        <v>740</v>
      </c>
      <c r="H280" s="293">
        <v>732</v>
      </c>
      <c r="I280" s="293">
        <v>735</v>
      </c>
      <c r="J280" s="830">
        <f>I280</f>
        <v>735</v>
      </c>
      <c r="K280" s="293">
        <v>721</v>
      </c>
      <c r="L280" s="293">
        <v>716</v>
      </c>
      <c r="M280" s="293">
        <v>708</v>
      </c>
      <c r="N280" s="293">
        <v>712</v>
      </c>
      <c r="O280" s="830">
        <f>N280</f>
        <v>712</v>
      </c>
      <c r="P280" s="293">
        <v>701</v>
      </c>
      <c r="Q280" s="293">
        <v>698</v>
      </c>
      <c r="R280" s="293">
        <v>692</v>
      </c>
      <c r="S280" s="293">
        <v>695</v>
      </c>
      <c r="T280" s="830">
        <f>S280</f>
        <v>695</v>
      </c>
      <c r="U280" s="293">
        <v>685</v>
      </c>
      <c r="V280" s="294">
        <f t="shared" ref="V280:X280" si="679">SUM(V277:V279)</f>
        <v>684.53635384516463</v>
      </c>
      <c r="W280" s="294">
        <f t="shared" si="679"/>
        <v>684.07270769032925</v>
      </c>
      <c r="X280" s="294">
        <f t="shared" si="679"/>
        <v>683.60906153549388</v>
      </c>
      <c r="Y280" s="126">
        <f>X280</f>
        <v>683.60906153549388</v>
      </c>
      <c r="Z280" s="294">
        <f t="shared" ref="Z280:AG280" si="680">SUM(Z277:Z279)</f>
        <v>683.15301446672902</v>
      </c>
      <c r="AA280" s="294">
        <f t="shared" si="680"/>
        <v>682.69696739796416</v>
      </c>
      <c r="AB280" s="294">
        <f t="shared" si="680"/>
        <v>682.2409203291993</v>
      </c>
      <c r="AC280" s="294">
        <f t="shared" si="680"/>
        <v>681.78487326043444</v>
      </c>
      <c r="AD280" s="126">
        <f t="shared" si="680"/>
        <v>681.78487326043455</v>
      </c>
      <c r="AE280" s="126">
        <f t="shared" si="680"/>
        <v>679.96555277173161</v>
      </c>
      <c r="AF280" s="126">
        <f t="shared" si="680"/>
        <v>678.15108707985746</v>
      </c>
      <c r="AG280" s="126">
        <f t="shared" si="680"/>
        <v>676.34146322994661</v>
      </c>
      <c r="AH280" s="9"/>
      <c r="AI280" s="9"/>
      <c r="AJ280" s="9"/>
      <c r="AK280" s="9"/>
    </row>
    <row r="281" spans="1:37" ht="13.5" customHeight="1" x14ac:dyDescent="0.25">
      <c r="A281" s="205"/>
      <c r="B281" s="9"/>
      <c r="C281" s="9"/>
      <c r="D281" s="9"/>
      <c r="E281" s="9"/>
      <c r="F281" s="319"/>
      <c r="G281" s="319"/>
      <c r="H281" s="319"/>
      <c r="I281" s="319"/>
      <c r="J281" s="126"/>
      <c r="K281" s="319"/>
      <c r="L281" s="319"/>
      <c r="M281" s="319"/>
      <c r="N281" s="319"/>
      <c r="O281" s="126"/>
      <c r="P281" s="319"/>
      <c r="Q281" s="319"/>
      <c r="R281" s="319"/>
      <c r="S281" s="319"/>
      <c r="T281" s="126"/>
      <c r="U281" s="319"/>
      <c r="V281" s="294"/>
      <c r="W281" s="294"/>
      <c r="X281" s="294"/>
      <c r="Y281" s="126"/>
      <c r="Z281" s="294"/>
      <c r="AA281" s="294"/>
      <c r="AB281" s="294"/>
      <c r="AC281" s="294"/>
      <c r="AD281" s="126"/>
      <c r="AE281" s="9"/>
      <c r="AF281" s="9"/>
      <c r="AG281" s="9"/>
      <c r="AH281" s="9"/>
      <c r="AI281" s="9"/>
      <c r="AJ281" s="9"/>
      <c r="AK281" s="9"/>
    </row>
    <row r="282" spans="1:37" ht="13.5" customHeight="1" x14ac:dyDescent="0.25">
      <c r="A282" s="205"/>
      <c r="B282" s="9"/>
      <c r="C282" s="9" t="s">
        <v>400</v>
      </c>
      <c r="D282" s="9"/>
      <c r="E282" s="9"/>
      <c r="F282" s="293">
        <f>+F280</f>
        <v>743</v>
      </c>
      <c r="G282" s="293">
        <f t="shared" ref="G282:I282" si="681">+G280</f>
        <v>740</v>
      </c>
      <c r="H282" s="293">
        <f t="shared" si="681"/>
        <v>732</v>
      </c>
      <c r="I282" s="293">
        <f t="shared" si="681"/>
        <v>735</v>
      </c>
      <c r="J282" s="830">
        <f>I282</f>
        <v>735</v>
      </c>
      <c r="K282" s="293">
        <f>+K280</f>
        <v>721</v>
      </c>
      <c r="L282" s="293">
        <f t="shared" ref="L282:N282" si="682">+L280</f>
        <v>716</v>
      </c>
      <c r="M282" s="293">
        <f t="shared" si="682"/>
        <v>708</v>
      </c>
      <c r="N282" s="293">
        <f t="shared" si="682"/>
        <v>712</v>
      </c>
      <c r="O282" s="830">
        <f>N282</f>
        <v>712</v>
      </c>
      <c r="P282" s="293">
        <f>+P280</f>
        <v>701</v>
      </c>
      <c r="Q282" s="293">
        <f t="shared" ref="Q282:S282" si="683">+Q280</f>
        <v>698</v>
      </c>
      <c r="R282" s="293">
        <f t="shared" si="683"/>
        <v>692</v>
      </c>
      <c r="S282" s="293">
        <f t="shared" si="683"/>
        <v>695</v>
      </c>
      <c r="T282" s="830">
        <f>S282</f>
        <v>695</v>
      </c>
      <c r="U282" s="293">
        <f>U280</f>
        <v>685</v>
      </c>
      <c r="V282" s="294">
        <f t="shared" ref="V282:X282" si="684">AVERAGE(V280,V277)</f>
        <v>684.76817692258237</v>
      </c>
      <c r="W282" s="294">
        <f t="shared" si="684"/>
        <v>684.30453076774688</v>
      </c>
      <c r="X282" s="294">
        <f t="shared" si="684"/>
        <v>683.84088461291162</v>
      </c>
      <c r="Y282" s="126">
        <f>AVERAGE(U282:X282)</f>
        <v>684.47839807581022</v>
      </c>
      <c r="Z282" s="294">
        <f t="shared" ref="Z282:AC282" si="685">AVERAGE(Z280,Z277)</f>
        <v>683.38103800111139</v>
      </c>
      <c r="AA282" s="294">
        <f t="shared" si="685"/>
        <v>682.92499093234665</v>
      </c>
      <c r="AB282" s="294">
        <f t="shared" si="685"/>
        <v>682.46894386358167</v>
      </c>
      <c r="AC282" s="294">
        <f t="shared" si="685"/>
        <v>682.01289679481692</v>
      </c>
      <c r="AD282" s="126">
        <f>AVERAGE(Z282:AC282)</f>
        <v>682.69696739796404</v>
      </c>
      <c r="AE282" s="126">
        <f t="shared" ref="AE282:AG282" si="686">AVERAGE(AE280,AE277)</f>
        <v>680.87521301608308</v>
      </c>
      <c r="AF282" s="126">
        <f t="shared" si="686"/>
        <v>679.05831992579454</v>
      </c>
      <c r="AG282" s="126">
        <f t="shared" si="686"/>
        <v>677.24627515490204</v>
      </c>
      <c r="AH282" s="9"/>
      <c r="AI282" s="9"/>
      <c r="AJ282" s="9"/>
      <c r="AK282" s="9"/>
    </row>
    <row r="283" spans="1:37" ht="13.5" customHeight="1" x14ac:dyDescent="0.25">
      <c r="A283" s="205"/>
      <c r="B283" s="9"/>
      <c r="C283" s="103" t="s">
        <v>401</v>
      </c>
      <c r="D283" s="9"/>
      <c r="E283" s="9"/>
      <c r="F283" s="307">
        <f t="shared" ref="F283:T283" si="687">F284-F282</f>
        <v>1</v>
      </c>
      <c r="G283" s="307">
        <f t="shared" si="687"/>
        <v>1</v>
      </c>
      <c r="H283" s="307">
        <f t="shared" si="687"/>
        <v>1</v>
      </c>
      <c r="I283" s="307">
        <f t="shared" si="687"/>
        <v>1</v>
      </c>
      <c r="J283" s="290">
        <f t="shared" si="687"/>
        <v>1</v>
      </c>
      <c r="K283" s="307">
        <f t="shared" si="687"/>
        <v>1</v>
      </c>
      <c r="L283" s="307">
        <f t="shared" si="687"/>
        <v>1</v>
      </c>
      <c r="M283" s="307">
        <f t="shared" si="687"/>
        <v>1</v>
      </c>
      <c r="N283" s="307">
        <f t="shared" si="687"/>
        <v>1</v>
      </c>
      <c r="O283" s="290">
        <f t="shared" si="687"/>
        <v>1</v>
      </c>
      <c r="P283" s="307">
        <f t="shared" si="687"/>
        <v>1</v>
      </c>
      <c r="Q283" s="307">
        <f t="shared" si="687"/>
        <v>1</v>
      </c>
      <c r="R283" s="307">
        <f t="shared" si="687"/>
        <v>1</v>
      </c>
      <c r="S283" s="307">
        <f t="shared" si="687"/>
        <v>1</v>
      </c>
      <c r="T283" s="290">
        <f t="shared" si="687"/>
        <v>1</v>
      </c>
      <c r="U283" s="307">
        <f t="shared" ref="U283" si="688">U284-U282</f>
        <v>1</v>
      </c>
      <c r="V283" s="303">
        <f t="shared" ref="V283" si="689">U283</f>
        <v>1</v>
      </c>
      <c r="W283" s="303">
        <f t="shared" ref="W283" si="690">V283</f>
        <v>1</v>
      </c>
      <c r="X283" s="303">
        <f t="shared" ref="X283" si="691">W283</f>
        <v>1</v>
      </c>
      <c r="Y283" s="290">
        <f>Y284-Y282</f>
        <v>1</v>
      </c>
      <c r="Z283" s="303">
        <f>X283</f>
        <v>1</v>
      </c>
      <c r="AA283" s="303">
        <f t="shared" ref="AA283:AC283" si="692">Z283</f>
        <v>1</v>
      </c>
      <c r="AB283" s="303">
        <f t="shared" si="692"/>
        <v>1</v>
      </c>
      <c r="AC283" s="303">
        <f t="shared" si="692"/>
        <v>1</v>
      </c>
      <c r="AD283" s="290">
        <f>AD284-AD282</f>
        <v>1</v>
      </c>
      <c r="AE283" s="304">
        <f>AC283</f>
        <v>1</v>
      </c>
      <c r="AF283" s="304">
        <f t="shared" ref="AF283:AG283" si="693">AE283</f>
        <v>1</v>
      </c>
      <c r="AG283" s="304">
        <f t="shared" si="693"/>
        <v>1</v>
      </c>
      <c r="AH283" s="9"/>
      <c r="AI283" s="9"/>
      <c r="AJ283" s="9"/>
      <c r="AK283" s="9"/>
    </row>
    <row r="284" spans="1:37" ht="13.5" customHeight="1" x14ac:dyDescent="0.25">
      <c r="A284" s="205"/>
      <c r="B284" s="9"/>
      <c r="C284" s="9" t="s">
        <v>402</v>
      </c>
      <c r="D284" s="9"/>
      <c r="E284" s="9"/>
      <c r="F284" s="293">
        <v>744</v>
      </c>
      <c r="G284" s="293">
        <v>741</v>
      </c>
      <c r="H284" s="293">
        <v>733</v>
      </c>
      <c r="I284" s="293">
        <v>736</v>
      </c>
      <c r="J284" s="830">
        <f>I284</f>
        <v>736</v>
      </c>
      <c r="K284" s="293">
        <v>722</v>
      </c>
      <c r="L284" s="293">
        <v>717</v>
      </c>
      <c r="M284" s="293">
        <v>709</v>
      </c>
      <c r="N284" s="293">
        <v>713</v>
      </c>
      <c r="O284" s="830">
        <f>N284</f>
        <v>713</v>
      </c>
      <c r="P284" s="293">
        <v>702</v>
      </c>
      <c r="Q284" s="293">
        <v>699</v>
      </c>
      <c r="R284" s="293">
        <v>693</v>
      </c>
      <c r="S284" s="293">
        <v>696</v>
      </c>
      <c r="T284" s="830">
        <f>S284</f>
        <v>696</v>
      </c>
      <c r="U284" s="293">
        <v>686</v>
      </c>
      <c r="V284" s="294">
        <f t="shared" ref="V284:X284" si="694">SUM(V282:V283)</f>
        <v>685.76817692258237</v>
      </c>
      <c r="W284" s="294">
        <f t="shared" si="694"/>
        <v>685.30453076774688</v>
      </c>
      <c r="X284" s="294">
        <f t="shared" si="694"/>
        <v>684.84088461291162</v>
      </c>
      <c r="Y284" s="126">
        <f>AVERAGE(U284:X284)</f>
        <v>685.47839807581022</v>
      </c>
      <c r="Z284" s="294">
        <f t="shared" ref="Z284:AC284" si="695">SUM(Z282:Z283)</f>
        <v>684.38103800111139</v>
      </c>
      <c r="AA284" s="294">
        <f t="shared" si="695"/>
        <v>683.92499093234665</v>
      </c>
      <c r="AB284" s="294">
        <f t="shared" si="695"/>
        <v>683.46894386358167</v>
      </c>
      <c r="AC284" s="294">
        <f t="shared" si="695"/>
        <v>683.01289679481692</v>
      </c>
      <c r="AD284" s="126">
        <f>AVERAGE(Z284:AC284)</f>
        <v>683.69696739796404</v>
      </c>
      <c r="AE284" s="126">
        <f t="shared" ref="AE284:AG284" si="696">SUM(AE282:AE283)</f>
        <v>681.87521301608308</v>
      </c>
      <c r="AF284" s="126">
        <f t="shared" si="696"/>
        <v>680.05831992579454</v>
      </c>
      <c r="AG284" s="126">
        <f t="shared" si="696"/>
        <v>678.24627515490204</v>
      </c>
      <c r="AH284" s="9"/>
      <c r="AI284" s="9"/>
      <c r="AJ284" s="9"/>
      <c r="AK284" s="9"/>
    </row>
    <row r="285" spans="1:37" ht="13.5" customHeight="1" x14ac:dyDescent="0.25">
      <c r="A285" s="205"/>
      <c r="B285" s="9"/>
      <c r="C285" s="9"/>
      <c r="D285" s="9"/>
      <c r="E285" s="9"/>
      <c r="F285" s="250"/>
      <c r="G285" s="250"/>
      <c r="H285" s="250"/>
      <c r="I285" s="250"/>
      <c r="J285" s="9"/>
      <c r="K285" s="250"/>
      <c r="L285" s="250"/>
      <c r="M285" s="250"/>
      <c r="N285" s="250"/>
      <c r="O285" s="9"/>
      <c r="P285" s="250"/>
      <c r="Q285" s="250"/>
      <c r="R285" s="250"/>
      <c r="S285" s="250"/>
      <c r="T285" s="9"/>
      <c r="U285" s="250"/>
      <c r="V285" s="251"/>
      <c r="W285" s="251"/>
      <c r="X285" s="251"/>
      <c r="Y285" s="9"/>
      <c r="Z285" s="251"/>
      <c r="AA285" s="251"/>
      <c r="AB285" s="251"/>
      <c r="AC285" s="251"/>
      <c r="AD285" s="9"/>
      <c r="AE285" s="9"/>
      <c r="AF285" s="9"/>
      <c r="AG285" s="9"/>
      <c r="AH285" s="9"/>
      <c r="AI285" s="9"/>
      <c r="AJ285" s="9"/>
      <c r="AK285" s="9"/>
    </row>
    <row r="286" spans="1:37" ht="13.5" customHeight="1" x14ac:dyDescent="0.25">
      <c r="A286" s="205" t="s">
        <v>0</v>
      </c>
      <c r="B286" s="37"/>
      <c r="C286" s="50" t="s">
        <v>403</v>
      </c>
      <c r="D286" s="12"/>
      <c r="E286" s="12"/>
      <c r="F286" s="248" t="str">
        <f>F$25</f>
        <v>1Q23</v>
      </c>
      <c r="G286" s="51" t="str">
        <f t="shared" ref="G286:AG286" si="697">G$63</f>
        <v>2Q23</v>
      </c>
      <c r="H286" s="51" t="str">
        <f t="shared" si="697"/>
        <v>3Q23</v>
      </c>
      <c r="I286" s="51" t="str">
        <f t="shared" si="697"/>
        <v>4Q23</v>
      </c>
      <c r="J286" s="51">
        <f t="shared" si="697"/>
        <v>2023</v>
      </c>
      <c r="K286" s="51" t="str">
        <f t="shared" si="697"/>
        <v>1Q24</v>
      </c>
      <c r="L286" s="51" t="str">
        <f t="shared" si="697"/>
        <v>2Q24</v>
      </c>
      <c r="M286" s="51" t="str">
        <f t="shared" si="697"/>
        <v>3Q24</v>
      </c>
      <c r="N286" s="51" t="str">
        <f t="shared" si="697"/>
        <v>4Q24</v>
      </c>
      <c r="O286" s="51">
        <f t="shared" si="697"/>
        <v>2024</v>
      </c>
      <c r="P286" s="51" t="str">
        <f t="shared" si="697"/>
        <v>1Q25</v>
      </c>
      <c r="Q286" s="51" t="str">
        <f t="shared" si="697"/>
        <v>2Q25</v>
      </c>
      <c r="R286" s="51" t="str">
        <f t="shared" si="697"/>
        <v>3Q25</v>
      </c>
      <c r="S286" s="51" t="str">
        <f t="shared" si="697"/>
        <v>4Q25</v>
      </c>
      <c r="T286" s="51">
        <f t="shared" si="697"/>
        <v>2025</v>
      </c>
      <c r="U286" s="51" t="str">
        <f t="shared" si="697"/>
        <v>1Q26</v>
      </c>
      <c r="V286" s="51" t="str">
        <f t="shared" si="697"/>
        <v>2Q26e</v>
      </c>
      <c r="W286" s="51" t="str">
        <f t="shared" si="697"/>
        <v>3Q26e</v>
      </c>
      <c r="X286" s="51" t="str">
        <f t="shared" si="697"/>
        <v>4Q26e</v>
      </c>
      <c r="Y286" s="51" t="str">
        <f t="shared" si="697"/>
        <v>2026e</v>
      </c>
      <c r="Z286" s="51" t="str">
        <f t="shared" si="697"/>
        <v>1Q27e</v>
      </c>
      <c r="AA286" s="51" t="str">
        <f t="shared" si="697"/>
        <v>2Q27e</v>
      </c>
      <c r="AB286" s="51" t="str">
        <f t="shared" si="697"/>
        <v>3Q27e</v>
      </c>
      <c r="AC286" s="51" t="str">
        <f t="shared" si="697"/>
        <v>4Q27e</v>
      </c>
      <c r="AD286" s="51" t="str">
        <f t="shared" si="697"/>
        <v>2027e</v>
      </c>
      <c r="AE286" s="51" t="str">
        <f t="shared" si="697"/>
        <v>2028e</v>
      </c>
      <c r="AF286" s="51" t="str">
        <f t="shared" si="697"/>
        <v>2029e</v>
      </c>
      <c r="AG286" s="52" t="str">
        <f t="shared" si="697"/>
        <v>2030e</v>
      </c>
      <c r="AH286" s="205" t="s">
        <v>0</v>
      </c>
      <c r="AI286" s="9"/>
      <c r="AJ286" s="9"/>
      <c r="AK286" s="9"/>
    </row>
    <row r="287" spans="1:37" ht="13.5" customHeight="1" x14ac:dyDescent="0.25">
      <c r="A287" s="205"/>
      <c r="B287" s="9"/>
      <c r="C287" s="9"/>
      <c r="D287" s="9"/>
      <c r="E287" s="9"/>
      <c r="F287" s="250"/>
      <c r="G287" s="250"/>
      <c r="H287" s="250"/>
      <c r="I287" s="250"/>
      <c r="J287" s="9"/>
      <c r="K287" s="250"/>
      <c r="L287" s="250"/>
      <c r="M287" s="250"/>
      <c r="N287" s="250"/>
      <c r="O287" s="9"/>
      <c r="P287" s="250"/>
      <c r="Q287" s="250"/>
      <c r="R287" s="250"/>
      <c r="S287" s="250"/>
      <c r="T287" s="9"/>
      <c r="U287" s="250"/>
      <c r="V287" s="251"/>
      <c r="W287" s="251"/>
      <c r="X287" s="251"/>
      <c r="Y287" s="9"/>
      <c r="Z287" s="251"/>
      <c r="AA287" s="251"/>
      <c r="AB287" s="251"/>
      <c r="AC287" s="251"/>
      <c r="AD287" s="9"/>
      <c r="AE287" s="9"/>
      <c r="AF287" s="9"/>
      <c r="AG287" s="9"/>
      <c r="AH287" s="9"/>
      <c r="AI287" s="9"/>
      <c r="AJ287" s="9"/>
      <c r="AK287" s="9"/>
    </row>
    <row r="288" spans="1:37" ht="13.5" customHeight="1" x14ac:dyDescent="0.25">
      <c r="A288" s="205"/>
      <c r="B288" s="9"/>
      <c r="C288" s="9" t="s">
        <v>290</v>
      </c>
      <c r="D288" s="9"/>
      <c r="E288" s="9"/>
      <c r="F288" s="250"/>
      <c r="G288" s="250"/>
      <c r="H288" s="250"/>
      <c r="I288" s="250"/>
      <c r="J288" s="9"/>
      <c r="K288" s="250"/>
      <c r="L288" s="250"/>
      <c r="M288" s="250"/>
      <c r="N288" s="250"/>
      <c r="O288" s="9"/>
      <c r="P288" s="250"/>
      <c r="Q288" s="250"/>
      <c r="R288" s="250"/>
      <c r="S288" s="250"/>
      <c r="T288" s="9"/>
      <c r="U288" s="250"/>
      <c r="V288" s="221">
        <f t="shared" ref="V288:AG288" si="698">V87</f>
        <v>-58762.994633995178</v>
      </c>
      <c r="W288" s="221">
        <f t="shared" si="698"/>
        <v>4177.5893919515429</v>
      </c>
      <c r="X288" s="221">
        <f t="shared" si="698"/>
        <v>6249.8039306737992</v>
      </c>
      <c r="Y288" s="9"/>
      <c r="Z288" s="221">
        <f t="shared" si="698"/>
        <v>3624.8674613096027</v>
      </c>
      <c r="AA288" s="221">
        <f t="shared" si="698"/>
        <v>8179.3302911850715</v>
      </c>
      <c r="AB288" s="221">
        <f t="shared" si="698"/>
        <v>4897.3097524952464</v>
      </c>
      <c r="AC288" s="221">
        <f t="shared" si="698"/>
        <v>7334.5696409642269</v>
      </c>
      <c r="AD288" s="9"/>
      <c r="AE288" s="222">
        <f t="shared" si="698"/>
        <v>16264.637804493324</v>
      </c>
      <c r="AF288" s="222">
        <f t="shared" si="698"/>
        <v>22930.12322375799</v>
      </c>
      <c r="AG288" s="222">
        <f t="shared" si="698"/>
        <v>23188.353592895601</v>
      </c>
      <c r="AH288" s="9"/>
      <c r="AI288" s="9"/>
      <c r="AJ288" s="9"/>
      <c r="AK288" s="9"/>
    </row>
    <row r="289" spans="1:37" ht="13.5" customHeight="1" x14ac:dyDescent="0.25">
      <c r="A289" s="205"/>
      <c r="B289" s="9"/>
      <c r="C289" s="103" t="s">
        <v>398</v>
      </c>
      <c r="D289" s="9"/>
      <c r="E289" s="9"/>
      <c r="F289" s="250"/>
      <c r="G289" s="250"/>
      <c r="H289" s="250"/>
      <c r="I289" s="250"/>
      <c r="J289" s="9"/>
      <c r="K289" s="250"/>
      <c r="L289" s="250"/>
      <c r="M289" s="250"/>
      <c r="N289" s="250"/>
      <c r="O289" s="9"/>
      <c r="P289" s="250"/>
      <c r="Q289" s="250"/>
      <c r="R289" s="250"/>
      <c r="S289" s="250"/>
      <c r="T289" s="9"/>
      <c r="U289" s="250"/>
      <c r="V289" s="294">
        <f t="shared" ref="V289:X289" si="699">-V241</f>
        <v>-144.21250000000001</v>
      </c>
      <c r="W289" s="294">
        <f t="shared" si="699"/>
        <v>-144.21250000000001</v>
      </c>
      <c r="X289" s="294">
        <f t="shared" si="699"/>
        <v>-144.21250000000001</v>
      </c>
      <c r="Y289" s="9"/>
      <c r="Z289" s="294">
        <f t="shared" ref="Z289:AC289" si="700">-Z241</f>
        <v>-141.84888026861498</v>
      </c>
      <c r="AA289" s="294">
        <f t="shared" si="700"/>
        <v>-141.84888026861498</v>
      </c>
      <c r="AB289" s="294">
        <f t="shared" si="700"/>
        <v>-141.84888026861498</v>
      </c>
      <c r="AC289" s="294">
        <f t="shared" si="700"/>
        <v>-141.84888026861498</v>
      </c>
      <c r="AD289" s="9"/>
      <c r="AE289" s="126">
        <f t="shared" ref="AE289:AG289" si="701">-AE241</f>
        <v>-565.88144480616063</v>
      </c>
      <c r="AF289" s="126">
        <f t="shared" si="701"/>
        <v>-564.37140880053721</v>
      </c>
      <c r="AG289" s="126">
        <f t="shared" si="701"/>
        <v>-562.86540227628166</v>
      </c>
      <c r="AH289" s="9"/>
      <c r="AI289" s="9"/>
      <c r="AJ289" s="9"/>
      <c r="AK289" s="9"/>
    </row>
    <row r="290" spans="1:37" ht="13.5" customHeight="1" x14ac:dyDescent="0.25">
      <c r="A290" s="205"/>
      <c r="B290" s="9"/>
      <c r="C290" s="103" t="s">
        <v>384</v>
      </c>
      <c r="D290" s="9"/>
      <c r="E290" s="9"/>
      <c r="F290" s="250"/>
      <c r="G290" s="250"/>
      <c r="H290" s="250"/>
      <c r="I290" s="250"/>
      <c r="J290" s="9"/>
      <c r="K290" s="250"/>
      <c r="L290" s="250"/>
      <c r="M290" s="250"/>
      <c r="N290" s="250"/>
      <c r="O290" s="9"/>
      <c r="P290" s="250"/>
      <c r="Q290" s="250"/>
      <c r="R290" s="250"/>
      <c r="S290" s="250"/>
      <c r="T290" s="9"/>
      <c r="U290" s="250"/>
      <c r="V290" s="294">
        <f t="shared" ref="V290:X290" si="702">-V267</f>
        <v>-661.92000000000007</v>
      </c>
      <c r="W290" s="294">
        <f t="shared" si="702"/>
        <v>-656.53</v>
      </c>
      <c r="X290" s="294">
        <f t="shared" si="702"/>
        <v>-657.66</v>
      </c>
      <c r="Y290" s="9"/>
      <c r="Z290" s="294">
        <f t="shared" ref="Z290:AC290" si="703">-Z267</f>
        <v>-752.57999999999993</v>
      </c>
      <c r="AA290" s="294">
        <f t="shared" si="703"/>
        <v>-747.96960000000001</v>
      </c>
      <c r="AB290" s="294">
        <f t="shared" si="703"/>
        <v>-745.16154999999992</v>
      </c>
      <c r="AC290" s="294">
        <f t="shared" si="703"/>
        <v>-744.47112000000004</v>
      </c>
      <c r="AD290" s="9"/>
      <c r="AE290" s="126">
        <f t="shared" ref="AE290:AG290" si="704">-AE267</f>
        <v>-3378.9059650999993</v>
      </c>
      <c r="AF290" s="126">
        <f t="shared" si="704"/>
        <v>-3270.7809742167992</v>
      </c>
      <c r="AG290" s="126">
        <f t="shared" si="704"/>
        <v>-3368.9044034433032</v>
      </c>
      <c r="AH290" s="9"/>
      <c r="AI290" s="9"/>
      <c r="AJ290" s="9"/>
      <c r="AK290" s="9"/>
    </row>
    <row r="291" spans="1:37" ht="13.5" customHeight="1" x14ac:dyDescent="0.25">
      <c r="A291" s="205"/>
      <c r="B291" s="9"/>
      <c r="C291" s="103" t="s">
        <v>294</v>
      </c>
      <c r="D291" s="9"/>
      <c r="E291" s="9"/>
      <c r="F291" s="250"/>
      <c r="G291" s="250"/>
      <c r="H291" s="250"/>
      <c r="I291" s="250"/>
      <c r="J291" s="9"/>
      <c r="K291" s="250"/>
      <c r="L291" s="250"/>
      <c r="M291" s="250"/>
      <c r="N291" s="250"/>
      <c r="O291" s="9"/>
      <c r="P291" s="250"/>
      <c r="Q291" s="250"/>
      <c r="R291" s="250"/>
      <c r="S291" s="250"/>
      <c r="T291" s="9"/>
      <c r="U291" s="250"/>
      <c r="V291" s="265">
        <f t="shared" ref="V291:X291" si="705">V245</f>
        <v>0</v>
      </c>
      <c r="W291" s="265">
        <f t="shared" si="705"/>
        <v>0</v>
      </c>
      <c r="X291" s="265">
        <f t="shared" si="705"/>
        <v>0</v>
      </c>
      <c r="Y291" s="9"/>
      <c r="Z291" s="265">
        <f t="shared" ref="Z291:AC291" si="706">Z245</f>
        <v>0</v>
      </c>
      <c r="AA291" s="265">
        <f t="shared" si="706"/>
        <v>0</v>
      </c>
      <c r="AB291" s="265">
        <f t="shared" si="706"/>
        <v>0</v>
      </c>
      <c r="AC291" s="265">
        <f t="shared" si="706"/>
        <v>0</v>
      </c>
      <c r="AD291" s="9"/>
      <c r="AE291" s="264">
        <f t="shared" ref="AE291:AG291" si="707">AE245</f>
        <v>0</v>
      </c>
      <c r="AF291" s="264">
        <f t="shared" si="707"/>
        <v>0</v>
      </c>
      <c r="AG291" s="264">
        <f t="shared" si="707"/>
        <v>0</v>
      </c>
      <c r="AH291" s="9"/>
      <c r="AI291" s="9"/>
      <c r="AJ291" s="9"/>
      <c r="AK291" s="9"/>
    </row>
    <row r="292" spans="1:37" ht="13.5" customHeight="1" x14ac:dyDescent="0.25">
      <c r="A292" s="205"/>
      <c r="B292" s="9"/>
      <c r="C292" s="103" t="s">
        <v>302</v>
      </c>
      <c r="D292" s="9"/>
      <c r="E292" s="9"/>
      <c r="F292" s="250"/>
      <c r="G292" s="250"/>
      <c r="H292" s="250"/>
      <c r="I292" s="250"/>
      <c r="J292" s="9"/>
      <c r="K292" s="250"/>
      <c r="L292" s="250"/>
      <c r="M292" s="250"/>
      <c r="N292" s="250"/>
      <c r="O292" s="9"/>
      <c r="P292" s="250"/>
      <c r="Q292" s="250"/>
      <c r="R292" s="250"/>
      <c r="S292" s="250"/>
      <c r="T292" s="9"/>
      <c r="U292" s="250"/>
      <c r="V292" s="294">
        <f t="shared" ref="V292:X292" si="708">V102</f>
        <v>0</v>
      </c>
      <c r="W292" s="294">
        <f t="shared" ca="1" si="708"/>
        <v>62511.832442510888</v>
      </c>
      <c r="X292" s="294">
        <f t="shared" ca="1" si="708"/>
        <v>68333.224136109755</v>
      </c>
      <c r="Y292" s="9"/>
      <c r="Z292" s="294">
        <f t="shared" ref="Z292:AC292" ca="1" si="709">Z102</f>
        <v>71873.754913976227</v>
      </c>
      <c r="AA292" s="294">
        <f t="shared" ca="1" si="709"/>
        <v>75720.921690075382</v>
      </c>
      <c r="AB292" s="294">
        <f t="shared" ca="1" si="709"/>
        <v>86701.190143069078</v>
      </c>
      <c r="AC292" s="294">
        <f t="shared" ca="1" si="709"/>
        <v>90740.151146929129</v>
      </c>
      <c r="AD292" s="9"/>
      <c r="AE292" s="126">
        <f t="shared" ref="AE292:AG292" ca="1" si="710">AE102</f>
        <v>93787.339816058011</v>
      </c>
      <c r="AF292" s="126">
        <f t="shared" ca="1" si="710"/>
        <v>109956.47238790397</v>
      </c>
      <c r="AG292" s="126">
        <f t="shared" ca="1" si="710"/>
        <v>133376.00532693666</v>
      </c>
      <c r="AH292" s="9"/>
      <c r="AI292" s="9"/>
      <c r="AJ292" s="9"/>
      <c r="AK292" s="9"/>
    </row>
    <row r="293" spans="1:37" ht="13.5" customHeight="1" x14ac:dyDescent="0.25">
      <c r="A293" s="205"/>
      <c r="B293" s="9"/>
      <c r="C293" s="103" t="s">
        <v>404</v>
      </c>
      <c r="D293" s="9"/>
      <c r="E293" s="9"/>
      <c r="F293" s="250"/>
      <c r="G293" s="250"/>
      <c r="H293" s="250"/>
      <c r="I293" s="250"/>
      <c r="J293" s="9"/>
      <c r="K293" s="250"/>
      <c r="L293" s="250"/>
      <c r="M293" s="250"/>
      <c r="N293" s="250"/>
      <c r="O293" s="9"/>
      <c r="P293" s="250"/>
      <c r="Q293" s="250"/>
      <c r="R293" s="250"/>
      <c r="S293" s="250"/>
      <c r="T293" s="9"/>
      <c r="U293" s="250"/>
      <c r="V293" s="294">
        <f ca="1">V299*V28</f>
        <v>225.76135961950811</v>
      </c>
      <c r="W293" s="294">
        <f ca="1">W299*W28</f>
        <v>230.89193042567115</v>
      </c>
      <c r="X293" s="294">
        <f ca="1">X299*X28</f>
        <v>240.27910346113069</v>
      </c>
      <c r="Y293" s="9"/>
      <c r="Z293" s="294">
        <f ca="1">Z299*Z28</f>
        <v>239.55085544510879</v>
      </c>
      <c r="AA293" s="294">
        <f ca="1">AA299*AA28</f>
        <v>250.7204085844653</v>
      </c>
      <c r="AB293" s="294">
        <f ca="1">AB299*AB28</f>
        <v>256.79739079450354</v>
      </c>
      <c r="AC293" s="294">
        <f ca="1">AC299*AC28</f>
        <v>266.73283648446079</v>
      </c>
      <c r="AD293" s="9"/>
      <c r="AE293" s="126">
        <f ca="1">AE299*AE28</f>
        <v>1087.4153835067773</v>
      </c>
      <c r="AF293" s="126">
        <f ca="1">AF299*AF28</f>
        <v>1163.3254529938863</v>
      </c>
      <c r="AG293" s="126">
        <f ca="1">AG299*AG28</f>
        <v>1234.7062183497437</v>
      </c>
      <c r="AH293" s="9"/>
      <c r="AI293" s="9"/>
      <c r="AJ293" s="9"/>
      <c r="AK293" s="9"/>
    </row>
    <row r="294" spans="1:37" ht="13.5" customHeight="1" x14ac:dyDescent="0.25">
      <c r="A294" s="205"/>
      <c r="B294" s="9"/>
      <c r="C294" s="103" t="s">
        <v>405</v>
      </c>
      <c r="D294" s="9"/>
      <c r="E294" s="9"/>
      <c r="F294" s="250"/>
      <c r="G294" s="250"/>
      <c r="H294" s="250"/>
      <c r="I294" s="250"/>
      <c r="J294" s="9"/>
      <c r="K294" s="250"/>
      <c r="L294" s="250"/>
      <c r="M294" s="250"/>
      <c r="N294" s="250"/>
      <c r="O294" s="9"/>
      <c r="P294" s="250"/>
      <c r="Q294" s="250"/>
      <c r="R294" s="250"/>
      <c r="S294" s="250"/>
      <c r="T294" s="9"/>
      <c r="U294" s="250"/>
      <c r="V294" s="221">
        <f t="shared" ref="V294:X294" ca="1" si="711">SUM(V288:V293)</f>
        <v>59537.593802130395</v>
      </c>
      <c r="W294" s="221">
        <f t="shared" ca="1" si="711"/>
        <v>65564.116066535425</v>
      </c>
      <c r="X294" s="221">
        <f t="shared" ca="1" si="711"/>
        <v>74614.03401743737</v>
      </c>
      <c r="Y294" s="9"/>
      <c r="Z294" s="221">
        <f t="shared" ref="Z294:AC294" ca="1" si="712">SUM(Z288:Z293)</f>
        <v>74760.47254552049</v>
      </c>
      <c r="AA294" s="221">
        <f t="shared" ca="1" si="712"/>
        <v>83451.910551653549</v>
      </c>
      <c r="AB294" s="221">
        <f t="shared" ca="1" si="712"/>
        <v>90996.948537723627</v>
      </c>
      <c r="AC294" s="221">
        <f t="shared" ca="1" si="712"/>
        <v>97554.072652542469</v>
      </c>
      <c r="AD294" s="9"/>
      <c r="AE294" s="222">
        <f t="shared" ref="AE294:AG294" ca="1" si="713">SUM(AE288:AE293)</f>
        <v>107043.88777141075</v>
      </c>
      <c r="AF294" s="222">
        <f t="shared" ca="1" si="713"/>
        <v>130339.33077993055</v>
      </c>
      <c r="AG294" s="222">
        <f t="shared" ca="1" si="713"/>
        <v>154027.31209261229</v>
      </c>
      <c r="AH294" s="9"/>
      <c r="AI294" s="9"/>
      <c r="AJ294" s="9"/>
      <c r="AK294" s="9"/>
    </row>
    <row r="295" spans="1:37" ht="13.5" customHeight="1" x14ac:dyDescent="0.25">
      <c r="A295" s="205"/>
      <c r="B295" s="9"/>
      <c r="C295" s="103" t="s">
        <v>406</v>
      </c>
      <c r="D295" s="9"/>
      <c r="E295" s="9"/>
      <c r="F295" s="250"/>
      <c r="G295" s="250"/>
      <c r="H295" s="250"/>
      <c r="I295" s="250"/>
      <c r="J295" s="9"/>
      <c r="K295" s="250"/>
      <c r="L295" s="250"/>
      <c r="M295" s="250"/>
      <c r="N295" s="250"/>
      <c r="O295" s="9"/>
      <c r="P295" s="250"/>
      <c r="Q295" s="250"/>
      <c r="R295" s="250"/>
      <c r="S295" s="250"/>
      <c r="T295" s="9"/>
      <c r="U295" s="250"/>
      <c r="V295" s="394">
        <f>Drivers!V154</f>
        <v>3200</v>
      </c>
      <c r="W295" s="394">
        <f>Drivers!W154</f>
        <v>3000</v>
      </c>
      <c r="X295" s="394">
        <f>Drivers!X154</f>
        <v>0</v>
      </c>
      <c r="Y295" s="395"/>
      <c r="Z295" s="394">
        <f>Drivers!Z154</f>
        <v>1200</v>
      </c>
      <c r="AA295" s="394">
        <f>Drivers!AA154</f>
        <v>3500</v>
      </c>
      <c r="AB295" s="394">
        <f>Drivers!AB154</f>
        <v>0</v>
      </c>
      <c r="AC295" s="394">
        <f>Drivers!AC154</f>
        <v>0</v>
      </c>
      <c r="AD295" s="9"/>
      <c r="AE295" s="396">
        <f>Drivers!AE154</f>
        <v>6000</v>
      </c>
      <c r="AF295" s="396">
        <f>Drivers!AF154</f>
        <v>6200</v>
      </c>
      <c r="AG295" s="396">
        <f>Drivers!AG154</f>
        <v>6000</v>
      </c>
      <c r="AH295" s="9"/>
      <c r="AI295" s="9"/>
      <c r="AJ295" s="9"/>
      <c r="AK295" s="9"/>
    </row>
    <row r="296" spans="1:37" ht="13.5" customHeight="1" x14ac:dyDescent="0.25">
      <c r="A296" s="205"/>
      <c r="B296" s="9"/>
      <c r="C296" s="103" t="s">
        <v>407</v>
      </c>
      <c r="D296" s="9"/>
      <c r="E296" s="9"/>
      <c r="F296" s="250"/>
      <c r="G296" s="250"/>
      <c r="H296" s="250"/>
      <c r="I296" s="250"/>
      <c r="J296" s="9"/>
      <c r="K296" s="250"/>
      <c r="L296" s="250"/>
      <c r="M296" s="250"/>
      <c r="N296" s="250"/>
      <c r="O296" s="9"/>
      <c r="P296" s="250"/>
      <c r="Q296" s="250"/>
      <c r="R296" s="250"/>
      <c r="S296" s="250"/>
      <c r="T296" s="9"/>
      <c r="U296" s="250"/>
      <c r="V296" s="394">
        <f>Drivers!V159</f>
        <v>0</v>
      </c>
      <c r="W296" s="394">
        <f>Drivers!W159</f>
        <v>0</v>
      </c>
      <c r="X296" s="394">
        <f>Drivers!X159</f>
        <v>-2500</v>
      </c>
      <c r="Y296" s="395"/>
      <c r="Z296" s="394">
        <f>Drivers!Z159</f>
        <v>0</v>
      </c>
      <c r="AA296" s="394">
        <f>Drivers!AA159</f>
        <v>0</v>
      </c>
      <c r="AB296" s="394">
        <f>Drivers!AB159</f>
        <v>0</v>
      </c>
      <c r="AC296" s="394">
        <f>Drivers!AC159</f>
        <v>-3500</v>
      </c>
      <c r="AD296" s="9"/>
      <c r="AE296" s="396">
        <f>Drivers!AE159</f>
        <v>-2000</v>
      </c>
      <c r="AF296" s="396">
        <f>Drivers!AF159</f>
        <v>-2000</v>
      </c>
      <c r="AG296" s="396">
        <f>Drivers!AG159</f>
        <v>-2000</v>
      </c>
      <c r="AH296" s="9"/>
      <c r="AI296" s="9"/>
      <c r="AJ296" s="9"/>
      <c r="AK296" s="9"/>
    </row>
    <row r="297" spans="1:37" ht="13.5" customHeight="1" x14ac:dyDescent="0.25">
      <c r="A297" s="205"/>
      <c r="B297" s="9"/>
      <c r="C297" s="9" t="s">
        <v>408</v>
      </c>
      <c r="D297" s="9"/>
      <c r="E297" s="9"/>
      <c r="F297" s="250"/>
      <c r="G297" s="250"/>
      <c r="H297" s="250"/>
      <c r="I297" s="250"/>
      <c r="J297" s="9"/>
      <c r="K297" s="250"/>
      <c r="L297" s="250"/>
      <c r="M297" s="250"/>
      <c r="N297" s="250"/>
      <c r="O297" s="9"/>
      <c r="P297" s="250"/>
      <c r="Q297" s="250"/>
      <c r="R297" s="250"/>
      <c r="S297" s="250"/>
      <c r="T297" s="9"/>
      <c r="U297" s="250"/>
      <c r="V297" s="221">
        <f t="shared" ref="V297:X297" ca="1" si="714">SUM(V294:V296)</f>
        <v>62737.593802130395</v>
      </c>
      <c r="W297" s="221">
        <f t="shared" ca="1" si="714"/>
        <v>68564.116066535425</v>
      </c>
      <c r="X297" s="221">
        <f t="shared" ca="1" si="714"/>
        <v>72114.03401743737</v>
      </c>
      <c r="Y297" s="9"/>
      <c r="Z297" s="221">
        <f t="shared" ref="Z297:AC297" ca="1" si="715">SUM(Z294:Z296)</f>
        <v>75960.47254552049</v>
      </c>
      <c r="AA297" s="221">
        <f t="shared" ca="1" si="715"/>
        <v>86951.910551653549</v>
      </c>
      <c r="AB297" s="221">
        <f t="shared" ca="1" si="715"/>
        <v>90996.948537723627</v>
      </c>
      <c r="AC297" s="221">
        <f t="shared" ca="1" si="715"/>
        <v>94054.072652542469</v>
      </c>
      <c r="AD297" s="9"/>
      <c r="AE297" s="222">
        <f t="shared" ref="AE297:AG297" ca="1" si="716">SUM(AE294:AE296)</f>
        <v>111043.88777141075</v>
      </c>
      <c r="AF297" s="222">
        <f t="shared" ca="1" si="716"/>
        <v>134539.33077993055</v>
      </c>
      <c r="AG297" s="222">
        <f t="shared" ca="1" si="716"/>
        <v>158027.31209261229</v>
      </c>
      <c r="AH297" s="9"/>
      <c r="AI297" s="9"/>
      <c r="AJ297" s="9"/>
      <c r="AK297" s="9"/>
    </row>
    <row r="298" spans="1:37" ht="13.5" customHeight="1" x14ac:dyDescent="0.25">
      <c r="A298" s="205"/>
      <c r="B298" s="9"/>
      <c r="C298" s="9"/>
      <c r="D298" s="9"/>
      <c r="E298" s="9"/>
      <c r="F298" s="250"/>
      <c r="G298" s="250"/>
      <c r="H298" s="250"/>
      <c r="I298" s="250"/>
      <c r="J298" s="9"/>
      <c r="K298" s="250"/>
      <c r="L298" s="250"/>
      <c r="M298" s="250"/>
      <c r="N298" s="250"/>
      <c r="O298" s="9"/>
      <c r="P298" s="250"/>
      <c r="Q298" s="250"/>
      <c r="R298" s="250"/>
      <c r="S298" s="250"/>
      <c r="T298" s="9"/>
      <c r="U298" s="250"/>
      <c r="V298" s="251"/>
      <c r="W298" s="251"/>
      <c r="X298" s="251"/>
      <c r="Y298" s="9"/>
      <c r="Z298" s="251"/>
      <c r="AA298" s="251"/>
      <c r="AB298" s="251"/>
      <c r="AC298" s="251"/>
      <c r="AD298" s="9"/>
      <c r="AE298" s="9"/>
      <c r="AF298" s="9"/>
      <c r="AG298" s="9"/>
      <c r="AH298" s="9"/>
      <c r="AI298" s="9"/>
      <c r="AJ298" s="9"/>
      <c r="AK298" s="9"/>
    </row>
    <row r="299" spans="1:37" ht="13.5" customHeight="1" x14ac:dyDescent="0.25">
      <c r="A299" s="205"/>
      <c r="B299" s="9"/>
      <c r="C299" s="243" t="s">
        <v>409</v>
      </c>
      <c r="D299" s="9"/>
      <c r="E299" s="9"/>
      <c r="F299" s="397">
        <f t="shared" ref="F299:T299" si="717">F178/F28</f>
        <v>0</v>
      </c>
      <c r="G299" s="397">
        <f t="shared" si="717"/>
        <v>5.4233436976799811E-2</v>
      </c>
      <c r="H299" s="397">
        <f t="shared" si="717"/>
        <v>-1.1467489376564411E-2</v>
      </c>
      <c r="I299" s="397">
        <f t="shared" si="717"/>
        <v>9.4269453992224042E-2</v>
      </c>
      <c r="J299" s="398">
        <f t="shared" si="717"/>
        <v>0</v>
      </c>
      <c r="K299" s="397">
        <f t="shared" si="717"/>
        <v>5.1384287078115348E-2</v>
      </c>
      <c r="L299" s="397">
        <f t="shared" si="717"/>
        <v>-6.903299450997445E-3</v>
      </c>
      <c r="M299" s="397">
        <f t="shared" si="717"/>
        <v>3.2802598647425317E-2</v>
      </c>
      <c r="N299" s="397">
        <f t="shared" si="717"/>
        <v>1.9148714746591737E-2</v>
      </c>
      <c r="O299" s="398">
        <f t="shared" si="717"/>
        <v>2.3881079769814424E-2</v>
      </c>
      <c r="P299" s="397">
        <f t="shared" si="717"/>
        <v>2.984207468441346E-2</v>
      </c>
      <c r="Q299" s="397">
        <f t="shared" si="717"/>
        <v>-2.4732855064465962E-2</v>
      </c>
      <c r="R299" s="397">
        <f t="shared" si="717"/>
        <v>-4.0424186408522647E-2</v>
      </c>
      <c r="S299" s="397">
        <f t="shared" si="717"/>
        <v>-4.9239543726235742E-2</v>
      </c>
      <c r="T299" s="398">
        <f t="shared" si="717"/>
        <v>-2.230839019176516E-2</v>
      </c>
      <c r="U299" s="397">
        <f t="shared" ref="U299" si="718">U178/U28</f>
        <v>2.9590996168582375</v>
      </c>
      <c r="V299" s="399">
        <f t="shared" ref="V299:X299" ca="1" si="719">AVERAGE($F$299:$V$299)</f>
        <v>1.0032392111788854E-2</v>
      </c>
      <c r="W299" s="399">
        <f t="shared" ca="1" si="719"/>
        <v>1.0032392111788854E-2</v>
      </c>
      <c r="X299" s="399">
        <f t="shared" ca="1" si="719"/>
        <v>1.0032392111788854E-2</v>
      </c>
      <c r="Y299" s="9"/>
      <c r="Z299" s="399">
        <f t="shared" ref="Z299:AC299" ca="1" si="720">AVERAGE($F$299:$V$299)</f>
        <v>1.0032392111788854E-2</v>
      </c>
      <c r="AA299" s="399">
        <f t="shared" ca="1" si="720"/>
        <v>1.0032392111788854E-2</v>
      </c>
      <c r="AB299" s="399">
        <f t="shared" ca="1" si="720"/>
        <v>1.0032392111788854E-2</v>
      </c>
      <c r="AC299" s="399">
        <f t="shared" ca="1" si="720"/>
        <v>1.0032392111788854E-2</v>
      </c>
      <c r="AD299" s="9"/>
      <c r="AE299" s="398">
        <f t="shared" ref="AE299:AG299" ca="1" si="721">AVERAGE($F$299:$V$299)</f>
        <v>1.0032392111788854E-2</v>
      </c>
      <c r="AF299" s="398">
        <f t="shared" ca="1" si="721"/>
        <v>1.0032392111788854E-2</v>
      </c>
      <c r="AG299" s="398">
        <f t="shared" ca="1" si="721"/>
        <v>1.0032392111788854E-2</v>
      </c>
      <c r="AH299" s="9"/>
      <c r="AI299" s="9"/>
      <c r="AJ299" s="9"/>
      <c r="AK299" s="9"/>
    </row>
    <row r="300" spans="1:37" ht="13.5" customHeight="1" x14ac:dyDescent="0.25">
      <c r="A300" s="205"/>
      <c r="B300" s="9"/>
      <c r="C300" s="9"/>
      <c r="D300" s="9"/>
      <c r="E300" s="9"/>
      <c r="F300" s="250"/>
      <c r="G300" s="250"/>
      <c r="H300" s="250"/>
      <c r="I300" s="250"/>
      <c r="J300" s="9"/>
      <c r="K300" s="250"/>
      <c r="L300" s="250"/>
      <c r="M300" s="250"/>
      <c r="N300" s="250"/>
      <c r="O300" s="9"/>
      <c r="P300" s="250"/>
      <c r="Q300" s="250"/>
      <c r="R300" s="250"/>
      <c r="S300" s="250"/>
      <c r="T300" s="9"/>
      <c r="U300" s="250"/>
      <c r="V300" s="251"/>
      <c r="W300" s="251"/>
      <c r="X300" s="251"/>
      <c r="Y300" s="9"/>
      <c r="Z300" s="251"/>
      <c r="AA300" s="251"/>
      <c r="AB300" s="251"/>
      <c r="AC300" s="251"/>
      <c r="AD300" s="9"/>
      <c r="AE300" s="9"/>
      <c r="AF300" s="9"/>
      <c r="AG300" s="9"/>
      <c r="AH300" s="9"/>
      <c r="AI300" s="9"/>
      <c r="AJ300" s="9"/>
      <c r="AK300" s="9"/>
    </row>
    <row r="301" spans="1:37" ht="13.5" customHeight="1" x14ac:dyDescent="0.25">
      <c r="A301" s="205"/>
      <c r="B301" s="9"/>
      <c r="C301" s="95" t="s">
        <v>410</v>
      </c>
      <c r="D301" s="9"/>
      <c r="E301" s="9"/>
      <c r="F301" s="250"/>
      <c r="G301" s="250"/>
      <c r="H301" s="250"/>
      <c r="I301" s="250"/>
      <c r="J301" s="9"/>
      <c r="K301" s="250"/>
      <c r="L301" s="250"/>
      <c r="M301" s="250"/>
      <c r="N301" s="250"/>
      <c r="O301" s="9"/>
      <c r="P301" s="250"/>
      <c r="Q301" s="250"/>
      <c r="R301" s="250"/>
      <c r="S301" s="250"/>
      <c r="T301" s="9"/>
      <c r="U301" s="250"/>
      <c r="V301" s="251"/>
      <c r="W301" s="251"/>
      <c r="X301" s="251"/>
      <c r="Y301" s="9"/>
      <c r="Z301" s="251"/>
      <c r="AA301" s="251"/>
      <c r="AB301" s="251"/>
      <c r="AC301" s="251"/>
      <c r="AD301" s="9"/>
      <c r="AE301" s="9"/>
      <c r="AF301" s="9"/>
      <c r="AG301" s="9"/>
      <c r="AH301" s="9"/>
      <c r="AI301" s="9"/>
      <c r="AJ301" s="9"/>
      <c r="AK301" s="9"/>
    </row>
    <row r="302" spans="1:37" ht="13.5" customHeight="1" x14ac:dyDescent="0.25">
      <c r="A302" s="205"/>
      <c r="B302" s="9"/>
      <c r="C302" s="103" t="s">
        <v>379</v>
      </c>
      <c r="D302" s="9"/>
      <c r="E302" s="9"/>
      <c r="F302" s="351">
        <f t="shared" ref="F302:I302" si="722">E304</f>
        <v>0</v>
      </c>
      <c r="G302" s="288">
        <f t="shared" si="722"/>
        <v>0</v>
      </c>
      <c r="H302" s="288">
        <f t="shared" si="722"/>
        <v>0</v>
      </c>
      <c r="I302" s="288">
        <f t="shared" si="722"/>
        <v>0</v>
      </c>
      <c r="J302" s="222">
        <f>F302</f>
        <v>0</v>
      </c>
      <c r="K302" s="288">
        <f t="shared" ref="K302:N302" si="723">J304</f>
        <v>1293</v>
      </c>
      <c r="L302" s="288">
        <f t="shared" si="723"/>
        <v>1742</v>
      </c>
      <c r="M302" s="288">
        <f t="shared" si="723"/>
        <v>1639</v>
      </c>
      <c r="N302" s="288">
        <f t="shared" si="723"/>
        <v>1457</v>
      </c>
      <c r="O302" s="222">
        <f>K302</f>
        <v>1293</v>
      </c>
      <c r="P302" s="288">
        <f>O304</f>
        <v>1374</v>
      </c>
      <c r="Q302" s="288">
        <f t="shared" ref="Q302:S302" si="724">P304</f>
        <v>1559</v>
      </c>
      <c r="R302" s="288">
        <f t="shared" si="724"/>
        <v>1493</v>
      </c>
      <c r="S302" s="288">
        <f t="shared" si="724"/>
        <v>1446</v>
      </c>
      <c r="T302" s="222">
        <f>P302</f>
        <v>1374</v>
      </c>
      <c r="U302" s="288">
        <f>T304</f>
        <v>1371</v>
      </c>
      <c r="V302" s="221">
        <f t="shared" ref="V302" si="725">U304</f>
        <v>1692</v>
      </c>
      <c r="W302" s="221">
        <f t="shared" ref="W302" ca="1" si="726">V304</f>
        <v>0</v>
      </c>
      <c r="X302" s="221">
        <f t="shared" ref="X302" ca="1" si="727">W304</f>
        <v>0</v>
      </c>
      <c r="Y302" s="9"/>
      <c r="Z302" s="221">
        <f ca="1">X304</f>
        <v>0</v>
      </c>
      <c r="AA302" s="221">
        <f t="shared" ref="AA302:AC302" ca="1" si="728">Z304</f>
        <v>0</v>
      </c>
      <c r="AB302" s="221">
        <f t="shared" ca="1" si="728"/>
        <v>0</v>
      </c>
      <c r="AC302" s="221">
        <f t="shared" ca="1" si="728"/>
        <v>0</v>
      </c>
      <c r="AD302" s="9"/>
      <c r="AE302" s="222">
        <f ca="1">AC304</f>
        <v>0</v>
      </c>
      <c r="AF302" s="222">
        <f t="shared" ref="AF302:AG302" ca="1" si="729">AE304</f>
        <v>0</v>
      </c>
      <c r="AG302" s="222">
        <f t="shared" ca="1" si="729"/>
        <v>0</v>
      </c>
      <c r="AH302" s="9"/>
      <c r="AI302" s="9"/>
      <c r="AJ302" s="9"/>
      <c r="AK302" s="9"/>
    </row>
    <row r="303" spans="1:37" ht="13.5" customHeight="1" x14ac:dyDescent="0.25">
      <c r="A303" s="205"/>
      <c r="B303" s="9"/>
      <c r="C303" s="103" t="s">
        <v>411</v>
      </c>
      <c r="D303" s="9"/>
      <c r="E303" s="9"/>
      <c r="F303" s="319">
        <f t="shared" ref="F303:I303" si="730">F304-F302</f>
        <v>0</v>
      </c>
      <c r="G303" s="319">
        <f t="shared" si="730"/>
        <v>0</v>
      </c>
      <c r="H303" s="319">
        <f t="shared" si="730"/>
        <v>0</v>
      </c>
      <c r="I303" s="319">
        <f t="shared" si="730"/>
        <v>0</v>
      </c>
      <c r="J303" s="126">
        <f>IF(J305&gt;J302,J305-J302,0)</f>
        <v>0</v>
      </c>
      <c r="K303" s="319">
        <f t="shared" ref="K303:N303" si="731">K304-K302</f>
        <v>449</v>
      </c>
      <c r="L303" s="319">
        <f t="shared" si="731"/>
        <v>-103</v>
      </c>
      <c r="M303" s="319">
        <f t="shared" si="731"/>
        <v>-182</v>
      </c>
      <c r="N303" s="319">
        <f t="shared" si="731"/>
        <v>-83</v>
      </c>
      <c r="O303" s="126">
        <f>IF(O305&gt;O302,O305-O302,0)</f>
        <v>0</v>
      </c>
      <c r="P303" s="319">
        <f>P304-P302</f>
        <v>185</v>
      </c>
      <c r="Q303" s="319">
        <f t="shared" ref="Q303:S303" si="732">Q304-Q302</f>
        <v>-66</v>
      </c>
      <c r="R303" s="319">
        <f t="shared" si="732"/>
        <v>-47</v>
      </c>
      <c r="S303" s="319">
        <f t="shared" si="732"/>
        <v>-75</v>
      </c>
      <c r="T303" s="126">
        <f>IF(T305&gt;T302,T305-T302,0)</f>
        <v>0</v>
      </c>
      <c r="U303" s="319">
        <f>U304-U302</f>
        <v>321</v>
      </c>
      <c r="V303" s="265">
        <f t="shared" ref="V303:X303" ca="1" si="733">IF(V297&lt;0,-V297,IF(V297&gt;V302,-V302,-V297))</f>
        <v>0</v>
      </c>
      <c r="W303" s="265">
        <f t="shared" ca="1" si="733"/>
        <v>0</v>
      </c>
      <c r="X303" s="265">
        <f t="shared" ca="1" si="733"/>
        <v>0</v>
      </c>
      <c r="Y303" s="9"/>
      <c r="Z303" s="265">
        <f t="shared" ref="Z303:AC303" ca="1" si="734">IF(Z297&lt;0,-Z297,IF(Z297&gt;Z302,-Z302,-Z297))</f>
        <v>0</v>
      </c>
      <c r="AA303" s="265">
        <f t="shared" ca="1" si="734"/>
        <v>0</v>
      </c>
      <c r="AB303" s="265">
        <f t="shared" ca="1" si="734"/>
        <v>0</v>
      </c>
      <c r="AC303" s="265">
        <f t="shared" ca="1" si="734"/>
        <v>0</v>
      </c>
      <c r="AD303" s="9"/>
      <c r="AE303" s="264">
        <f t="shared" ref="AE303:AG303" ca="1" si="735">IF(AE297&lt;0,-AE297,IF(AE297&gt;AE302,-AE302,-AE297))</f>
        <v>0</v>
      </c>
      <c r="AF303" s="264">
        <f t="shared" ca="1" si="735"/>
        <v>0</v>
      </c>
      <c r="AG303" s="264">
        <f t="shared" ca="1" si="735"/>
        <v>0</v>
      </c>
      <c r="AH303" s="9"/>
      <c r="AI303" s="9"/>
      <c r="AJ303" s="9"/>
      <c r="AK303" s="9"/>
    </row>
    <row r="304" spans="1:37" ht="13.5" customHeight="1" x14ac:dyDescent="0.25">
      <c r="A304" s="205"/>
      <c r="B304" s="9"/>
      <c r="C304" s="9" t="s">
        <v>382</v>
      </c>
      <c r="D304" s="9"/>
      <c r="E304" s="9"/>
      <c r="F304" s="288">
        <v>0</v>
      </c>
      <c r="G304" s="288">
        <v>0</v>
      </c>
      <c r="H304" s="288">
        <v>0</v>
      </c>
      <c r="I304" s="288">
        <v>0</v>
      </c>
      <c r="J304" s="222">
        <f>J139</f>
        <v>1293</v>
      </c>
      <c r="K304" s="288">
        <f>K139</f>
        <v>1742</v>
      </c>
      <c r="L304" s="288">
        <f t="shared" ref="L304:N304" si="736">L139</f>
        <v>1639</v>
      </c>
      <c r="M304" s="288">
        <f t="shared" si="736"/>
        <v>1457</v>
      </c>
      <c r="N304" s="288">
        <f t="shared" si="736"/>
        <v>1374</v>
      </c>
      <c r="O304" s="222">
        <f>O139</f>
        <v>1374</v>
      </c>
      <c r="P304" s="288">
        <f>P139</f>
        <v>1559</v>
      </c>
      <c r="Q304" s="288">
        <f t="shared" ref="Q304:S304" si="737">Q139</f>
        <v>1493</v>
      </c>
      <c r="R304" s="288">
        <f t="shared" si="737"/>
        <v>1446</v>
      </c>
      <c r="S304" s="288">
        <f t="shared" si="737"/>
        <v>1371</v>
      </c>
      <c r="T304" s="222">
        <f>T139</f>
        <v>1371</v>
      </c>
      <c r="U304" s="288">
        <f>U139</f>
        <v>1692</v>
      </c>
      <c r="V304" s="221">
        <f t="shared" ref="V304:X304" ca="1" si="738">SUM(V302:V303)</f>
        <v>0</v>
      </c>
      <c r="W304" s="221">
        <f t="shared" ca="1" si="738"/>
        <v>0</v>
      </c>
      <c r="X304" s="221">
        <f t="shared" ca="1" si="738"/>
        <v>0</v>
      </c>
      <c r="Y304" s="9"/>
      <c r="Z304" s="221">
        <f t="shared" ref="Z304:AC304" ca="1" si="739">SUM(Z302:Z303)</f>
        <v>0</v>
      </c>
      <c r="AA304" s="221">
        <f t="shared" ca="1" si="739"/>
        <v>0</v>
      </c>
      <c r="AB304" s="221">
        <f t="shared" ca="1" si="739"/>
        <v>0</v>
      </c>
      <c r="AC304" s="221">
        <f t="shared" ca="1" si="739"/>
        <v>0</v>
      </c>
      <c r="AD304" s="9"/>
      <c r="AE304" s="222">
        <f t="shared" ref="AE304:AG304" ca="1" si="740">SUM(AE302:AE303)</f>
        <v>0</v>
      </c>
      <c r="AF304" s="222">
        <f t="shared" ca="1" si="740"/>
        <v>0</v>
      </c>
      <c r="AG304" s="222">
        <f t="shared" ca="1" si="740"/>
        <v>0</v>
      </c>
      <c r="AH304" s="9"/>
      <c r="AI304" s="9"/>
      <c r="AJ304" s="9"/>
      <c r="AK304" s="9"/>
    </row>
    <row r="305" spans="1:37" ht="13.5" customHeight="1" x14ac:dyDescent="0.25">
      <c r="A305" s="205"/>
      <c r="B305" s="9"/>
      <c r="C305" s="9"/>
      <c r="D305" s="9"/>
      <c r="E305" s="9"/>
      <c r="F305" s="319"/>
      <c r="G305" s="319"/>
      <c r="H305" s="319"/>
      <c r="I305" s="319"/>
      <c r="J305" s="126"/>
      <c r="K305" s="319"/>
      <c r="L305" s="319"/>
      <c r="M305" s="319"/>
      <c r="N305" s="319"/>
      <c r="O305" s="126"/>
      <c r="P305" s="319"/>
      <c r="Q305" s="319"/>
      <c r="R305" s="319"/>
      <c r="S305" s="319"/>
      <c r="T305" s="126"/>
      <c r="U305" s="319"/>
      <c r="V305" s="294"/>
      <c r="W305" s="294"/>
      <c r="X305" s="294"/>
      <c r="Y305" s="9"/>
      <c r="Z305" s="294"/>
      <c r="AA305" s="294"/>
      <c r="AB305" s="294"/>
      <c r="AC305" s="294"/>
      <c r="AD305" s="9"/>
      <c r="AE305" s="126"/>
      <c r="AF305" s="126"/>
      <c r="AG305" s="126"/>
      <c r="AH305" s="9"/>
      <c r="AI305" s="9"/>
      <c r="AJ305" s="9"/>
      <c r="AK305" s="9"/>
    </row>
    <row r="306" spans="1:37" ht="13.5" customHeight="1" x14ac:dyDescent="0.25">
      <c r="A306" s="205"/>
      <c r="B306" s="9"/>
      <c r="C306" s="95" t="s">
        <v>412</v>
      </c>
      <c r="D306" s="9"/>
      <c r="E306" s="9"/>
      <c r="F306" s="319"/>
      <c r="G306" s="319"/>
      <c r="H306" s="319"/>
      <c r="I306" s="319"/>
      <c r="J306" s="126"/>
      <c r="K306" s="319"/>
      <c r="L306" s="319"/>
      <c r="M306" s="319"/>
      <c r="N306" s="319"/>
      <c r="O306" s="126"/>
      <c r="P306" s="319"/>
      <c r="Q306" s="319"/>
      <c r="R306" s="319"/>
      <c r="S306" s="319"/>
      <c r="T306" s="126"/>
      <c r="U306" s="319"/>
      <c r="V306" s="294"/>
      <c r="W306" s="294"/>
      <c r="X306" s="294"/>
      <c r="Y306" s="9"/>
      <c r="Z306" s="294"/>
      <c r="AA306" s="294"/>
      <c r="AB306" s="294"/>
      <c r="AC306" s="294"/>
      <c r="AD306" s="9"/>
      <c r="AE306" s="126"/>
      <c r="AF306" s="126"/>
      <c r="AG306" s="126"/>
      <c r="AH306" s="9"/>
      <c r="AI306" s="9"/>
      <c r="AJ306" s="9"/>
      <c r="AK306" s="9"/>
    </row>
    <row r="307" spans="1:37" ht="13.5" customHeight="1" x14ac:dyDescent="0.25">
      <c r="A307" s="205"/>
      <c r="B307" s="9"/>
      <c r="C307" s="103" t="s">
        <v>379</v>
      </c>
      <c r="D307" s="9"/>
      <c r="E307" s="9"/>
      <c r="F307" s="351">
        <v>42573</v>
      </c>
      <c r="G307" s="288">
        <f t="shared" ref="G307:I307" si="741">F310</f>
        <v>41138</v>
      </c>
      <c r="H307" s="288">
        <f t="shared" si="741"/>
        <v>46725</v>
      </c>
      <c r="I307" s="288">
        <f t="shared" si="741"/>
        <v>46447</v>
      </c>
      <c r="J307" s="222">
        <f>F307</f>
        <v>42573</v>
      </c>
      <c r="K307" s="288">
        <f t="shared" ref="K307:N307" si="742">J310</f>
        <v>47866</v>
      </c>
      <c r="L307" s="288">
        <f t="shared" si="742"/>
        <v>48826</v>
      </c>
      <c r="M307" s="288">
        <f t="shared" si="742"/>
        <v>51521</v>
      </c>
      <c r="N307" s="288">
        <f t="shared" si="742"/>
        <v>53546</v>
      </c>
      <c r="O307" s="222">
        <f>K307</f>
        <v>47866</v>
      </c>
      <c r="P307" s="288">
        <f t="shared" ref="P307:U307" si="743">O310</f>
        <v>49715</v>
      </c>
      <c r="Q307" s="288">
        <f t="shared" si="743"/>
        <v>51236</v>
      </c>
      <c r="R307" s="288">
        <f t="shared" si="743"/>
        <v>58202</v>
      </c>
      <c r="S307" s="288">
        <f t="shared" si="743"/>
        <v>57787</v>
      </c>
      <c r="T307" s="222">
        <f>P307</f>
        <v>49715</v>
      </c>
      <c r="U307" s="288">
        <f t="shared" si="743"/>
        <v>56387</v>
      </c>
      <c r="V307" s="221">
        <f t="shared" ref="V307" si="744">U310</f>
        <v>58750</v>
      </c>
      <c r="W307" s="221">
        <f t="shared" ref="W307" si="745">V310</f>
        <v>61950</v>
      </c>
      <c r="X307" s="221">
        <f t="shared" ref="X307" si="746">W310</f>
        <v>64950</v>
      </c>
      <c r="Y307" s="9"/>
      <c r="Z307" s="221">
        <f>X310</f>
        <v>62450</v>
      </c>
      <c r="AA307" s="221">
        <f t="shared" ref="AA307:AC307" si="747">Z310</f>
        <v>63650</v>
      </c>
      <c r="AB307" s="221">
        <f t="shared" si="747"/>
        <v>67150</v>
      </c>
      <c r="AC307" s="221">
        <f t="shared" si="747"/>
        <v>67150</v>
      </c>
      <c r="AD307" s="9"/>
      <c r="AE307" s="222">
        <f>AC310</f>
        <v>63650</v>
      </c>
      <c r="AF307" s="222">
        <f t="shared" ref="AF307:AG307" si="748">AE310</f>
        <v>67650</v>
      </c>
      <c r="AG307" s="222">
        <f t="shared" si="748"/>
        <v>71850</v>
      </c>
      <c r="AH307" s="9"/>
      <c r="AI307" s="9"/>
      <c r="AJ307" s="9"/>
      <c r="AK307" s="9"/>
    </row>
    <row r="308" spans="1:37" ht="13.5" customHeight="1" x14ac:dyDescent="0.25">
      <c r="A308" s="205"/>
      <c r="B308" s="9"/>
      <c r="C308" s="103" t="s">
        <v>292</v>
      </c>
      <c r="D308" s="9"/>
      <c r="E308" s="9"/>
      <c r="F308" s="319">
        <f t="shared" ref="F308:T308" si="749">IF(F310&gt;F307,F310-F307,0)</f>
        <v>0</v>
      </c>
      <c r="G308" s="319">
        <f t="shared" si="749"/>
        <v>5587</v>
      </c>
      <c r="H308" s="319">
        <f t="shared" si="749"/>
        <v>0</v>
      </c>
      <c r="I308" s="319">
        <f t="shared" si="749"/>
        <v>1419</v>
      </c>
      <c r="J308" s="126">
        <f t="shared" si="749"/>
        <v>5293</v>
      </c>
      <c r="K308" s="319">
        <f t="shared" si="749"/>
        <v>960</v>
      </c>
      <c r="L308" s="319">
        <f t="shared" si="749"/>
        <v>2695</v>
      </c>
      <c r="M308" s="319">
        <f t="shared" si="749"/>
        <v>2025</v>
      </c>
      <c r="N308" s="319">
        <f t="shared" si="749"/>
        <v>0</v>
      </c>
      <c r="O308" s="126">
        <f t="shared" si="749"/>
        <v>1849</v>
      </c>
      <c r="P308" s="319">
        <f t="shared" si="749"/>
        <v>1521</v>
      </c>
      <c r="Q308" s="319">
        <f t="shared" si="749"/>
        <v>6966</v>
      </c>
      <c r="R308" s="319">
        <f t="shared" si="749"/>
        <v>0</v>
      </c>
      <c r="S308" s="319">
        <f t="shared" si="749"/>
        <v>0</v>
      </c>
      <c r="T308" s="126">
        <f t="shared" si="749"/>
        <v>6672</v>
      </c>
      <c r="U308" s="319">
        <f t="shared" ref="U308" si="750">IF(U310&gt;U307,U310-U307,0)</f>
        <v>2363</v>
      </c>
      <c r="V308" s="265">
        <f t="shared" ref="V308:X308" si="751">V295</f>
        <v>3200</v>
      </c>
      <c r="W308" s="265">
        <f t="shared" si="751"/>
        <v>3000</v>
      </c>
      <c r="X308" s="265">
        <f t="shared" si="751"/>
        <v>0</v>
      </c>
      <c r="Y308" s="9"/>
      <c r="Z308" s="265">
        <f t="shared" ref="Z308:AC308" si="752">Z295</f>
        <v>1200</v>
      </c>
      <c r="AA308" s="265">
        <f t="shared" si="752"/>
        <v>3500</v>
      </c>
      <c r="AB308" s="265">
        <f t="shared" si="752"/>
        <v>0</v>
      </c>
      <c r="AC308" s="265">
        <f t="shared" si="752"/>
        <v>0</v>
      </c>
      <c r="AD308" s="9"/>
      <c r="AE308" s="264">
        <f t="shared" ref="AE308:AG308" si="753">AE295</f>
        <v>6000</v>
      </c>
      <c r="AF308" s="264">
        <f t="shared" si="753"/>
        <v>6200</v>
      </c>
      <c r="AG308" s="264">
        <f t="shared" si="753"/>
        <v>6000</v>
      </c>
      <c r="AH308" s="9"/>
      <c r="AI308" s="9"/>
      <c r="AJ308" s="9"/>
      <c r="AK308" s="9"/>
    </row>
    <row r="309" spans="1:37" ht="13.5" customHeight="1" x14ac:dyDescent="0.25">
      <c r="A309" s="205"/>
      <c r="B309" s="9"/>
      <c r="C309" s="103" t="s">
        <v>413</v>
      </c>
      <c r="D309" s="9"/>
      <c r="E309" s="9"/>
      <c r="F309" s="319">
        <f t="shared" ref="F309:T309" si="754">IF(F307&gt;F310,F310-F307,0)</f>
        <v>-1435</v>
      </c>
      <c r="G309" s="319">
        <f t="shared" si="754"/>
        <v>0</v>
      </c>
      <c r="H309" s="319">
        <f t="shared" si="754"/>
        <v>-278</v>
      </c>
      <c r="I309" s="319">
        <f t="shared" si="754"/>
        <v>0</v>
      </c>
      <c r="J309" s="126">
        <f t="shared" si="754"/>
        <v>0</v>
      </c>
      <c r="K309" s="319">
        <f t="shared" si="754"/>
        <v>0</v>
      </c>
      <c r="L309" s="319">
        <f t="shared" si="754"/>
        <v>0</v>
      </c>
      <c r="M309" s="319">
        <f t="shared" si="754"/>
        <v>0</v>
      </c>
      <c r="N309" s="319">
        <f t="shared" si="754"/>
        <v>-3831</v>
      </c>
      <c r="O309" s="126">
        <f t="shared" si="754"/>
        <v>0</v>
      </c>
      <c r="P309" s="319">
        <f t="shared" si="754"/>
        <v>0</v>
      </c>
      <c r="Q309" s="319">
        <f t="shared" si="754"/>
        <v>0</v>
      </c>
      <c r="R309" s="319">
        <f t="shared" si="754"/>
        <v>-415</v>
      </c>
      <c r="S309" s="319">
        <f t="shared" si="754"/>
        <v>-1400</v>
      </c>
      <c r="T309" s="126">
        <f t="shared" si="754"/>
        <v>0</v>
      </c>
      <c r="U309" s="319">
        <f t="shared" ref="U309" si="755">IF(U307&gt;U310,U310-U307,0)</f>
        <v>0</v>
      </c>
      <c r="V309" s="265">
        <f t="shared" ref="V309:X309" si="756">V296</f>
        <v>0</v>
      </c>
      <c r="W309" s="265">
        <f t="shared" si="756"/>
        <v>0</v>
      </c>
      <c r="X309" s="265">
        <f t="shared" si="756"/>
        <v>-2500</v>
      </c>
      <c r="Y309" s="9"/>
      <c r="Z309" s="265">
        <f t="shared" ref="Z309:AC309" si="757">Z296</f>
        <v>0</v>
      </c>
      <c r="AA309" s="265">
        <f t="shared" si="757"/>
        <v>0</v>
      </c>
      <c r="AB309" s="265">
        <f t="shared" si="757"/>
        <v>0</v>
      </c>
      <c r="AC309" s="265">
        <f t="shared" si="757"/>
        <v>-3500</v>
      </c>
      <c r="AD309" s="9"/>
      <c r="AE309" s="264">
        <f t="shared" ref="AE309:AG309" si="758">AE296</f>
        <v>-2000</v>
      </c>
      <c r="AF309" s="264">
        <f t="shared" si="758"/>
        <v>-2000</v>
      </c>
      <c r="AG309" s="264">
        <f t="shared" si="758"/>
        <v>-2000</v>
      </c>
      <c r="AH309" s="9"/>
      <c r="AI309" s="9"/>
      <c r="AJ309" s="9"/>
      <c r="AK309" s="9"/>
    </row>
    <row r="310" spans="1:37" ht="13.5" customHeight="1" x14ac:dyDescent="0.25">
      <c r="A310" s="205"/>
      <c r="B310" s="9"/>
      <c r="C310" s="9" t="s">
        <v>382</v>
      </c>
      <c r="D310" s="9"/>
      <c r="E310" s="9"/>
      <c r="F310" s="288">
        <f t="shared" ref="F310:T310" si="759">F140</f>
        <v>41138</v>
      </c>
      <c r="G310" s="288">
        <f t="shared" si="759"/>
        <v>46725</v>
      </c>
      <c r="H310" s="288">
        <f t="shared" si="759"/>
        <v>46447</v>
      </c>
      <c r="I310" s="288">
        <f t="shared" si="759"/>
        <v>47866</v>
      </c>
      <c r="J310" s="222">
        <f t="shared" si="759"/>
        <v>47866</v>
      </c>
      <c r="K310" s="288">
        <f t="shared" si="759"/>
        <v>48826</v>
      </c>
      <c r="L310" s="288">
        <f t="shared" si="759"/>
        <v>51521</v>
      </c>
      <c r="M310" s="288">
        <f t="shared" si="759"/>
        <v>53546</v>
      </c>
      <c r="N310" s="288">
        <f t="shared" si="759"/>
        <v>49715</v>
      </c>
      <c r="O310" s="222">
        <f t="shared" si="759"/>
        <v>49715</v>
      </c>
      <c r="P310" s="288">
        <f t="shared" si="759"/>
        <v>51236</v>
      </c>
      <c r="Q310" s="288">
        <f t="shared" si="759"/>
        <v>58202</v>
      </c>
      <c r="R310" s="288">
        <f t="shared" si="759"/>
        <v>57787</v>
      </c>
      <c r="S310" s="288">
        <f t="shared" si="759"/>
        <v>56387</v>
      </c>
      <c r="T310" s="222">
        <f t="shared" si="759"/>
        <v>56387</v>
      </c>
      <c r="U310" s="288">
        <f t="shared" ref="U310" si="760">U140</f>
        <v>58750</v>
      </c>
      <c r="V310" s="221">
        <f>SUM(V307:V309)</f>
        <v>61950</v>
      </c>
      <c r="W310" s="221">
        <f t="shared" ref="W310:X310" si="761">SUM(W307:W309)</f>
        <v>64950</v>
      </c>
      <c r="X310" s="221">
        <f t="shared" si="761"/>
        <v>62450</v>
      </c>
      <c r="Y310" s="9"/>
      <c r="Z310" s="221">
        <f t="shared" ref="Z310:AC310" si="762">SUM(Z307:Z309)</f>
        <v>63650</v>
      </c>
      <c r="AA310" s="221">
        <f t="shared" si="762"/>
        <v>67150</v>
      </c>
      <c r="AB310" s="221">
        <f t="shared" si="762"/>
        <v>67150</v>
      </c>
      <c r="AC310" s="221">
        <f t="shared" si="762"/>
        <v>63650</v>
      </c>
      <c r="AD310" s="9"/>
      <c r="AE310" s="222">
        <f t="shared" ref="AE310:AG310" si="763">SUM(AE307:AE309)</f>
        <v>67650</v>
      </c>
      <c r="AF310" s="222">
        <f t="shared" si="763"/>
        <v>71850</v>
      </c>
      <c r="AG310" s="222">
        <f t="shared" si="763"/>
        <v>75850</v>
      </c>
      <c r="AH310" s="9"/>
      <c r="AI310" s="9"/>
      <c r="AJ310" s="9"/>
      <c r="AK310" s="9"/>
    </row>
    <row r="311" spans="1:37" ht="13.5" customHeight="1" x14ac:dyDescent="0.25">
      <c r="A311" s="205"/>
      <c r="B311" s="9"/>
      <c r="C311" s="9"/>
      <c r="D311" s="9"/>
      <c r="E311" s="9"/>
      <c r="F311" s="250"/>
      <c r="G311" s="250"/>
      <c r="H311" s="250"/>
      <c r="I311" s="250"/>
      <c r="J311" s="9"/>
      <c r="K311" s="250"/>
      <c r="L311" s="250"/>
      <c r="M311" s="250"/>
      <c r="N311" s="250"/>
      <c r="O311" s="9"/>
      <c r="P311" s="250"/>
      <c r="Q311" s="250"/>
      <c r="R311" s="250"/>
      <c r="S311" s="250"/>
      <c r="T311" s="9"/>
      <c r="U311" s="250"/>
      <c r="V311" s="251"/>
      <c r="W311" s="251"/>
      <c r="X311" s="251"/>
      <c r="Y311" s="9"/>
      <c r="Z311" s="251"/>
      <c r="AA311" s="251"/>
      <c r="AB311" s="251"/>
      <c r="AC311" s="251"/>
      <c r="AD311" s="9"/>
      <c r="AE311" s="9"/>
      <c r="AF311" s="9"/>
      <c r="AG311" s="9"/>
      <c r="AH311" s="9"/>
      <c r="AI311" s="9"/>
      <c r="AJ311" s="9"/>
      <c r="AK311" s="9"/>
    </row>
    <row r="312" spans="1:37" ht="13.5" customHeight="1" x14ac:dyDescent="0.25">
      <c r="A312" s="205"/>
      <c r="B312" s="9"/>
      <c r="C312" s="95" t="s">
        <v>414</v>
      </c>
      <c r="D312" s="9"/>
      <c r="E312" s="9"/>
      <c r="F312" s="250"/>
      <c r="G312" s="250"/>
      <c r="H312" s="250"/>
      <c r="I312" s="250"/>
      <c r="J312" s="9"/>
      <c r="K312" s="250"/>
      <c r="L312" s="250"/>
      <c r="M312" s="250"/>
      <c r="N312" s="250"/>
      <c r="O312" s="9"/>
      <c r="P312" s="250"/>
      <c r="Q312" s="250"/>
      <c r="R312" s="250"/>
      <c r="S312" s="250"/>
      <c r="T312" s="9"/>
      <c r="U312" s="250"/>
      <c r="V312" s="251"/>
      <c r="W312" s="251"/>
      <c r="X312" s="251"/>
      <c r="Y312" s="9"/>
      <c r="Z312" s="251"/>
      <c r="AA312" s="251"/>
      <c r="AB312" s="251"/>
      <c r="AC312" s="251"/>
      <c r="AD312" s="9"/>
      <c r="AE312" s="9"/>
      <c r="AF312" s="9"/>
      <c r="AG312" s="9"/>
      <c r="AH312" s="9"/>
      <c r="AI312" s="9"/>
      <c r="AJ312" s="9"/>
      <c r="AK312" s="9"/>
    </row>
    <row r="313" spans="1:37" ht="13.5" customHeight="1" x14ac:dyDescent="0.25">
      <c r="A313" s="205"/>
      <c r="B313" s="9"/>
      <c r="C313" s="103" t="s">
        <v>415</v>
      </c>
      <c r="D313" s="9"/>
      <c r="E313" s="9"/>
      <c r="F313" s="250"/>
      <c r="G313" s="250"/>
      <c r="H313" s="250"/>
      <c r="I313" s="250"/>
      <c r="J313" s="9"/>
      <c r="K313" s="250"/>
      <c r="L313" s="250"/>
      <c r="M313" s="250"/>
      <c r="N313" s="250"/>
      <c r="O313" s="9"/>
      <c r="P313" s="250"/>
      <c r="Q313" s="250"/>
      <c r="R313" s="250"/>
      <c r="S313" s="250"/>
      <c r="T313" s="9"/>
      <c r="U313" s="250"/>
      <c r="V313" s="221">
        <f t="shared" ref="V313:X313" ca="1" si="764">AVERAGE(V304,V302)</f>
        <v>0</v>
      </c>
      <c r="W313" s="221">
        <f t="shared" ca="1" si="764"/>
        <v>0</v>
      </c>
      <c r="X313" s="221">
        <f t="shared" ca="1" si="764"/>
        <v>0</v>
      </c>
      <c r="Y313" s="9"/>
      <c r="Z313" s="221">
        <f t="shared" ref="Z313:AC313" ca="1" si="765">AVERAGE(Z304,Z302)</f>
        <v>0</v>
      </c>
      <c r="AA313" s="221">
        <f t="shared" ca="1" si="765"/>
        <v>0</v>
      </c>
      <c r="AB313" s="221">
        <f t="shared" ca="1" si="765"/>
        <v>0</v>
      </c>
      <c r="AC313" s="221">
        <f t="shared" ca="1" si="765"/>
        <v>0</v>
      </c>
      <c r="AD313" s="9"/>
      <c r="AE313" s="222">
        <f t="shared" ref="AE313:AG313" ca="1" si="766">AVERAGE(AE304,AE302)</f>
        <v>0</v>
      </c>
      <c r="AF313" s="222">
        <f t="shared" ca="1" si="766"/>
        <v>0</v>
      </c>
      <c r="AG313" s="222">
        <f t="shared" ca="1" si="766"/>
        <v>0</v>
      </c>
      <c r="AH313" s="9"/>
      <c r="AI313" s="9"/>
      <c r="AJ313" s="9"/>
      <c r="AK313" s="9"/>
    </row>
    <row r="314" spans="1:37" ht="13.5" customHeight="1" x14ac:dyDescent="0.25">
      <c r="A314" s="205"/>
      <c r="B314" s="9"/>
      <c r="C314" s="103" t="s">
        <v>416</v>
      </c>
      <c r="D314" s="9"/>
      <c r="E314" s="9"/>
      <c r="F314" s="250"/>
      <c r="G314" s="250"/>
      <c r="H314" s="250"/>
      <c r="I314" s="250"/>
      <c r="J314" s="9"/>
      <c r="K314" s="250"/>
      <c r="L314" s="250"/>
      <c r="M314" s="250"/>
      <c r="N314" s="250"/>
      <c r="O314" s="9"/>
      <c r="P314" s="250"/>
      <c r="Q314" s="250"/>
      <c r="R314" s="250"/>
      <c r="S314" s="250"/>
      <c r="T314" s="9"/>
      <c r="U314" s="250"/>
      <c r="V314" s="400">
        <f t="shared" ref="V314:X314" si="767">5%/4</f>
        <v>1.2500000000000001E-2</v>
      </c>
      <c r="W314" s="400">
        <f t="shared" si="767"/>
        <v>1.2500000000000001E-2</v>
      </c>
      <c r="X314" s="400">
        <f t="shared" si="767"/>
        <v>1.2500000000000001E-2</v>
      </c>
      <c r="Y314" s="9"/>
      <c r="Z314" s="400">
        <f t="shared" ref="Z314:AC314" si="768">5%/4</f>
        <v>1.2500000000000001E-2</v>
      </c>
      <c r="AA314" s="400">
        <f t="shared" si="768"/>
        <v>1.2500000000000001E-2</v>
      </c>
      <c r="AB314" s="400">
        <f t="shared" si="768"/>
        <v>1.2500000000000001E-2</v>
      </c>
      <c r="AC314" s="400">
        <f t="shared" si="768"/>
        <v>1.2500000000000001E-2</v>
      </c>
      <c r="AD314" s="9"/>
      <c r="AE314" s="401">
        <f t="shared" ref="AE314:AG314" si="769">5%</f>
        <v>0.05</v>
      </c>
      <c r="AF314" s="401">
        <f t="shared" si="769"/>
        <v>0.05</v>
      </c>
      <c r="AG314" s="401">
        <f t="shared" si="769"/>
        <v>0.05</v>
      </c>
      <c r="AH314" s="9"/>
      <c r="AI314" s="9"/>
      <c r="AJ314" s="9"/>
      <c r="AK314" s="9"/>
    </row>
    <row r="315" spans="1:37" ht="13.5" customHeight="1" x14ac:dyDescent="0.25">
      <c r="A315" s="205"/>
      <c r="B315" s="9"/>
      <c r="C315" s="103" t="s">
        <v>268</v>
      </c>
      <c r="D315" s="9"/>
      <c r="E315" s="9"/>
      <c r="F315" s="250"/>
      <c r="G315" s="250"/>
      <c r="H315" s="250"/>
      <c r="I315" s="250"/>
      <c r="J315" s="9"/>
      <c r="K315" s="250"/>
      <c r="L315" s="250"/>
      <c r="M315" s="250"/>
      <c r="N315" s="250"/>
      <c r="O315" s="9"/>
      <c r="P315" s="250"/>
      <c r="Q315" s="250"/>
      <c r="R315" s="250"/>
      <c r="S315" s="250"/>
      <c r="T315" s="9"/>
      <c r="U315" s="250"/>
      <c r="V315" s="221">
        <f t="shared" ref="V315:X315" ca="1" si="770">-(V313*V314)</f>
        <v>0</v>
      </c>
      <c r="W315" s="221">
        <f t="shared" ca="1" si="770"/>
        <v>0</v>
      </c>
      <c r="X315" s="221">
        <f t="shared" ca="1" si="770"/>
        <v>0</v>
      </c>
      <c r="Y315" s="9"/>
      <c r="Z315" s="221">
        <f t="shared" ref="Z315:AC315" ca="1" si="771">-(Z313*Z314)</f>
        <v>0</v>
      </c>
      <c r="AA315" s="221">
        <f t="shared" ca="1" si="771"/>
        <v>0</v>
      </c>
      <c r="AB315" s="221">
        <f t="shared" ca="1" si="771"/>
        <v>0</v>
      </c>
      <c r="AC315" s="221">
        <f t="shared" ca="1" si="771"/>
        <v>0</v>
      </c>
      <c r="AD315" s="9"/>
      <c r="AE315" s="222">
        <f t="shared" ref="AE315:AG315" ca="1" si="772">-(AE313*AE314)</f>
        <v>0</v>
      </c>
      <c r="AF315" s="222">
        <f t="shared" ca="1" si="772"/>
        <v>0</v>
      </c>
      <c r="AG315" s="222">
        <f t="shared" ca="1" si="772"/>
        <v>0</v>
      </c>
      <c r="AH315" s="9"/>
      <c r="AI315" s="9"/>
      <c r="AJ315" s="9"/>
      <c r="AK315" s="9"/>
    </row>
    <row r="316" spans="1:37" ht="13.5" customHeight="1" x14ac:dyDescent="0.25">
      <c r="A316" s="205"/>
      <c r="B316" s="9"/>
      <c r="C316" s="9"/>
      <c r="D316" s="9"/>
      <c r="E316" s="9"/>
      <c r="F316" s="250"/>
      <c r="G316" s="250"/>
      <c r="H316" s="250"/>
      <c r="I316" s="250"/>
      <c r="J316" s="9"/>
      <c r="K316" s="250"/>
      <c r="L316" s="250"/>
      <c r="M316" s="250"/>
      <c r="N316" s="250"/>
      <c r="O316" s="9"/>
      <c r="P316" s="250"/>
      <c r="Q316" s="250"/>
      <c r="R316" s="250"/>
      <c r="S316" s="250"/>
      <c r="T316" s="9"/>
      <c r="U316" s="250"/>
      <c r="V316" s="251"/>
      <c r="W316" s="251"/>
      <c r="X316" s="251"/>
      <c r="Y316" s="9"/>
      <c r="Z316" s="251"/>
      <c r="AA316" s="251"/>
      <c r="AB316" s="251"/>
      <c r="AC316" s="251"/>
      <c r="AD316" s="9"/>
      <c r="AE316" s="9"/>
      <c r="AF316" s="9"/>
      <c r="AG316" s="9"/>
      <c r="AH316" s="9"/>
      <c r="AI316" s="9"/>
      <c r="AJ316" s="9"/>
      <c r="AK316" s="9"/>
    </row>
    <row r="317" spans="1:37" ht="13.5" customHeight="1" x14ac:dyDescent="0.25">
      <c r="A317" s="205"/>
      <c r="B317" s="9"/>
      <c r="C317" s="95" t="s">
        <v>417</v>
      </c>
      <c r="D317" s="9"/>
      <c r="E317" s="9"/>
      <c r="F317" s="250"/>
      <c r="G317" s="250"/>
      <c r="H317" s="250"/>
      <c r="I317" s="250"/>
      <c r="J317" s="9"/>
      <c r="K317" s="250"/>
      <c r="L317" s="250"/>
      <c r="M317" s="250"/>
      <c r="N317" s="250"/>
      <c r="O317" s="9"/>
      <c r="P317" s="250"/>
      <c r="Q317" s="250"/>
      <c r="R317" s="250"/>
      <c r="S317" s="250"/>
      <c r="T317" s="9"/>
      <c r="U317" s="250"/>
      <c r="V317" s="251"/>
      <c r="W317" s="251"/>
      <c r="X317" s="251"/>
      <c r="Y317" s="9"/>
      <c r="Z317" s="251"/>
      <c r="AA317" s="251"/>
      <c r="AB317" s="251"/>
      <c r="AC317" s="251"/>
      <c r="AD317" s="9"/>
      <c r="AE317" s="9"/>
      <c r="AF317" s="9"/>
      <c r="AG317" s="9"/>
      <c r="AH317" s="9"/>
      <c r="AI317" s="9"/>
      <c r="AJ317" s="9"/>
      <c r="AK317" s="9"/>
    </row>
    <row r="318" spans="1:37" ht="13.5" customHeight="1" x14ac:dyDescent="0.25">
      <c r="A318" s="205"/>
      <c r="B318" s="9"/>
      <c r="C318" s="103" t="s">
        <v>415</v>
      </c>
      <c r="D318" s="9"/>
      <c r="E318" s="9"/>
      <c r="F318" s="250"/>
      <c r="G318" s="250"/>
      <c r="H318" s="250"/>
      <c r="I318" s="250"/>
      <c r="J318" s="9"/>
      <c r="K318" s="250"/>
      <c r="L318" s="250"/>
      <c r="M318" s="250"/>
      <c r="N318" s="250"/>
      <c r="O318" s="9"/>
      <c r="P318" s="250"/>
      <c r="Q318" s="250"/>
      <c r="R318" s="250"/>
      <c r="S318" s="250"/>
      <c r="T318" s="9"/>
      <c r="U318" s="250"/>
      <c r="V318" s="221">
        <f t="shared" ref="V318:X318" si="773">AVERAGE(V310,V307)</f>
        <v>60350</v>
      </c>
      <c r="W318" s="221">
        <f t="shared" si="773"/>
        <v>63450</v>
      </c>
      <c r="X318" s="221">
        <f t="shared" si="773"/>
        <v>63700</v>
      </c>
      <c r="Y318" s="9"/>
      <c r="Z318" s="221">
        <f t="shared" ref="Z318:AC318" si="774">AVERAGE(Z310,Z307)</f>
        <v>63050</v>
      </c>
      <c r="AA318" s="221">
        <f t="shared" si="774"/>
        <v>65400</v>
      </c>
      <c r="AB318" s="221">
        <f t="shared" si="774"/>
        <v>67150</v>
      </c>
      <c r="AC318" s="221">
        <f t="shared" si="774"/>
        <v>65400</v>
      </c>
      <c r="AD318" s="9"/>
      <c r="AE318" s="222">
        <f t="shared" ref="AE318:AG318" si="775">AVERAGE(AE310,AE307)</f>
        <v>65650</v>
      </c>
      <c r="AF318" s="222">
        <f t="shared" si="775"/>
        <v>69750</v>
      </c>
      <c r="AG318" s="222">
        <f t="shared" si="775"/>
        <v>73850</v>
      </c>
      <c r="AH318" s="9"/>
      <c r="AI318" s="9"/>
      <c r="AJ318" s="9"/>
      <c r="AK318" s="9"/>
    </row>
    <row r="319" spans="1:37" ht="13.5" customHeight="1" x14ac:dyDescent="0.25">
      <c r="A319" s="205"/>
      <c r="B319" s="9"/>
      <c r="C319" s="103" t="s">
        <v>416</v>
      </c>
      <c r="D319" s="9"/>
      <c r="E319" s="9"/>
      <c r="F319" s="250"/>
      <c r="G319" s="250"/>
      <c r="H319" s="250"/>
      <c r="I319" s="250"/>
      <c r="J319" s="9"/>
      <c r="K319" s="250"/>
      <c r="L319" s="250"/>
      <c r="M319" s="250"/>
      <c r="N319" s="250"/>
      <c r="O319" s="9"/>
      <c r="P319" s="250"/>
      <c r="Q319" s="250"/>
      <c r="R319" s="250"/>
      <c r="S319" s="250"/>
      <c r="T319" s="9"/>
      <c r="U319" s="250"/>
      <c r="V319" s="400">
        <v>8.7250000000000001E-3</v>
      </c>
      <c r="W319" s="400">
        <v>8.7250000000000001E-3</v>
      </c>
      <c r="X319" s="400">
        <v>8.7250000000000001E-3</v>
      </c>
      <c r="Y319" s="9"/>
      <c r="Z319" s="400">
        <v>8.7250000000000001E-3</v>
      </c>
      <c r="AA319" s="400">
        <v>8.7250000000000001E-3</v>
      </c>
      <c r="AB319" s="400">
        <v>8.7250000000000001E-3</v>
      </c>
      <c r="AC319" s="400">
        <v>8.7250000000000001E-3</v>
      </c>
      <c r="AD319" s="9"/>
      <c r="AE319" s="401">
        <v>3.49E-2</v>
      </c>
      <c r="AF319" s="401">
        <v>3.49E-2</v>
      </c>
      <c r="AG319" s="401">
        <v>3.49E-2</v>
      </c>
      <c r="AH319" s="9"/>
      <c r="AI319" s="9"/>
      <c r="AJ319" s="9"/>
      <c r="AK319" s="9"/>
    </row>
    <row r="320" spans="1:37" ht="13.5" customHeight="1" x14ac:dyDescent="0.25">
      <c r="A320" s="205"/>
      <c r="B320" s="9"/>
      <c r="C320" s="103" t="s">
        <v>268</v>
      </c>
      <c r="D320" s="9"/>
      <c r="E320" s="9"/>
      <c r="F320" s="250"/>
      <c r="G320" s="250"/>
      <c r="H320" s="250"/>
      <c r="I320" s="250"/>
      <c r="J320" s="9"/>
      <c r="K320" s="250"/>
      <c r="L320" s="250"/>
      <c r="M320" s="250"/>
      <c r="N320" s="250"/>
      <c r="O320" s="9"/>
      <c r="P320" s="250"/>
      <c r="Q320" s="250"/>
      <c r="R320" s="250"/>
      <c r="S320" s="250"/>
      <c r="T320" s="9"/>
      <c r="U320" s="250"/>
      <c r="V320" s="221">
        <f t="shared" ref="V320:X320" si="776">-(V318*V319)</f>
        <v>-526.55375000000004</v>
      </c>
      <c r="W320" s="221">
        <f t="shared" si="776"/>
        <v>-553.60125000000005</v>
      </c>
      <c r="X320" s="221">
        <f t="shared" si="776"/>
        <v>-555.78250000000003</v>
      </c>
      <c r="Y320" s="9"/>
      <c r="Z320" s="221">
        <f t="shared" ref="Z320:AC320" si="777">-(Z318*Z319)</f>
        <v>-550.11125000000004</v>
      </c>
      <c r="AA320" s="221">
        <f t="shared" si="777"/>
        <v>-570.61500000000001</v>
      </c>
      <c r="AB320" s="221">
        <f t="shared" si="777"/>
        <v>-585.88374999999996</v>
      </c>
      <c r="AC320" s="221">
        <f t="shared" si="777"/>
        <v>-570.61500000000001</v>
      </c>
      <c r="AD320" s="9"/>
      <c r="AE320" s="222">
        <f t="shared" ref="AE320:AG320" si="778">-(AE318*AE319)</f>
        <v>-2291.1849999999999</v>
      </c>
      <c r="AF320" s="222">
        <f t="shared" si="778"/>
        <v>-2434.2750000000001</v>
      </c>
      <c r="AG320" s="222">
        <f t="shared" si="778"/>
        <v>-2577.3650000000002</v>
      </c>
      <c r="AH320" s="9"/>
      <c r="AI320" s="9"/>
      <c r="AJ320" s="9"/>
      <c r="AK320" s="9"/>
    </row>
    <row r="321" spans="1:37" ht="13.5" customHeight="1" x14ac:dyDescent="0.25">
      <c r="A321" s="205"/>
      <c r="B321" s="9"/>
      <c r="C321" s="9"/>
      <c r="D321" s="9"/>
      <c r="E321" s="9"/>
      <c r="F321" s="250"/>
      <c r="G321" s="250"/>
      <c r="H321" s="250"/>
      <c r="I321" s="250"/>
      <c r="J321" s="9"/>
      <c r="K321" s="250"/>
      <c r="L321" s="250"/>
      <c r="M321" s="250"/>
      <c r="N321" s="250"/>
      <c r="O321" s="9"/>
      <c r="P321" s="250"/>
      <c r="Q321" s="250"/>
      <c r="R321" s="250"/>
      <c r="S321" s="250"/>
      <c r="T321" s="9"/>
      <c r="U321" s="250"/>
      <c r="V321" s="251"/>
      <c r="W321" s="251"/>
      <c r="X321" s="251"/>
      <c r="Y321" s="9"/>
      <c r="Z321" s="251"/>
      <c r="AA321" s="251"/>
      <c r="AB321" s="251"/>
      <c r="AC321" s="251"/>
      <c r="AD321" s="9"/>
      <c r="AE321" s="9"/>
      <c r="AF321" s="9"/>
      <c r="AG321" s="9"/>
      <c r="AH321" s="9"/>
      <c r="AI321" s="9"/>
      <c r="AJ321" s="9"/>
      <c r="AK321" s="9"/>
    </row>
    <row r="322" spans="1:37" ht="13.5" customHeight="1" x14ac:dyDescent="0.25">
      <c r="A322" s="205"/>
      <c r="B322" s="321"/>
      <c r="C322" s="70" t="s">
        <v>418</v>
      </c>
      <c r="D322" s="70"/>
      <c r="E322" s="70"/>
      <c r="F322" s="402"/>
      <c r="G322" s="402"/>
      <c r="H322" s="402"/>
      <c r="I322" s="402"/>
      <c r="J322" s="70"/>
      <c r="K322" s="402"/>
      <c r="L322" s="402"/>
      <c r="M322" s="402"/>
      <c r="N322" s="402"/>
      <c r="O322" s="70"/>
      <c r="P322" s="402"/>
      <c r="Q322" s="402"/>
      <c r="R322" s="402"/>
      <c r="S322" s="402"/>
      <c r="T322" s="70"/>
      <c r="U322" s="402"/>
      <c r="V322" s="325">
        <f t="shared" ref="V322:X322" ca="1" si="779">SUM(V315,V320)</f>
        <v>-516.40657499999998</v>
      </c>
      <c r="W322" s="325">
        <f t="shared" ca="1" si="779"/>
        <v>-543.45407499999999</v>
      </c>
      <c r="X322" s="325">
        <f t="shared" ca="1" si="779"/>
        <v>-545.63532499999997</v>
      </c>
      <c r="Y322" s="70"/>
      <c r="Z322" s="325">
        <f t="shared" ref="Z322:AC322" ca="1" si="780">SUM(Z315,Z320)</f>
        <v>-539.96407499999998</v>
      </c>
      <c r="AA322" s="325">
        <f t="shared" ca="1" si="780"/>
        <v>-560.46782500000006</v>
      </c>
      <c r="AB322" s="325">
        <f t="shared" ca="1" si="780"/>
        <v>-575.73657500000002</v>
      </c>
      <c r="AC322" s="325">
        <f t="shared" ca="1" si="780"/>
        <v>-560.46782500000006</v>
      </c>
      <c r="AD322" s="70"/>
      <c r="AE322" s="324">
        <f t="shared" ref="AE322:AG322" ca="1" si="781">SUM(AE315,AE320)</f>
        <v>-2250.5963000000002</v>
      </c>
      <c r="AF322" s="324">
        <f t="shared" ca="1" si="781"/>
        <v>-2393.6862999999998</v>
      </c>
      <c r="AG322" s="342">
        <f t="shared" ca="1" si="781"/>
        <v>-2536.7763</v>
      </c>
      <c r="AH322" s="222"/>
      <c r="AI322" s="9"/>
      <c r="AJ322" s="9"/>
      <c r="AK322" s="9"/>
    </row>
    <row r="323" spans="1:37" ht="13.5" customHeight="1" x14ac:dyDescent="0.25">
      <c r="A323" s="205"/>
      <c r="B323" s="9"/>
      <c r="C323" s="9"/>
      <c r="D323" s="9"/>
      <c r="E323" s="9"/>
      <c r="F323" s="250"/>
      <c r="G323" s="250"/>
      <c r="H323" s="250"/>
      <c r="I323" s="250"/>
      <c r="J323" s="9"/>
      <c r="K323" s="250"/>
      <c r="L323" s="250"/>
      <c r="M323" s="250"/>
      <c r="N323" s="250"/>
      <c r="O323" s="9"/>
      <c r="P323" s="250"/>
      <c r="Q323" s="250"/>
      <c r="R323" s="250"/>
      <c r="S323" s="250"/>
      <c r="T323" s="9"/>
      <c r="U323" s="250"/>
      <c r="V323" s="251"/>
      <c r="W323" s="251"/>
      <c r="X323" s="251"/>
      <c r="Y323" s="9"/>
      <c r="Z323" s="251"/>
      <c r="AA323" s="251"/>
      <c r="AB323" s="251"/>
      <c r="AC323" s="251"/>
      <c r="AD323" s="9"/>
      <c r="AE323" s="9"/>
      <c r="AF323" s="9"/>
      <c r="AG323" s="9"/>
      <c r="AH323" s="9"/>
      <c r="AI323" s="9"/>
      <c r="AJ323" s="9"/>
      <c r="AK323" s="9"/>
    </row>
    <row r="324" spans="1:37" ht="13.5" customHeight="1" x14ac:dyDescent="0.25">
      <c r="A324" s="205"/>
      <c r="B324" s="9"/>
      <c r="C324" s="95" t="s">
        <v>419</v>
      </c>
      <c r="D324" s="9"/>
      <c r="E324" s="9"/>
      <c r="F324" s="250"/>
      <c r="G324" s="250"/>
      <c r="H324" s="250"/>
      <c r="I324" s="250"/>
      <c r="J324" s="9"/>
      <c r="K324" s="250"/>
      <c r="L324" s="250"/>
      <c r="M324" s="250"/>
      <c r="N324" s="250"/>
      <c r="O324" s="9"/>
      <c r="P324" s="250"/>
      <c r="Q324" s="250"/>
      <c r="R324" s="250"/>
      <c r="S324" s="250"/>
      <c r="T324" s="9"/>
      <c r="U324" s="250"/>
      <c r="V324" s="251"/>
      <c r="W324" s="251"/>
      <c r="X324" s="251"/>
      <c r="Y324" s="9"/>
      <c r="Z324" s="251"/>
      <c r="AA324" s="251"/>
      <c r="AB324" s="251"/>
      <c r="AC324" s="251"/>
      <c r="AD324" s="9"/>
      <c r="AE324" s="9"/>
      <c r="AF324" s="9"/>
      <c r="AG324" s="9"/>
      <c r="AH324" s="9"/>
      <c r="AI324" s="9"/>
      <c r="AJ324" s="9"/>
      <c r="AK324" s="9"/>
    </row>
    <row r="325" spans="1:37" ht="13.5" customHeight="1" x14ac:dyDescent="0.25">
      <c r="A325" s="205"/>
      <c r="B325" s="9"/>
      <c r="C325" s="103" t="s">
        <v>415</v>
      </c>
      <c r="D325" s="9"/>
      <c r="E325" s="9"/>
      <c r="F325" s="250"/>
      <c r="G325" s="250"/>
      <c r="H325" s="250"/>
      <c r="I325" s="250"/>
      <c r="J325" s="9"/>
      <c r="K325" s="250"/>
      <c r="L325" s="250"/>
      <c r="M325" s="250"/>
      <c r="N325" s="250"/>
      <c r="O325" s="9"/>
      <c r="P325" s="250"/>
      <c r="Q325" s="250"/>
      <c r="R325" s="250"/>
      <c r="S325" s="250"/>
      <c r="T325" s="9"/>
      <c r="U325" s="250"/>
      <c r="V325" s="221">
        <f t="shared" ref="V325:AE325" ca="1" si="782">AVERAGE(V120,U120)</f>
        <v>58007.63874961</v>
      </c>
      <c r="W325" s="221">
        <f t="shared" ca="1" si="782"/>
        <v>65422.528289310321</v>
      </c>
      <c r="X325" s="221">
        <f t="shared" ca="1" si="782"/>
        <v>70103.489525042998</v>
      </c>
      <c r="Y325" s="9"/>
      <c r="Z325" s="221">
        <f t="shared" ca="1" si="782"/>
        <v>73797.338302025804</v>
      </c>
      <c r="AA325" s="221">
        <f t="shared" ca="1" si="782"/>
        <v>81211.055916572222</v>
      </c>
      <c r="AB325" s="221">
        <f t="shared" ca="1" si="782"/>
        <v>88720.670644999103</v>
      </c>
      <c r="AC325" s="221">
        <f t="shared" ca="1" si="782"/>
        <v>92263.745481493563</v>
      </c>
      <c r="AD325" s="9"/>
      <c r="AE325" s="222">
        <f t="shared" ca="1" si="782"/>
        <v>101871.90610198099</v>
      </c>
      <c r="AF325" s="222">
        <f t="shared" ref="AF325" ca="1" si="783">AVERAGE(AF120,AE120)</f>
        <v>121666.23885742031</v>
      </c>
      <c r="AG325" s="222">
        <f t="shared" ref="AG325" ca="1" si="784">AVERAGE(AG120,AF120)</f>
        <v>145084.30560059962</v>
      </c>
      <c r="AH325" s="9"/>
      <c r="AI325" s="9"/>
      <c r="AJ325" s="9"/>
      <c r="AK325" s="9"/>
    </row>
    <row r="326" spans="1:37" ht="13.5" customHeight="1" x14ac:dyDescent="0.25">
      <c r="A326" s="205"/>
      <c r="B326" s="9"/>
      <c r="C326" s="103" t="s">
        <v>416</v>
      </c>
      <c r="D326" s="9"/>
      <c r="E326" s="9"/>
      <c r="F326" s="250"/>
      <c r="G326" s="250"/>
      <c r="H326" s="250"/>
      <c r="I326" s="250"/>
      <c r="J326" s="9"/>
      <c r="K326" s="250"/>
      <c r="L326" s="250"/>
      <c r="M326" s="250"/>
      <c r="N326" s="250"/>
      <c r="O326" s="9"/>
      <c r="P326" s="250"/>
      <c r="Q326" s="250"/>
      <c r="R326" s="250"/>
      <c r="S326" s="250"/>
      <c r="T326" s="9"/>
      <c r="U326" s="250"/>
      <c r="V326" s="400">
        <f t="shared" ref="V326" si="785">U326</f>
        <v>0</v>
      </c>
      <c r="W326" s="400">
        <f t="shared" ref="W326" si="786">V326</f>
        <v>0</v>
      </c>
      <c r="X326" s="400">
        <f t="shared" ref="X326" si="787">W326</f>
        <v>0</v>
      </c>
      <c r="Y326" s="9"/>
      <c r="Z326" s="400">
        <f>X326</f>
        <v>0</v>
      </c>
      <c r="AA326" s="400">
        <f t="shared" ref="AA326:AC326" si="788">Z326</f>
        <v>0</v>
      </c>
      <c r="AB326" s="400">
        <f t="shared" si="788"/>
        <v>0</v>
      </c>
      <c r="AC326" s="400">
        <f t="shared" si="788"/>
        <v>0</v>
      </c>
      <c r="AD326" s="9"/>
      <c r="AE326" s="401">
        <f>AC326</f>
        <v>0</v>
      </c>
      <c r="AF326" s="401">
        <f t="shared" ref="AF326:AG326" si="789">AE326</f>
        <v>0</v>
      </c>
      <c r="AG326" s="401">
        <f t="shared" si="789"/>
        <v>0</v>
      </c>
      <c r="AH326" s="9"/>
      <c r="AI326" s="9"/>
      <c r="AJ326" s="9"/>
      <c r="AK326" s="9"/>
    </row>
    <row r="327" spans="1:37" ht="13.5" customHeight="1" x14ac:dyDescent="0.25">
      <c r="A327" s="205"/>
      <c r="B327" s="9"/>
      <c r="C327" s="103" t="s">
        <v>267</v>
      </c>
      <c r="D327" s="9"/>
      <c r="E327" s="9"/>
      <c r="F327" s="250"/>
      <c r="G327" s="250"/>
      <c r="H327" s="250"/>
      <c r="I327" s="250"/>
      <c r="J327" s="9"/>
      <c r="K327" s="250"/>
      <c r="L327" s="250"/>
      <c r="M327" s="250"/>
      <c r="N327" s="250"/>
      <c r="O327" s="9"/>
      <c r="P327" s="250"/>
      <c r="Q327" s="250"/>
      <c r="R327" s="250"/>
      <c r="S327" s="250"/>
      <c r="T327" s="9"/>
      <c r="U327" s="250"/>
      <c r="V327" s="221">
        <f t="shared" ref="V327:X327" ca="1" si="790">V325*V326</f>
        <v>0</v>
      </c>
      <c r="W327" s="221">
        <f t="shared" ca="1" si="790"/>
        <v>0</v>
      </c>
      <c r="X327" s="221">
        <f t="shared" ca="1" si="790"/>
        <v>0</v>
      </c>
      <c r="Y327" s="9"/>
      <c r="Z327" s="221">
        <f t="shared" ref="Z327:AC327" ca="1" si="791">Z325*Z326</f>
        <v>0</v>
      </c>
      <c r="AA327" s="221">
        <f t="shared" ca="1" si="791"/>
        <v>0</v>
      </c>
      <c r="AB327" s="221">
        <f t="shared" ca="1" si="791"/>
        <v>0</v>
      </c>
      <c r="AC327" s="221">
        <f t="shared" ca="1" si="791"/>
        <v>0</v>
      </c>
      <c r="AD327" s="9"/>
      <c r="AE327" s="222">
        <f t="shared" ref="AE327:AG327" ca="1" si="792">AE325*AE326</f>
        <v>0</v>
      </c>
      <c r="AF327" s="222">
        <f t="shared" ca="1" si="792"/>
        <v>0</v>
      </c>
      <c r="AG327" s="222">
        <f t="shared" ca="1" si="792"/>
        <v>0</v>
      </c>
      <c r="AH327" s="9"/>
      <c r="AI327" s="9"/>
      <c r="AJ327" s="9"/>
      <c r="AK327" s="9"/>
    </row>
    <row r="328" spans="1:37" ht="13.5" customHeight="1" x14ac:dyDescent="0.25">
      <c r="A328" s="205"/>
      <c r="B328" s="9"/>
      <c r="C328" s="9"/>
      <c r="D328" s="9"/>
      <c r="E328" s="9"/>
      <c r="F328" s="250"/>
      <c r="G328" s="250"/>
      <c r="H328" s="250"/>
      <c r="I328" s="250"/>
      <c r="J328" s="9"/>
      <c r="K328" s="250"/>
      <c r="L328" s="250"/>
      <c r="M328" s="250"/>
      <c r="N328" s="250"/>
      <c r="O328" s="9"/>
      <c r="P328" s="250"/>
      <c r="Q328" s="250"/>
      <c r="R328" s="250"/>
      <c r="S328" s="250"/>
      <c r="T328" s="9"/>
      <c r="U328" s="250"/>
      <c r="V328" s="251"/>
      <c r="W328" s="251"/>
      <c r="X328" s="251"/>
      <c r="Y328" s="9"/>
      <c r="Z328" s="251"/>
      <c r="AA328" s="251"/>
      <c r="AB328" s="251"/>
      <c r="AC328" s="251"/>
      <c r="AD328" s="9"/>
      <c r="AE328" s="9"/>
      <c r="AF328" s="9"/>
      <c r="AG328" s="9"/>
      <c r="AH328" s="9"/>
      <c r="AI328" s="9"/>
      <c r="AJ328" s="9"/>
      <c r="AK328" s="9"/>
    </row>
    <row r="329" spans="1:37" ht="13.5" customHeight="1" x14ac:dyDescent="0.25">
      <c r="A329" s="205"/>
      <c r="B329" s="321"/>
      <c r="C329" s="70" t="s">
        <v>420</v>
      </c>
      <c r="D329" s="70"/>
      <c r="E329" s="70"/>
      <c r="F329" s="402"/>
      <c r="G329" s="402"/>
      <c r="H329" s="402"/>
      <c r="I329" s="402"/>
      <c r="J329" s="70"/>
      <c r="K329" s="402"/>
      <c r="L329" s="402"/>
      <c r="M329" s="402"/>
      <c r="N329" s="402"/>
      <c r="O329" s="70"/>
      <c r="P329" s="402"/>
      <c r="Q329" s="402"/>
      <c r="R329" s="402"/>
      <c r="S329" s="402"/>
      <c r="T329" s="70"/>
      <c r="U329" s="402"/>
      <c r="V329" s="325">
        <f t="shared" ref="V329:X329" ca="1" si="793">V327</f>
        <v>0</v>
      </c>
      <c r="W329" s="325">
        <f t="shared" ca="1" si="793"/>
        <v>0</v>
      </c>
      <c r="X329" s="325">
        <f t="shared" ca="1" si="793"/>
        <v>0</v>
      </c>
      <c r="Y329" s="70"/>
      <c r="Z329" s="325">
        <f t="shared" ref="Z329:AC329" ca="1" si="794">Z327</f>
        <v>0</v>
      </c>
      <c r="AA329" s="325">
        <f t="shared" ca="1" si="794"/>
        <v>0</v>
      </c>
      <c r="AB329" s="325">
        <f t="shared" ca="1" si="794"/>
        <v>0</v>
      </c>
      <c r="AC329" s="325">
        <f t="shared" ca="1" si="794"/>
        <v>0</v>
      </c>
      <c r="AD329" s="70"/>
      <c r="AE329" s="324">
        <f t="shared" ref="AE329:AG329" ca="1" si="795">AE327</f>
        <v>0</v>
      </c>
      <c r="AF329" s="324">
        <f t="shared" ca="1" si="795"/>
        <v>0</v>
      </c>
      <c r="AG329" s="342">
        <f t="shared" ca="1" si="795"/>
        <v>0</v>
      </c>
      <c r="AH329" s="222"/>
      <c r="AI329" s="9"/>
      <c r="AJ329" s="9"/>
      <c r="AK329" s="9"/>
    </row>
    <row r="330" spans="1:37" ht="13.5" customHeight="1" x14ac:dyDescent="0.25">
      <c r="A330" s="205"/>
      <c r="B330" s="9"/>
      <c r="C330" s="9"/>
      <c r="D330" s="9"/>
      <c r="E330" s="9"/>
      <c r="F330" s="250"/>
      <c r="G330" s="250"/>
      <c r="H330" s="250"/>
      <c r="I330" s="250"/>
      <c r="J330" s="9"/>
      <c r="K330" s="250"/>
      <c r="L330" s="250"/>
      <c r="M330" s="250"/>
      <c r="N330" s="250"/>
      <c r="O330" s="9"/>
      <c r="P330" s="250"/>
      <c r="Q330" s="250"/>
      <c r="R330" s="250"/>
      <c r="S330" s="250"/>
      <c r="T330" s="9"/>
      <c r="U330" s="250"/>
      <c r="V330" s="251"/>
      <c r="W330" s="251"/>
      <c r="X330" s="251"/>
      <c r="Y330" s="9"/>
      <c r="Z330" s="251"/>
      <c r="AA330" s="251"/>
      <c r="AB330" s="251"/>
      <c r="AC330" s="251"/>
      <c r="AD330" s="9"/>
      <c r="AE330" s="9"/>
      <c r="AF330" s="9"/>
      <c r="AG330" s="9"/>
      <c r="AH330" s="9"/>
      <c r="AI330" s="9"/>
      <c r="AJ330" s="9"/>
      <c r="AK330" s="9"/>
    </row>
    <row r="331" spans="1:37" ht="13.5" customHeight="1" x14ac:dyDescent="0.25">
      <c r="A331" s="205" t="s">
        <v>0</v>
      </c>
      <c r="B331" s="37" t="s">
        <v>0</v>
      </c>
      <c r="C331" s="50" t="s">
        <v>256</v>
      </c>
      <c r="D331" s="12"/>
      <c r="E331" s="12"/>
      <c r="F331" s="248"/>
      <c r="G331" s="51"/>
      <c r="H331" s="51"/>
      <c r="I331" s="51"/>
      <c r="J331" s="51"/>
      <c r="K331" s="51"/>
      <c r="L331" s="51"/>
      <c r="M331" s="51"/>
      <c r="N331" s="51"/>
      <c r="O331" s="51"/>
      <c r="P331" s="51"/>
      <c r="Q331" s="51"/>
      <c r="R331" s="51"/>
      <c r="S331" s="51"/>
      <c r="T331" s="51"/>
      <c r="U331" s="51"/>
      <c r="V331" s="51"/>
      <c r="W331" s="51"/>
      <c r="X331" s="51"/>
      <c r="Y331" s="51"/>
      <c r="Z331" s="51"/>
      <c r="AA331" s="51"/>
      <c r="AB331" s="51"/>
      <c r="AC331" s="51"/>
      <c r="AD331" s="51"/>
      <c r="AE331" s="51"/>
      <c r="AF331" s="51"/>
      <c r="AG331" s="52"/>
      <c r="AH331" s="205" t="s">
        <v>0</v>
      </c>
      <c r="AI331" s="9"/>
      <c r="AJ331" s="9"/>
      <c r="AK331" s="9"/>
    </row>
    <row r="332" spans="1:37" ht="13.5" customHeight="1" x14ac:dyDescent="0.25">
      <c r="A332" s="205"/>
      <c r="B332" s="205"/>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row>
    <row r="333" spans="1:37" ht="13.5" customHeight="1" x14ac:dyDescent="0.25">
      <c r="A333" s="205"/>
      <c r="B333" s="205"/>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row>
    <row r="334" spans="1:37" ht="13.5" customHeight="1" x14ac:dyDescent="0.25">
      <c r="A334" s="205"/>
      <c r="B334" s="205"/>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row>
    <row r="335" spans="1:37" ht="13.5" customHeight="1" x14ac:dyDescent="0.25">
      <c r="A335" s="205" t="s">
        <v>0</v>
      </c>
      <c r="B335" s="205" t="s">
        <v>0</v>
      </c>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row>
    <row r="336" spans="1:37" ht="13.5" customHeight="1" x14ac:dyDescent="0.25">
      <c r="A336" s="279"/>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row>
    <row r="337" spans="1:37" ht="13.5" customHeight="1" x14ac:dyDescent="0.25">
      <c r="A337" s="279"/>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row>
    <row r="338" spans="1:37" ht="13.5" customHeight="1" x14ac:dyDescent="0.25">
      <c r="A338" s="279"/>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row>
    <row r="339" spans="1:37" ht="13.5" customHeight="1" x14ac:dyDescent="0.25">
      <c r="A339" s="279"/>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row>
    <row r="340" spans="1:37" ht="13.5" customHeight="1" x14ac:dyDescent="0.25">
      <c r="A340" s="279"/>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row>
    <row r="341" spans="1:37" ht="13.5" customHeight="1" x14ac:dyDescent="0.25">
      <c r="A341" s="279"/>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row>
    <row r="342" spans="1:37" ht="13.5" customHeight="1" x14ac:dyDescent="0.25">
      <c r="A342" s="279"/>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row>
    <row r="343" spans="1:37" ht="13.5" customHeight="1" x14ac:dyDescent="0.25">
      <c r="A343" s="279"/>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row>
    <row r="344" spans="1:37" ht="13.5" customHeight="1" x14ac:dyDescent="0.25">
      <c r="A344" s="279"/>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row>
    <row r="345" spans="1:37" ht="13.5" customHeight="1" x14ac:dyDescent="0.25">
      <c r="A345" s="279"/>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row>
    <row r="346" spans="1:37" ht="13.5" customHeight="1" x14ac:dyDescent="0.25">
      <c r="A346" s="279"/>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row>
    <row r="347" spans="1:37" ht="13.5" customHeight="1" x14ac:dyDescent="0.25">
      <c r="A347" s="279"/>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row>
    <row r="348" spans="1:37" ht="13.5" customHeight="1" x14ac:dyDescent="0.25">
      <c r="A348" s="279"/>
      <c r="B348" s="2"/>
      <c r="C348" s="2"/>
      <c r="D348" s="2"/>
      <c r="E348" s="2"/>
      <c r="F348" s="2"/>
      <c r="G348" s="2"/>
      <c r="H348" s="2"/>
      <c r="I348" s="2">
        <v>1</v>
      </c>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row>
    <row r="349" spans="1:37" ht="13.5" customHeight="1" x14ac:dyDescent="0.25">
      <c r="A349" s="279"/>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row>
    <row r="350" spans="1:37" ht="13.5" customHeight="1" x14ac:dyDescent="0.25">
      <c r="A350" s="279"/>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row>
    <row r="351" spans="1:37" ht="13.5" customHeight="1" x14ac:dyDescent="0.25">
      <c r="A351" s="279"/>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row>
    <row r="352" spans="1:37" ht="13.5" customHeight="1" x14ac:dyDescent="0.25">
      <c r="A352" s="279"/>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row>
    <row r="353" spans="1:37" ht="13.5" customHeight="1" x14ac:dyDescent="0.25">
      <c r="A353" s="279"/>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row>
    <row r="354" spans="1:37" ht="13.5" customHeight="1" x14ac:dyDescent="0.25">
      <c r="A354" s="279"/>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row>
    <row r="355" spans="1:37" ht="13.5" customHeight="1" x14ac:dyDescent="0.25">
      <c r="A355" s="279"/>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row>
    <row r="356" spans="1:37" ht="13.5" customHeight="1" x14ac:dyDescent="0.25">
      <c r="A356" s="279"/>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row>
    <row r="357" spans="1:37" ht="13.5" customHeight="1" x14ac:dyDescent="0.25">
      <c r="A357" s="279"/>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row>
    <row r="358" spans="1:37" ht="13.5" customHeight="1" x14ac:dyDescent="0.25">
      <c r="A358" s="279"/>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row>
    <row r="359" spans="1:37" ht="13.5" customHeight="1" x14ac:dyDescent="0.25">
      <c r="A359" s="279"/>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row>
    <row r="360" spans="1:37" ht="13.5" customHeight="1" x14ac:dyDescent="0.25">
      <c r="A360" s="279"/>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row>
    <row r="361" spans="1:37" ht="13.5" customHeight="1" x14ac:dyDescent="0.25">
      <c r="A361" s="279"/>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row>
    <row r="362" spans="1:37" ht="13.5" customHeight="1" x14ac:dyDescent="0.25">
      <c r="A362" s="279"/>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row>
    <row r="363" spans="1:37" ht="13.5" customHeight="1" x14ac:dyDescent="0.25">
      <c r="A363" s="279"/>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row>
    <row r="364" spans="1:37" ht="13.5" customHeight="1" x14ac:dyDescent="0.25">
      <c r="A364" s="279"/>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row>
    <row r="365" spans="1:37" ht="13.5" customHeight="1" x14ac:dyDescent="0.25">
      <c r="A365" s="279"/>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row>
    <row r="366" spans="1:37" ht="13.5" customHeight="1" x14ac:dyDescent="0.25">
      <c r="A366" s="279"/>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row>
    <row r="367" spans="1:37" ht="13.5" customHeight="1" x14ac:dyDescent="0.25">
      <c r="A367" s="279"/>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row>
    <row r="368" spans="1:37" ht="13.5" customHeight="1" x14ac:dyDescent="0.25">
      <c r="A368" s="279"/>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row>
    <row r="369" spans="1:37" ht="13.5" customHeight="1" x14ac:dyDescent="0.25">
      <c r="A369" s="279"/>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row>
    <row r="370" spans="1:37" ht="13.5" customHeight="1" x14ac:dyDescent="0.25">
      <c r="A370" s="279"/>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row>
    <row r="371" spans="1:37" ht="13.5" customHeight="1" x14ac:dyDescent="0.25">
      <c r="A371" s="279"/>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row>
    <row r="372" spans="1:37" ht="13.5" customHeight="1" x14ac:dyDescent="0.25">
      <c r="A372" s="279"/>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row>
    <row r="373" spans="1:37" ht="13.5" customHeight="1" x14ac:dyDescent="0.25">
      <c r="A373" s="279"/>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row>
    <row r="374" spans="1:37" ht="13.5" customHeight="1" x14ac:dyDescent="0.25">
      <c r="A374" s="279"/>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row>
    <row r="375" spans="1:37" ht="13.5" customHeight="1" x14ac:dyDescent="0.25">
      <c r="A375" s="279"/>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row>
    <row r="376" spans="1:37" ht="13.5" customHeight="1" x14ac:dyDescent="0.25">
      <c r="A376" s="279"/>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row>
    <row r="377" spans="1:37" ht="13.5" customHeight="1" x14ac:dyDescent="0.25">
      <c r="A377" s="279"/>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row>
    <row r="378" spans="1:37" ht="13.5" customHeight="1" x14ac:dyDescent="0.25">
      <c r="A378" s="279"/>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row>
    <row r="379" spans="1:37" ht="13.5" customHeight="1" x14ac:dyDescent="0.25">
      <c r="A379" s="279"/>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row>
    <row r="380" spans="1:37" ht="13.5" customHeight="1" x14ac:dyDescent="0.25">
      <c r="A380" s="279"/>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row>
    <row r="381" spans="1:37" ht="13.5" customHeight="1" x14ac:dyDescent="0.25">
      <c r="A381" s="279"/>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row>
    <row r="382" spans="1:37" ht="13.5" customHeight="1" x14ac:dyDescent="0.25">
      <c r="A382" s="279"/>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row>
    <row r="383" spans="1:37" ht="13.5" customHeight="1" x14ac:dyDescent="0.25">
      <c r="A383" s="279"/>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row>
    <row r="384" spans="1:37" ht="13.5" customHeight="1" x14ac:dyDescent="0.25">
      <c r="A384" s="279"/>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row>
    <row r="385" spans="1:37" ht="13.5" customHeight="1" x14ac:dyDescent="0.25">
      <c r="A385" s="279"/>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row>
    <row r="386" spans="1:37" ht="13.5" customHeight="1" x14ac:dyDescent="0.25">
      <c r="A386" s="279"/>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row>
    <row r="387" spans="1:37" ht="13.5" customHeight="1" x14ac:dyDescent="0.25">
      <c r="A387" s="279"/>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row>
    <row r="388" spans="1:37" ht="13.5" customHeight="1" x14ac:dyDescent="0.25">
      <c r="A388" s="279"/>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row>
    <row r="389" spans="1:37" ht="13.5" customHeight="1" x14ac:dyDescent="0.25">
      <c r="A389" s="279"/>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row>
    <row r="390" spans="1:37" ht="13.5" customHeight="1" x14ac:dyDescent="0.25">
      <c r="A390" s="279"/>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row>
    <row r="391" spans="1:37" ht="13.5" customHeight="1" x14ac:dyDescent="0.25">
      <c r="A391" s="279"/>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row>
    <row r="392" spans="1:37" ht="13.5" customHeight="1" x14ac:dyDescent="0.25">
      <c r="A392" s="279"/>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row>
    <row r="393" spans="1:37" ht="13.5" customHeight="1" x14ac:dyDescent="0.25">
      <c r="A393" s="279"/>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row>
    <row r="394" spans="1:37" ht="13.5" customHeight="1" x14ac:dyDescent="0.25">
      <c r="A394" s="279"/>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row>
    <row r="395" spans="1:37" ht="13.5" customHeight="1" x14ac:dyDescent="0.25">
      <c r="A395" s="279"/>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row>
    <row r="396" spans="1:37" ht="13.5" customHeight="1" x14ac:dyDescent="0.25">
      <c r="A396" s="279"/>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row>
    <row r="397" spans="1:37" ht="13.5" customHeight="1" x14ac:dyDescent="0.25">
      <c r="A397" s="279"/>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row>
    <row r="398" spans="1:37" ht="13.5" customHeight="1" x14ac:dyDescent="0.25">
      <c r="A398" s="279"/>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row>
    <row r="399" spans="1:37" ht="13.5" customHeight="1" x14ac:dyDescent="0.25">
      <c r="A399" s="279"/>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row>
    <row r="400" spans="1:37" ht="13.5" customHeight="1" x14ac:dyDescent="0.25">
      <c r="A400" s="279"/>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row>
    <row r="401" spans="1:37" ht="13.5" customHeight="1" x14ac:dyDescent="0.25">
      <c r="A401" s="279"/>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row>
    <row r="402" spans="1:37" ht="13.5" customHeight="1" x14ac:dyDescent="0.25">
      <c r="A402" s="279"/>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row>
    <row r="403" spans="1:37" ht="13.5" customHeight="1" x14ac:dyDescent="0.25">
      <c r="A403" s="279"/>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row>
    <row r="404" spans="1:37" ht="13.5" customHeight="1" x14ac:dyDescent="0.25">
      <c r="A404" s="279"/>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row>
    <row r="405" spans="1:37" ht="13.5" customHeight="1" x14ac:dyDescent="0.25">
      <c r="A405" s="279"/>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row>
    <row r="406" spans="1:37" ht="13.5" customHeight="1" x14ac:dyDescent="0.25">
      <c r="A406" s="279"/>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row>
    <row r="407" spans="1:37" ht="13.5" customHeight="1" x14ac:dyDescent="0.25">
      <c r="A407" s="279"/>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row>
    <row r="408" spans="1:37" ht="13.5" customHeight="1" x14ac:dyDescent="0.25">
      <c r="A408" s="279"/>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row>
    <row r="409" spans="1:37" ht="13.5" customHeight="1" x14ac:dyDescent="0.25">
      <c r="A409" s="279"/>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row>
    <row r="410" spans="1:37" ht="13.5" customHeight="1" x14ac:dyDescent="0.25">
      <c r="A410" s="279"/>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row>
    <row r="411" spans="1:37" ht="13.5" customHeight="1" x14ac:dyDescent="0.25">
      <c r="A411" s="279"/>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row>
    <row r="412" spans="1:37" ht="13.5" customHeight="1" x14ac:dyDescent="0.25">
      <c r="A412" s="279"/>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row>
    <row r="413" spans="1:37" ht="13.5" customHeight="1" x14ac:dyDescent="0.25">
      <c r="A413" s="279"/>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row>
    <row r="414" spans="1:37" ht="13.5" customHeight="1" x14ac:dyDescent="0.25">
      <c r="A414" s="279"/>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row>
    <row r="415" spans="1:37" ht="13.5" customHeight="1" x14ac:dyDescent="0.25">
      <c r="A415" s="279"/>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row>
    <row r="416" spans="1:37" ht="13.5" customHeight="1" x14ac:dyDescent="0.25">
      <c r="A416" s="279"/>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row>
    <row r="417" spans="1:37" ht="13.5" customHeight="1" x14ac:dyDescent="0.25">
      <c r="A417" s="279"/>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row>
    <row r="418" spans="1:37" ht="13.5" customHeight="1" x14ac:dyDescent="0.25">
      <c r="A418" s="279"/>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row>
    <row r="419" spans="1:37" ht="13.5" customHeight="1" x14ac:dyDescent="0.25">
      <c r="A419" s="279"/>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row>
    <row r="420" spans="1:37" ht="13.5" customHeight="1" x14ac:dyDescent="0.25">
      <c r="A420" s="279"/>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row>
    <row r="421" spans="1:37" ht="13.5" customHeight="1" x14ac:dyDescent="0.25">
      <c r="A421" s="279"/>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row>
    <row r="422" spans="1:37" ht="13.5" customHeight="1" x14ac:dyDescent="0.25">
      <c r="A422" s="279"/>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row>
    <row r="423" spans="1:37" ht="13.5" customHeight="1" x14ac:dyDescent="0.25">
      <c r="A423" s="279"/>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row>
    <row r="424" spans="1:37" ht="13.5" customHeight="1" x14ac:dyDescent="0.25">
      <c r="A424" s="279"/>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row>
    <row r="425" spans="1:37" ht="13.5" customHeight="1" x14ac:dyDescent="0.25">
      <c r="A425" s="279"/>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row>
    <row r="426" spans="1:37" ht="13.5" customHeight="1" x14ac:dyDescent="0.25">
      <c r="A426" s="279"/>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row>
    <row r="427" spans="1:37" ht="13.5" customHeight="1" x14ac:dyDescent="0.25">
      <c r="A427" s="279"/>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row>
    <row r="428" spans="1:37" ht="13.5" customHeight="1" x14ac:dyDescent="0.25">
      <c r="A428" s="279"/>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row>
    <row r="429" spans="1:37" ht="13.5" customHeight="1" x14ac:dyDescent="0.25">
      <c r="A429" s="279"/>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row>
    <row r="430" spans="1:37" ht="13.5" customHeight="1" x14ac:dyDescent="0.25">
      <c r="A430" s="279"/>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row>
    <row r="431" spans="1:37" ht="13.5" customHeight="1" x14ac:dyDescent="0.25">
      <c r="A431" s="279"/>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row>
    <row r="432" spans="1:37" ht="13.5" customHeight="1" x14ac:dyDescent="0.25">
      <c r="A432" s="279"/>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row>
    <row r="433" spans="1:37" ht="13.5" customHeight="1" x14ac:dyDescent="0.25">
      <c r="A433" s="279"/>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row>
    <row r="434" spans="1:37" ht="13.5" customHeight="1" x14ac:dyDescent="0.25">
      <c r="A434" s="279"/>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row>
    <row r="435" spans="1:37" ht="13.5" customHeight="1" x14ac:dyDescent="0.25">
      <c r="A435" s="279"/>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row>
    <row r="436" spans="1:37" ht="13.5" customHeight="1" x14ac:dyDescent="0.25">
      <c r="A436" s="279"/>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row>
    <row r="437" spans="1:37" ht="13.5" customHeight="1" x14ac:dyDescent="0.25">
      <c r="A437" s="279"/>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row>
    <row r="438" spans="1:37" ht="13.5" customHeight="1" x14ac:dyDescent="0.25">
      <c r="A438" s="279"/>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row>
    <row r="439" spans="1:37" ht="13.5" customHeight="1" x14ac:dyDescent="0.25">
      <c r="A439" s="279"/>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row>
    <row r="440" spans="1:37" ht="13.5" customHeight="1" x14ac:dyDescent="0.25">
      <c r="A440" s="279"/>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row>
    <row r="441" spans="1:37" ht="13.5" customHeight="1" x14ac:dyDescent="0.25">
      <c r="A441" s="279"/>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row>
    <row r="442" spans="1:37" ht="13.5" customHeight="1" x14ac:dyDescent="0.25">
      <c r="A442" s="279"/>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row>
    <row r="443" spans="1:37" ht="13.5" customHeight="1" x14ac:dyDescent="0.25">
      <c r="A443" s="279"/>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row>
    <row r="444" spans="1:37" ht="13.5" customHeight="1" x14ac:dyDescent="0.25">
      <c r="A444" s="279"/>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row>
    <row r="445" spans="1:37" ht="13.5" customHeight="1" x14ac:dyDescent="0.25">
      <c r="A445" s="279"/>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row>
    <row r="446" spans="1:37" ht="13.5" customHeight="1" x14ac:dyDescent="0.25">
      <c r="A446" s="279"/>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row>
    <row r="447" spans="1:37" ht="13.5" customHeight="1" x14ac:dyDescent="0.25">
      <c r="A447" s="279"/>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row>
    <row r="448" spans="1:37" ht="13.5" customHeight="1" x14ac:dyDescent="0.25">
      <c r="A448" s="279"/>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row>
    <row r="449" spans="1:37" ht="13.5" customHeight="1" x14ac:dyDescent="0.25">
      <c r="A449" s="279"/>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row>
    <row r="450" spans="1:37" ht="13.5" customHeight="1" x14ac:dyDescent="0.25">
      <c r="A450" s="279"/>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row>
    <row r="451" spans="1:37" ht="13.5" customHeight="1" x14ac:dyDescent="0.25">
      <c r="A451" s="279"/>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row>
    <row r="452" spans="1:37" ht="13.5" customHeight="1" x14ac:dyDescent="0.25">
      <c r="A452" s="279"/>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row>
    <row r="453" spans="1:37" ht="13.5" customHeight="1" x14ac:dyDescent="0.25">
      <c r="A453" s="279"/>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row>
    <row r="454" spans="1:37" ht="13.5" customHeight="1" x14ac:dyDescent="0.25">
      <c r="A454" s="279"/>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row>
    <row r="455" spans="1:37" ht="13.5" customHeight="1" x14ac:dyDescent="0.25">
      <c r="A455" s="279"/>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row>
    <row r="456" spans="1:37" ht="13.5" customHeight="1" x14ac:dyDescent="0.25">
      <c r="A456" s="279"/>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row>
    <row r="457" spans="1:37" ht="13.5" customHeight="1" x14ac:dyDescent="0.25">
      <c r="A457" s="279"/>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row>
    <row r="458" spans="1:37" ht="13.5" customHeight="1" x14ac:dyDescent="0.25">
      <c r="A458" s="279"/>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row>
    <row r="459" spans="1:37" ht="13.5" customHeight="1" x14ac:dyDescent="0.25">
      <c r="A459" s="279"/>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row>
    <row r="460" spans="1:37" ht="13.5" customHeight="1" x14ac:dyDescent="0.25">
      <c r="A460" s="279"/>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row>
    <row r="461" spans="1:37" ht="13.5" customHeight="1" x14ac:dyDescent="0.25">
      <c r="A461" s="279"/>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row>
    <row r="462" spans="1:37" ht="13.5" customHeight="1" x14ac:dyDescent="0.25">
      <c r="A462" s="279"/>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row>
    <row r="463" spans="1:37" ht="13.5" customHeight="1" x14ac:dyDescent="0.25">
      <c r="A463" s="279"/>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row>
    <row r="464" spans="1:37" ht="13.5" customHeight="1" x14ac:dyDescent="0.25">
      <c r="A464" s="279"/>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row>
    <row r="465" spans="1:37" ht="13.5" customHeight="1" x14ac:dyDescent="0.25">
      <c r="A465" s="279"/>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row>
    <row r="466" spans="1:37" ht="13.5" customHeight="1" x14ac:dyDescent="0.25">
      <c r="A466" s="279"/>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row>
    <row r="467" spans="1:37" ht="13.5" customHeight="1" x14ac:dyDescent="0.25">
      <c r="A467" s="279"/>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row>
    <row r="468" spans="1:37" ht="13.5" customHeight="1" x14ac:dyDescent="0.25">
      <c r="A468" s="279"/>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row>
    <row r="469" spans="1:37" ht="13.5" customHeight="1" x14ac:dyDescent="0.25">
      <c r="A469" s="279"/>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row>
    <row r="470" spans="1:37" ht="13.5" customHeight="1" x14ac:dyDescent="0.25">
      <c r="A470" s="279"/>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row>
    <row r="471" spans="1:37" ht="13.5" customHeight="1" x14ac:dyDescent="0.25">
      <c r="A471" s="279"/>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row>
    <row r="472" spans="1:37" ht="13.5" customHeight="1" x14ac:dyDescent="0.25">
      <c r="A472" s="279"/>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row>
    <row r="473" spans="1:37" ht="13.5" customHeight="1" x14ac:dyDescent="0.25">
      <c r="A473" s="279"/>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row>
    <row r="474" spans="1:37" ht="13.5" customHeight="1" x14ac:dyDescent="0.25">
      <c r="A474" s="279"/>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row>
    <row r="475" spans="1:37" ht="13.5" customHeight="1" x14ac:dyDescent="0.25">
      <c r="A475" s="279"/>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row>
    <row r="476" spans="1:37" ht="13.5" customHeight="1" x14ac:dyDescent="0.25">
      <c r="A476" s="279"/>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row>
    <row r="477" spans="1:37" ht="13.5" customHeight="1" x14ac:dyDescent="0.25">
      <c r="A477" s="279"/>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row>
    <row r="478" spans="1:37" ht="13.5" customHeight="1" x14ac:dyDescent="0.25">
      <c r="A478" s="279"/>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row>
    <row r="479" spans="1:37" ht="13.5" customHeight="1" x14ac:dyDescent="0.25">
      <c r="A479" s="279"/>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row>
    <row r="480" spans="1:37" ht="13.5" customHeight="1" x14ac:dyDescent="0.25">
      <c r="A480" s="279"/>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row>
    <row r="481" spans="1:37" ht="13.5" customHeight="1" x14ac:dyDescent="0.25">
      <c r="A481" s="279"/>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row>
    <row r="482" spans="1:37" ht="13.5" customHeight="1" x14ac:dyDescent="0.25">
      <c r="A482" s="279"/>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row>
    <row r="483" spans="1:37" ht="13.5" customHeight="1" x14ac:dyDescent="0.25">
      <c r="A483" s="279"/>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row>
    <row r="484" spans="1:37" ht="13.5" customHeight="1" x14ac:dyDescent="0.25">
      <c r="A484" s="279"/>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row>
    <row r="485" spans="1:37" ht="13.5" customHeight="1" x14ac:dyDescent="0.25">
      <c r="A485" s="279"/>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row>
    <row r="486" spans="1:37" ht="13.5" customHeight="1" x14ac:dyDescent="0.25">
      <c r="A486" s="279"/>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row>
    <row r="487" spans="1:37" ht="13.5" customHeight="1" x14ac:dyDescent="0.25">
      <c r="A487" s="279"/>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row>
    <row r="488" spans="1:37" ht="13.5" customHeight="1" x14ac:dyDescent="0.25">
      <c r="A488" s="279"/>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row>
    <row r="489" spans="1:37" ht="13.5" customHeight="1" x14ac:dyDescent="0.25">
      <c r="A489" s="279"/>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row>
    <row r="490" spans="1:37" ht="13.5" customHeight="1" x14ac:dyDescent="0.25">
      <c r="A490" s="279"/>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row>
    <row r="491" spans="1:37" ht="13.5" customHeight="1" x14ac:dyDescent="0.25">
      <c r="A491" s="279"/>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row>
    <row r="492" spans="1:37" ht="13.5" customHeight="1" x14ac:dyDescent="0.25">
      <c r="A492" s="279"/>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row>
    <row r="493" spans="1:37" ht="13.5" customHeight="1" x14ac:dyDescent="0.25">
      <c r="A493" s="279"/>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row>
    <row r="494" spans="1:37" ht="13.5" customHeight="1" x14ac:dyDescent="0.25">
      <c r="A494" s="279"/>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row>
    <row r="495" spans="1:37" ht="13.5" customHeight="1" x14ac:dyDescent="0.25">
      <c r="A495" s="279"/>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row>
    <row r="496" spans="1:37" ht="13.5" customHeight="1" x14ac:dyDescent="0.25">
      <c r="A496" s="279"/>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row>
    <row r="497" spans="1:37" ht="13.5" customHeight="1" x14ac:dyDescent="0.25">
      <c r="A497" s="279"/>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row>
    <row r="498" spans="1:37" ht="13.5" customHeight="1" x14ac:dyDescent="0.25">
      <c r="A498" s="279"/>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row>
    <row r="499" spans="1:37" ht="13.5" customHeight="1" x14ac:dyDescent="0.25">
      <c r="A499" s="279"/>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row>
    <row r="500" spans="1:37" ht="13.5" customHeight="1" x14ac:dyDescent="0.25">
      <c r="A500" s="279"/>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row>
    <row r="501" spans="1:37" ht="13.5" customHeight="1" x14ac:dyDescent="0.25">
      <c r="A501" s="279"/>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row>
    <row r="502" spans="1:37" ht="13.5" customHeight="1" x14ac:dyDescent="0.25">
      <c r="A502" s="279"/>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row>
    <row r="503" spans="1:37" ht="13.5" customHeight="1" x14ac:dyDescent="0.25">
      <c r="A503" s="279"/>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row>
    <row r="504" spans="1:37" ht="13.5" customHeight="1" x14ac:dyDescent="0.25">
      <c r="A504" s="279"/>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row>
    <row r="505" spans="1:37" ht="13.5" customHeight="1" x14ac:dyDescent="0.25">
      <c r="A505" s="279"/>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row>
    <row r="506" spans="1:37" ht="13.5" customHeight="1" x14ac:dyDescent="0.25">
      <c r="A506" s="279"/>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row>
    <row r="507" spans="1:37" ht="13.5" customHeight="1" x14ac:dyDescent="0.25">
      <c r="A507" s="279"/>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row>
    <row r="508" spans="1:37" ht="13.5" customHeight="1" x14ac:dyDescent="0.25">
      <c r="A508" s="279"/>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row>
    <row r="509" spans="1:37" ht="13.5" customHeight="1" x14ac:dyDescent="0.25">
      <c r="A509" s="279"/>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row>
    <row r="510" spans="1:37" ht="13.5" customHeight="1" x14ac:dyDescent="0.25">
      <c r="A510" s="279"/>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row>
    <row r="511" spans="1:37" ht="13.5" customHeight="1" x14ac:dyDescent="0.25">
      <c r="A511" s="279"/>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row>
    <row r="512" spans="1:37" ht="13.5" customHeight="1" x14ac:dyDescent="0.25">
      <c r="A512" s="279"/>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row>
    <row r="513" spans="1:37" ht="13.5" customHeight="1" x14ac:dyDescent="0.25">
      <c r="A513" s="279"/>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row>
    <row r="514" spans="1:37" ht="13.5" customHeight="1" x14ac:dyDescent="0.25">
      <c r="A514" s="279"/>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row>
    <row r="515" spans="1:37" ht="13.5" customHeight="1" x14ac:dyDescent="0.25">
      <c r="A515" s="279"/>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row>
    <row r="516" spans="1:37" ht="13.5" customHeight="1" x14ac:dyDescent="0.25">
      <c r="A516" s="279"/>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row>
    <row r="517" spans="1:37" ht="13.5" customHeight="1" x14ac:dyDescent="0.25">
      <c r="A517" s="279"/>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row>
    <row r="518" spans="1:37" ht="13.5" customHeight="1" x14ac:dyDescent="0.25">
      <c r="A518" s="279"/>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row>
    <row r="519" spans="1:37" ht="13.5" customHeight="1" x14ac:dyDescent="0.25">
      <c r="A519" s="279"/>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row>
    <row r="520" spans="1:37" ht="13.5" customHeight="1" x14ac:dyDescent="0.25">
      <c r="A520" s="279"/>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row>
    <row r="521" spans="1:37" ht="13.5" customHeight="1" x14ac:dyDescent="0.25">
      <c r="A521" s="279"/>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row>
    <row r="522" spans="1:37" ht="13.5" customHeight="1" x14ac:dyDescent="0.25">
      <c r="A522" s="279"/>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row>
    <row r="523" spans="1:37" ht="13.5" customHeight="1" x14ac:dyDescent="0.25">
      <c r="A523" s="279"/>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row>
    <row r="524" spans="1:37" ht="13.5" customHeight="1" x14ac:dyDescent="0.25">
      <c r="A524" s="279"/>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row>
    <row r="525" spans="1:37" ht="13.5" customHeight="1" x14ac:dyDescent="0.25">
      <c r="A525" s="279"/>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row>
    <row r="526" spans="1:37" ht="13.5" customHeight="1" x14ac:dyDescent="0.25">
      <c r="A526" s="279"/>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row>
    <row r="527" spans="1:37" ht="13.5" customHeight="1" x14ac:dyDescent="0.25">
      <c r="A527" s="279"/>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row>
    <row r="528" spans="1:37" ht="13.5" customHeight="1" x14ac:dyDescent="0.25">
      <c r="A528" s="279"/>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row>
    <row r="529" spans="1:37" ht="13.5" customHeight="1" x14ac:dyDescent="0.25">
      <c r="A529" s="279"/>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row>
    <row r="530" spans="1:37" ht="13.5" customHeight="1" x14ac:dyDescent="0.25">
      <c r="A530" s="279"/>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row>
    <row r="531" spans="1:37" ht="13.5" customHeight="1" x14ac:dyDescent="0.25">
      <c r="A531" s="279"/>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row>
    <row r="532" spans="1:37" ht="13.5" customHeight="1" x14ac:dyDescent="0.25">
      <c r="A532" s="279"/>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row>
    <row r="533" spans="1:37" ht="13.5" customHeight="1" x14ac:dyDescent="0.25">
      <c r="A533" s="279"/>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row>
    <row r="534" spans="1:37" ht="13.5" customHeight="1" x14ac:dyDescent="0.25">
      <c r="A534" s="279"/>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row>
    <row r="535" spans="1:37" ht="13.5" customHeight="1" x14ac:dyDescent="0.25">
      <c r="A535" s="279"/>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row>
    <row r="536" spans="1:37" ht="13.5" customHeight="1" x14ac:dyDescent="0.25">
      <c r="A536" s="279"/>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row>
    <row r="537" spans="1:37" ht="13.5" customHeight="1" x14ac:dyDescent="0.25">
      <c r="A537" s="279"/>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row>
    <row r="538" spans="1:37" ht="13.5" customHeight="1" x14ac:dyDescent="0.25">
      <c r="A538" s="279"/>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row>
    <row r="539" spans="1:37" ht="13.5" customHeight="1" x14ac:dyDescent="0.25">
      <c r="A539" s="279"/>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row>
    <row r="540" spans="1:37" ht="13.5" customHeight="1" x14ac:dyDescent="0.25">
      <c r="A540" s="279"/>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row>
    <row r="541" spans="1:37" ht="13.5" customHeight="1" x14ac:dyDescent="0.25">
      <c r="A541" s="279"/>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row>
    <row r="542" spans="1:37" ht="13.5" customHeight="1" x14ac:dyDescent="0.25">
      <c r="A542" s="279"/>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row>
    <row r="543" spans="1:37" ht="13.5" customHeight="1" x14ac:dyDescent="0.25">
      <c r="A543" s="279"/>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row>
    <row r="544" spans="1:37" ht="13.5" customHeight="1" x14ac:dyDescent="0.25">
      <c r="A544" s="279"/>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row>
    <row r="545" spans="1:37" ht="13.5" customHeight="1" x14ac:dyDescent="0.25">
      <c r="A545" s="279"/>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row>
    <row r="546" spans="1:37" ht="13.5" customHeight="1" x14ac:dyDescent="0.25">
      <c r="A546" s="279"/>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row>
    <row r="547" spans="1:37" ht="13.5" customHeight="1" x14ac:dyDescent="0.25">
      <c r="A547" s="279"/>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row>
    <row r="548" spans="1:37" ht="13.5" customHeight="1" x14ac:dyDescent="0.25">
      <c r="A548" s="279"/>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row>
    <row r="549" spans="1:37" ht="13.5" customHeight="1" x14ac:dyDescent="0.25">
      <c r="A549" s="279"/>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row>
    <row r="550" spans="1:37" ht="13.5" customHeight="1" x14ac:dyDescent="0.25">
      <c r="A550" s="279"/>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row>
    <row r="551" spans="1:37" ht="13.5" customHeight="1" x14ac:dyDescent="0.25">
      <c r="A551" s="279"/>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row>
    <row r="552" spans="1:37" ht="13.5" customHeight="1" x14ac:dyDescent="0.25">
      <c r="A552" s="279"/>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row>
    <row r="553" spans="1:37" ht="13.5" customHeight="1" x14ac:dyDescent="0.25">
      <c r="A553" s="279"/>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row>
    <row r="554" spans="1:37" ht="13.5" customHeight="1" x14ac:dyDescent="0.25">
      <c r="A554" s="279"/>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row>
    <row r="555" spans="1:37" ht="13.5" customHeight="1" x14ac:dyDescent="0.25">
      <c r="A555" s="279"/>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row>
    <row r="556" spans="1:37" ht="13.5" customHeight="1" x14ac:dyDescent="0.25">
      <c r="A556" s="279"/>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row>
    <row r="557" spans="1:37" ht="13.5" customHeight="1" x14ac:dyDescent="0.25">
      <c r="A557" s="279"/>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row>
    <row r="558" spans="1:37" ht="13.5" customHeight="1" x14ac:dyDescent="0.25">
      <c r="A558" s="279"/>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row>
    <row r="559" spans="1:37" ht="13.5" customHeight="1" x14ac:dyDescent="0.25">
      <c r="A559" s="279"/>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row>
    <row r="560" spans="1:37" ht="13.5" customHeight="1" x14ac:dyDescent="0.25">
      <c r="A560" s="279"/>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row>
    <row r="561" spans="1:37" ht="13.5" customHeight="1" x14ac:dyDescent="0.25">
      <c r="A561" s="279"/>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row>
    <row r="562" spans="1:37" ht="13.5" customHeight="1" x14ac:dyDescent="0.25">
      <c r="A562" s="279"/>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row>
    <row r="563" spans="1:37" ht="13.5" customHeight="1" x14ac:dyDescent="0.25">
      <c r="A563" s="279"/>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row>
    <row r="564" spans="1:37" ht="13.5" customHeight="1" x14ac:dyDescent="0.25">
      <c r="A564" s="279"/>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row>
    <row r="565" spans="1:37" ht="13.5" customHeight="1" x14ac:dyDescent="0.25">
      <c r="A565" s="279"/>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row>
    <row r="566" spans="1:37" ht="13.5" customHeight="1" x14ac:dyDescent="0.25">
      <c r="A566" s="279"/>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row>
    <row r="567" spans="1:37" ht="13.5" customHeight="1" x14ac:dyDescent="0.25">
      <c r="A567" s="279"/>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row>
    <row r="568" spans="1:37" ht="13.5" customHeight="1" x14ac:dyDescent="0.25">
      <c r="A568" s="279"/>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row>
    <row r="569" spans="1:37" ht="13.5" customHeight="1" x14ac:dyDescent="0.25">
      <c r="A569" s="279"/>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row>
    <row r="570" spans="1:37" ht="13.5" customHeight="1" x14ac:dyDescent="0.25">
      <c r="A570" s="279"/>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row>
    <row r="571" spans="1:37" ht="13.5" customHeight="1" x14ac:dyDescent="0.25">
      <c r="A571" s="279"/>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row>
    <row r="572" spans="1:37" ht="13.5" customHeight="1" x14ac:dyDescent="0.25">
      <c r="A572" s="279"/>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row>
    <row r="573" spans="1:37" ht="13.5" customHeight="1" x14ac:dyDescent="0.25">
      <c r="A573" s="279"/>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row>
    <row r="574" spans="1:37" ht="13.5" customHeight="1" x14ac:dyDescent="0.25">
      <c r="A574" s="279"/>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row>
    <row r="575" spans="1:37" ht="13.5" customHeight="1" x14ac:dyDescent="0.25">
      <c r="A575" s="279"/>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row>
    <row r="576" spans="1:37" ht="13.5" customHeight="1" x14ac:dyDescent="0.25">
      <c r="A576" s="279"/>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row>
    <row r="577" spans="1:37" ht="13.5" customHeight="1" x14ac:dyDescent="0.25">
      <c r="A577" s="279"/>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row>
    <row r="578" spans="1:37" ht="13.5" customHeight="1" x14ac:dyDescent="0.25">
      <c r="A578" s="279"/>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row>
    <row r="579" spans="1:37" ht="13.5" customHeight="1" x14ac:dyDescent="0.25">
      <c r="A579" s="279"/>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row>
    <row r="580" spans="1:37" ht="13.5" customHeight="1" x14ac:dyDescent="0.25">
      <c r="A580" s="279"/>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row>
    <row r="581" spans="1:37" ht="13.5" customHeight="1" x14ac:dyDescent="0.25">
      <c r="A581" s="279"/>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row>
    <row r="582" spans="1:37" ht="13.5" customHeight="1" x14ac:dyDescent="0.25">
      <c r="A582" s="279"/>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row>
    <row r="583" spans="1:37" ht="13.5" customHeight="1" x14ac:dyDescent="0.25">
      <c r="A583" s="279"/>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row>
    <row r="584" spans="1:37" ht="13.5" customHeight="1" x14ac:dyDescent="0.25">
      <c r="A584" s="279"/>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row>
    <row r="585" spans="1:37" ht="13.5" customHeight="1" x14ac:dyDescent="0.25">
      <c r="A585" s="279"/>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row>
    <row r="586" spans="1:37" ht="13.5" customHeight="1" x14ac:dyDescent="0.25">
      <c r="A586" s="279"/>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row>
    <row r="587" spans="1:37" ht="13.5" customHeight="1" x14ac:dyDescent="0.25">
      <c r="A587" s="279"/>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row>
    <row r="588" spans="1:37" ht="13.5" customHeight="1" x14ac:dyDescent="0.25">
      <c r="A588" s="279"/>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row>
    <row r="589" spans="1:37" ht="13.5" customHeight="1" x14ac:dyDescent="0.25">
      <c r="A589" s="279"/>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row>
    <row r="590" spans="1:37" ht="13.5" customHeight="1" x14ac:dyDescent="0.25">
      <c r="A590" s="279"/>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row>
    <row r="591" spans="1:37" ht="13.5" customHeight="1" x14ac:dyDescent="0.25">
      <c r="A591" s="279"/>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row>
    <row r="592" spans="1:37" ht="13.5" customHeight="1" x14ac:dyDescent="0.25">
      <c r="A592" s="279"/>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row>
    <row r="593" spans="1:37" ht="13.5" customHeight="1" x14ac:dyDescent="0.25">
      <c r="A593" s="279"/>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row>
    <row r="594" spans="1:37" ht="13.5" customHeight="1" x14ac:dyDescent="0.25">
      <c r="A594" s="279"/>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row>
    <row r="595" spans="1:37" ht="13.5" customHeight="1" x14ac:dyDescent="0.25">
      <c r="A595" s="279"/>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row>
    <row r="596" spans="1:37" ht="13.5" customHeight="1" x14ac:dyDescent="0.25">
      <c r="A596" s="279"/>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row>
    <row r="597" spans="1:37" ht="13.5" customHeight="1" x14ac:dyDescent="0.25">
      <c r="A597" s="279"/>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row>
    <row r="598" spans="1:37" ht="13.5" customHeight="1" x14ac:dyDescent="0.25">
      <c r="A598" s="279"/>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row>
    <row r="599" spans="1:37" ht="13.5" customHeight="1" x14ac:dyDescent="0.25">
      <c r="A599" s="279"/>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row>
    <row r="600" spans="1:37" ht="13.5" customHeight="1" x14ac:dyDescent="0.25">
      <c r="A600" s="279"/>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row>
    <row r="601" spans="1:37" ht="13.5" customHeight="1" x14ac:dyDescent="0.25">
      <c r="A601" s="279"/>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row>
    <row r="602" spans="1:37" ht="13.5" customHeight="1" x14ac:dyDescent="0.25">
      <c r="A602" s="279"/>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row>
    <row r="603" spans="1:37" ht="13.5" customHeight="1" x14ac:dyDescent="0.25">
      <c r="A603" s="279"/>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row>
    <row r="604" spans="1:37" ht="13.5" customHeight="1" x14ac:dyDescent="0.25">
      <c r="A604" s="279"/>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row>
    <row r="605" spans="1:37" ht="13.5" customHeight="1" x14ac:dyDescent="0.25">
      <c r="A605" s="279"/>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row>
    <row r="606" spans="1:37" ht="13.5" customHeight="1" x14ac:dyDescent="0.25">
      <c r="A606" s="279"/>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row>
    <row r="607" spans="1:37" ht="13.5" customHeight="1" x14ac:dyDescent="0.25">
      <c r="A607" s="279"/>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row>
    <row r="608" spans="1:37" ht="13.5" customHeight="1" x14ac:dyDescent="0.25">
      <c r="A608" s="279"/>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row>
    <row r="609" spans="1:37" ht="13.5" customHeight="1" x14ac:dyDescent="0.25">
      <c r="A609" s="279"/>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row>
    <row r="610" spans="1:37" ht="13.5" customHeight="1" x14ac:dyDescent="0.25">
      <c r="A610" s="279"/>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row>
    <row r="611" spans="1:37" ht="13.5" customHeight="1" x14ac:dyDescent="0.25">
      <c r="A611" s="279"/>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row>
    <row r="612" spans="1:37" ht="13.5" customHeight="1" x14ac:dyDescent="0.25">
      <c r="A612" s="279"/>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row>
    <row r="613" spans="1:37" ht="13.5" customHeight="1" x14ac:dyDescent="0.25">
      <c r="A613" s="279"/>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row>
    <row r="614" spans="1:37" ht="13.5" customHeight="1" x14ac:dyDescent="0.25">
      <c r="A614" s="279"/>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row>
    <row r="615" spans="1:37" ht="13.5" customHeight="1" x14ac:dyDescent="0.25">
      <c r="A615" s="279"/>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row>
    <row r="616" spans="1:37" ht="13.5" customHeight="1" x14ac:dyDescent="0.25">
      <c r="A616" s="279"/>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row>
    <row r="617" spans="1:37" ht="13.5" customHeight="1" x14ac:dyDescent="0.25">
      <c r="A617" s="279"/>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row>
    <row r="618" spans="1:37" ht="13.5" customHeight="1" x14ac:dyDescent="0.25">
      <c r="A618" s="279"/>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row>
    <row r="619" spans="1:37" ht="13.5" customHeight="1" x14ac:dyDescent="0.25">
      <c r="A619" s="279"/>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row>
    <row r="620" spans="1:37" ht="13.5" customHeight="1" x14ac:dyDescent="0.25">
      <c r="A620" s="279"/>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row>
    <row r="621" spans="1:37" ht="13.5" customHeight="1" x14ac:dyDescent="0.25">
      <c r="A621" s="279"/>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row>
    <row r="622" spans="1:37" ht="13.5" customHeight="1" x14ac:dyDescent="0.25">
      <c r="A622" s="279"/>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row>
    <row r="623" spans="1:37" ht="13.5" customHeight="1" x14ac:dyDescent="0.25">
      <c r="A623" s="279"/>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row>
    <row r="624" spans="1:37" ht="13.5" customHeight="1" x14ac:dyDescent="0.25">
      <c r="A624" s="279"/>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row>
    <row r="625" spans="1:37" ht="13.5" customHeight="1" x14ac:dyDescent="0.25">
      <c r="A625" s="279"/>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row>
    <row r="626" spans="1:37" ht="13.5" customHeight="1" x14ac:dyDescent="0.25">
      <c r="A626" s="279"/>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row>
    <row r="627" spans="1:37" ht="13.5" customHeight="1" x14ac:dyDescent="0.25">
      <c r="A627" s="279"/>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row>
    <row r="628" spans="1:37" ht="13.5" customHeight="1" x14ac:dyDescent="0.25">
      <c r="A628" s="279"/>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row>
    <row r="629" spans="1:37" ht="13.5" customHeight="1" x14ac:dyDescent="0.25">
      <c r="A629" s="279"/>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row>
    <row r="630" spans="1:37" ht="13.5" customHeight="1" x14ac:dyDescent="0.25">
      <c r="A630" s="279"/>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row>
    <row r="631" spans="1:37" ht="13.5" customHeight="1" x14ac:dyDescent="0.25">
      <c r="A631" s="279"/>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row>
    <row r="632" spans="1:37" ht="13.5" customHeight="1" x14ac:dyDescent="0.25">
      <c r="A632" s="279"/>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row>
    <row r="633" spans="1:37" ht="13.5" customHeight="1" x14ac:dyDescent="0.25">
      <c r="A633" s="279"/>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row>
    <row r="634" spans="1:37" ht="13.5" customHeight="1" x14ac:dyDescent="0.25">
      <c r="A634" s="279"/>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row>
    <row r="635" spans="1:37" ht="13.5" customHeight="1" x14ac:dyDescent="0.25">
      <c r="A635" s="279"/>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row>
    <row r="636" spans="1:37" ht="13.5" customHeight="1" x14ac:dyDescent="0.25">
      <c r="A636" s="279"/>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row>
    <row r="637" spans="1:37" ht="13.5" customHeight="1" x14ac:dyDescent="0.25">
      <c r="A637" s="279"/>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row>
    <row r="638" spans="1:37" ht="13.5" customHeight="1" x14ac:dyDescent="0.25">
      <c r="A638" s="279"/>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row>
    <row r="639" spans="1:37" ht="13.5" customHeight="1" x14ac:dyDescent="0.25">
      <c r="A639" s="279"/>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row>
    <row r="640" spans="1:37" ht="13.5" customHeight="1" x14ac:dyDescent="0.25">
      <c r="A640" s="279"/>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row>
    <row r="641" spans="1:37" ht="13.5" customHeight="1" x14ac:dyDescent="0.25">
      <c r="A641" s="279"/>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row>
    <row r="642" spans="1:37" ht="13.5" customHeight="1" x14ac:dyDescent="0.25">
      <c r="A642" s="279"/>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row>
    <row r="643" spans="1:37" ht="13.5" customHeight="1" x14ac:dyDescent="0.25">
      <c r="A643" s="279"/>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row>
    <row r="644" spans="1:37" ht="13.5" customHeight="1" x14ac:dyDescent="0.25">
      <c r="A644" s="279"/>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row>
    <row r="645" spans="1:37" ht="13.5" customHeight="1" x14ac:dyDescent="0.25">
      <c r="A645" s="279"/>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row>
    <row r="646" spans="1:37" ht="13.5" customHeight="1" x14ac:dyDescent="0.25">
      <c r="A646" s="279"/>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row>
    <row r="647" spans="1:37" ht="13.5" customHeight="1" x14ac:dyDescent="0.25">
      <c r="A647" s="279"/>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row>
    <row r="648" spans="1:37" ht="13.5" customHeight="1" x14ac:dyDescent="0.25">
      <c r="A648" s="279"/>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row>
    <row r="649" spans="1:37" ht="13.5" customHeight="1" x14ac:dyDescent="0.25">
      <c r="A649" s="279"/>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row>
    <row r="650" spans="1:37" ht="13.5" customHeight="1" x14ac:dyDescent="0.25">
      <c r="A650" s="279"/>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row>
    <row r="651" spans="1:37" ht="13.5" customHeight="1" x14ac:dyDescent="0.25">
      <c r="A651" s="279"/>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row>
    <row r="652" spans="1:37" ht="13.5" customHeight="1" x14ac:dyDescent="0.25">
      <c r="A652" s="279"/>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row>
    <row r="653" spans="1:37" ht="13.5" customHeight="1" x14ac:dyDescent="0.25">
      <c r="A653" s="279"/>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row>
    <row r="654" spans="1:37" ht="13.5" customHeight="1" x14ac:dyDescent="0.25">
      <c r="A654" s="279"/>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row>
    <row r="655" spans="1:37" ht="13.5" customHeight="1" x14ac:dyDescent="0.25">
      <c r="A655" s="279"/>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row>
    <row r="656" spans="1:37" ht="13.5" customHeight="1" x14ac:dyDescent="0.25">
      <c r="A656" s="279"/>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row>
    <row r="657" spans="1:37" ht="13.5" customHeight="1" x14ac:dyDescent="0.25">
      <c r="A657" s="279"/>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row>
    <row r="658" spans="1:37" ht="13.5" customHeight="1" x14ac:dyDescent="0.25">
      <c r="A658" s="279"/>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row>
    <row r="659" spans="1:37" ht="13.5" customHeight="1" x14ac:dyDescent="0.25">
      <c r="A659" s="279"/>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row>
    <row r="660" spans="1:37" ht="13.5" customHeight="1" x14ac:dyDescent="0.25">
      <c r="A660" s="279"/>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row>
    <row r="661" spans="1:37" ht="13.5" customHeight="1" x14ac:dyDescent="0.25">
      <c r="A661" s="279"/>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row>
    <row r="662" spans="1:37" ht="13.5" customHeight="1" x14ac:dyDescent="0.25">
      <c r="A662" s="279"/>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row>
    <row r="663" spans="1:37" ht="13.5" customHeight="1" x14ac:dyDescent="0.25">
      <c r="A663" s="279"/>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row>
    <row r="664" spans="1:37" ht="13.5" customHeight="1" x14ac:dyDescent="0.25">
      <c r="A664" s="279"/>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row>
    <row r="665" spans="1:37" ht="13.5" customHeight="1" x14ac:dyDescent="0.25">
      <c r="A665" s="279"/>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row>
    <row r="666" spans="1:37" ht="13.5" customHeight="1" x14ac:dyDescent="0.25">
      <c r="A666" s="279"/>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row>
    <row r="667" spans="1:37" ht="13.5" customHeight="1" x14ac:dyDescent="0.25">
      <c r="A667" s="279"/>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row>
    <row r="668" spans="1:37" ht="13.5" customHeight="1" x14ac:dyDescent="0.25">
      <c r="A668" s="279"/>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row>
    <row r="669" spans="1:37" ht="13.5" customHeight="1" x14ac:dyDescent="0.25">
      <c r="A669" s="279"/>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row>
    <row r="670" spans="1:37" ht="13.5" customHeight="1" x14ac:dyDescent="0.25">
      <c r="A670" s="279"/>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row>
    <row r="671" spans="1:37" ht="13.5" customHeight="1" x14ac:dyDescent="0.25">
      <c r="A671" s="279"/>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row>
    <row r="672" spans="1:37" ht="13.5" customHeight="1" x14ac:dyDescent="0.25">
      <c r="A672" s="279"/>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row>
    <row r="673" spans="1:37" ht="13.5" customHeight="1" x14ac:dyDescent="0.25">
      <c r="A673" s="279"/>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row>
    <row r="674" spans="1:37" ht="13.5" customHeight="1" x14ac:dyDescent="0.25">
      <c r="A674" s="279"/>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row>
    <row r="675" spans="1:37" ht="13.5" customHeight="1" x14ac:dyDescent="0.25">
      <c r="A675" s="279"/>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row>
    <row r="676" spans="1:37" ht="13.5" customHeight="1" x14ac:dyDescent="0.25">
      <c r="A676" s="279"/>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row>
    <row r="677" spans="1:37" ht="13.5" customHeight="1" x14ac:dyDescent="0.25">
      <c r="A677" s="279"/>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row>
    <row r="678" spans="1:37" ht="13.5" customHeight="1" x14ac:dyDescent="0.25">
      <c r="A678" s="279"/>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row>
    <row r="679" spans="1:37" ht="13.5" customHeight="1" x14ac:dyDescent="0.25">
      <c r="A679" s="279"/>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row>
    <row r="680" spans="1:37" ht="13.5" customHeight="1" x14ac:dyDescent="0.25">
      <c r="A680" s="279"/>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row>
    <row r="681" spans="1:37" ht="13.5" customHeight="1" x14ac:dyDescent="0.25">
      <c r="A681" s="279"/>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row>
    <row r="682" spans="1:37" ht="13.5" customHeight="1" x14ac:dyDescent="0.25">
      <c r="A682" s="279"/>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row>
    <row r="683" spans="1:37" ht="13.5" customHeight="1" x14ac:dyDescent="0.25">
      <c r="A683" s="279"/>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row>
    <row r="684" spans="1:37" ht="13.5" customHeight="1" x14ac:dyDescent="0.25">
      <c r="A684" s="279"/>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row>
    <row r="685" spans="1:37" ht="13.5" customHeight="1" x14ac:dyDescent="0.25">
      <c r="A685" s="279"/>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row>
    <row r="686" spans="1:37" ht="13.5" customHeight="1" x14ac:dyDescent="0.25">
      <c r="A686" s="279"/>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row>
    <row r="687" spans="1:37" ht="13.5" customHeight="1" x14ac:dyDescent="0.25">
      <c r="A687" s="279"/>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row>
    <row r="688" spans="1:37" ht="13.5" customHeight="1" x14ac:dyDescent="0.25">
      <c r="A688" s="279"/>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row>
    <row r="689" spans="1:37" ht="13.5" customHeight="1" x14ac:dyDescent="0.25">
      <c r="A689" s="279"/>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row>
    <row r="690" spans="1:37" ht="13.5" customHeight="1" x14ac:dyDescent="0.25">
      <c r="A690" s="279"/>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row>
    <row r="691" spans="1:37" ht="13.5" customHeight="1" x14ac:dyDescent="0.25">
      <c r="A691" s="279"/>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row>
    <row r="692" spans="1:37" ht="13.5" customHeight="1" x14ac:dyDescent="0.25">
      <c r="A692" s="279"/>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row>
    <row r="693" spans="1:37" ht="13.5" customHeight="1" x14ac:dyDescent="0.25">
      <c r="A693" s="279"/>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row>
    <row r="694" spans="1:37" ht="13.5" customHeight="1" x14ac:dyDescent="0.25">
      <c r="A694" s="279"/>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row>
    <row r="695" spans="1:37" ht="13.5" customHeight="1" x14ac:dyDescent="0.25">
      <c r="A695" s="279"/>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row>
    <row r="696" spans="1:37" ht="13.5" customHeight="1" x14ac:dyDescent="0.25">
      <c r="A696" s="279"/>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row>
    <row r="697" spans="1:37" ht="13.5" customHeight="1" x14ac:dyDescent="0.25">
      <c r="A697" s="279"/>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row>
    <row r="698" spans="1:37" ht="13.5" customHeight="1" x14ac:dyDescent="0.25">
      <c r="A698" s="279"/>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row>
    <row r="699" spans="1:37" ht="13.5" customHeight="1" x14ac:dyDescent="0.25">
      <c r="A699" s="279"/>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row>
    <row r="700" spans="1:37" ht="13.5" customHeight="1" x14ac:dyDescent="0.25">
      <c r="A700" s="279"/>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row>
    <row r="701" spans="1:37" ht="13.5" customHeight="1" x14ac:dyDescent="0.25">
      <c r="A701" s="279"/>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row>
    <row r="702" spans="1:37" ht="13.5" customHeight="1" x14ac:dyDescent="0.25">
      <c r="A702" s="279"/>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row>
    <row r="703" spans="1:37" ht="13.5" customHeight="1" x14ac:dyDescent="0.25">
      <c r="A703" s="279"/>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row>
    <row r="704" spans="1:37" ht="13.5" customHeight="1" x14ac:dyDescent="0.25">
      <c r="A704" s="279"/>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row>
    <row r="705" spans="1:37" ht="13.5" customHeight="1" x14ac:dyDescent="0.25">
      <c r="A705" s="279"/>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row>
    <row r="706" spans="1:37" ht="13.5" customHeight="1" x14ac:dyDescent="0.25">
      <c r="A706" s="279"/>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row>
    <row r="707" spans="1:37" ht="13.5" customHeight="1" x14ac:dyDescent="0.25">
      <c r="A707" s="279"/>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row>
    <row r="708" spans="1:37" ht="13.5" customHeight="1" x14ac:dyDescent="0.25">
      <c r="A708" s="279"/>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row>
    <row r="709" spans="1:37" ht="13.5" customHeight="1" x14ac:dyDescent="0.25">
      <c r="A709" s="279"/>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row>
    <row r="710" spans="1:37" ht="13.5" customHeight="1" x14ac:dyDescent="0.25">
      <c r="A710" s="279"/>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row>
    <row r="711" spans="1:37" ht="13.5" customHeight="1" x14ac:dyDescent="0.25">
      <c r="A711" s="279"/>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row>
    <row r="712" spans="1:37" ht="13.5" customHeight="1" x14ac:dyDescent="0.25">
      <c r="A712" s="279"/>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row>
    <row r="713" spans="1:37" ht="13.5" customHeight="1" x14ac:dyDescent="0.25">
      <c r="A713" s="279"/>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row>
    <row r="714" spans="1:37" ht="13.5" customHeight="1" x14ac:dyDescent="0.25">
      <c r="A714" s="279"/>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row>
    <row r="715" spans="1:37" ht="13.5" customHeight="1" x14ac:dyDescent="0.25">
      <c r="A715" s="279"/>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row>
    <row r="716" spans="1:37" ht="13.5" customHeight="1" x14ac:dyDescent="0.25">
      <c r="A716" s="279"/>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row>
    <row r="717" spans="1:37" ht="13.5" customHeight="1" x14ac:dyDescent="0.25">
      <c r="A717" s="279"/>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row>
    <row r="718" spans="1:37" ht="13.5" customHeight="1" x14ac:dyDescent="0.25">
      <c r="A718" s="279"/>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row>
    <row r="719" spans="1:37" ht="13.5" customHeight="1" x14ac:dyDescent="0.25">
      <c r="A719" s="279"/>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row>
    <row r="720" spans="1:37" ht="13.5" customHeight="1" x14ac:dyDescent="0.25">
      <c r="A720" s="279"/>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row>
    <row r="721" spans="1:37" ht="13.5" customHeight="1" x14ac:dyDescent="0.25">
      <c r="A721" s="279"/>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row>
    <row r="722" spans="1:37" ht="13.5" customHeight="1" x14ac:dyDescent="0.25">
      <c r="A722" s="279"/>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row>
    <row r="723" spans="1:37" ht="13.5" customHeight="1" x14ac:dyDescent="0.25">
      <c r="A723" s="279"/>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row>
    <row r="724" spans="1:37" ht="13.5" customHeight="1" x14ac:dyDescent="0.25">
      <c r="A724" s="279"/>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row>
    <row r="725" spans="1:37" ht="13.5" customHeight="1" x14ac:dyDescent="0.25">
      <c r="A725" s="279"/>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row>
    <row r="726" spans="1:37" ht="13.5" customHeight="1" x14ac:dyDescent="0.25">
      <c r="A726" s="279"/>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row>
    <row r="727" spans="1:37" ht="13.5" customHeight="1" x14ac:dyDescent="0.25">
      <c r="A727" s="279"/>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row>
    <row r="728" spans="1:37" ht="13.5" customHeight="1" x14ac:dyDescent="0.25">
      <c r="A728" s="279"/>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row>
    <row r="729" spans="1:37" ht="13.5" customHeight="1" x14ac:dyDescent="0.25">
      <c r="A729" s="279"/>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row>
    <row r="730" spans="1:37" ht="13.5" customHeight="1" x14ac:dyDescent="0.25">
      <c r="A730" s="279"/>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row>
    <row r="731" spans="1:37" ht="13.5" customHeight="1" x14ac:dyDescent="0.25">
      <c r="A731" s="279"/>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row>
    <row r="732" spans="1:37" ht="13.5" customHeight="1" x14ac:dyDescent="0.25">
      <c r="A732" s="279"/>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row>
    <row r="733" spans="1:37" ht="13.5" customHeight="1" x14ac:dyDescent="0.25">
      <c r="A733" s="279"/>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row>
    <row r="734" spans="1:37" ht="13.5" customHeight="1" x14ac:dyDescent="0.25">
      <c r="A734" s="279"/>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row>
    <row r="735" spans="1:37" ht="13.5" customHeight="1" x14ac:dyDescent="0.25">
      <c r="A735" s="279"/>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row>
    <row r="736" spans="1:37" ht="13.5" customHeight="1" x14ac:dyDescent="0.25">
      <c r="A736" s="279"/>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row>
    <row r="737" spans="1:37" ht="13.5" customHeight="1" x14ac:dyDescent="0.25">
      <c r="A737" s="279"/>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row>
    <row r="738" spans="1:37" ht="13.5" customHeight="1" x14ac:dyDescent="0.25">
      <c r="A738" s="279"/>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row>
    <row r="739" spans="1:37" ht="13.5" customHeight="1" x14ac:dyDescent="0.25">
      <c r="A739" s="279"/>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row>
    <row r="740" spans="1:37" ht="13.5" customHeight="1" x14ac:dyDescent="0.25">
      <c r="A740" s="279"/>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row>
    <row r="741" spans="1:37" ht="13.5" customHeight="1" x14ac:dyDescent="0.25">
      <c r="A741" s="279"/>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row>
    <row r="742" spans="1:37" ht="13.5" customHeight="1" x14ac:dyDescent="0.25">
      <c r="A742" s="279"/>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row>
    <row r="743" spans="1:37" ht="13.5" customHeight="1" x14ac:dyDescent="0.25">
      <c r="A743" s="279"/>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row>
    <row r="744" spans="1:37" ht="13.5" customHeight="1" x14ac:dyDescent="0.25">
      <c r="A744" s="279"/>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row>
    <row r="745" spans="1:37" ht="13.5" customHeight="1" x14ac:dyDescent="0.25">
      <c r="A745" s="279"/>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row>
    <row r="746" spans="1:37" ht="13.5" customHeight="1" x14ac:dyDescent="0.25">
      <c r="A746" s="279"/>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row>
    <row r="747" spans="1:37" ht="13.5" customHeight="1" x14ac:dyDescent="0.25">
      <c r="A747" s="279"/>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row>
    <row r="748" spans="1:37" ht="13.5" customHeight="1" x14ac:dyDescent="0.25">
      <c r="A748" s="279"/>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row>
    <row r="749" spans="1:37" ht="13.5" customHeight="1" x14ac:dyDescent="0.25">
      <c r="A749" s="279"/>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row>
    <row r="750" spans="1:37" ht="13.5" customHeight="1" x14ac:dyDescent="0.25">
      <c r="A750" s="279"/>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row>
    <row r="751" spans="1:37" ht="13.5" customHeight="1" x14ac:dyDescent="0.25">
      <c r="A751" s="279"/>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row>
    <row r="752" spans="1:37" ht="13.5" customHeight="1" x14ac:dyDescent="0.25">
      <c r="A752" s="279"/>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row>
    <row r="753" spans="1:37" ht="13.5" customHeight="1" x14ac:dyDescent="0.25">
      <c r="A753" s="279"/>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row>
    <row r="754" spans="1:37" ht="13.5" customHeight="1" x14ac:dyDescent="0.25">
      <c r="A754" s="279"/>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row>
    <row r="755" spans="1:37" ht="13.5" customHeight="1" x14ac:dyDescent="0.25">
      <c r="A755" s="279"/>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row>
    <row r="756" spans="1:37" ht="13.5" customHeight="1" x14ac:dyDescent="0.25">
      <c r="A756" s="279"/>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row>
    <row r="757" spans="1:37" ht="13.5" customHeight="1" x14ac:dyDescent="0.25">
      <c r="A757" s="279"/>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row>
    <row r="758" spans="1:37" ht="13.5" customHeight="1" x14ac:dyDescent="0.25">
      <c r="A758" s="279"/>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row>
    <row r="759" spans="1:37" ht="13.5" customHeight="1" x14ac:dyDescent="0.25">
      <c r="A759" s="279"/>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row>
    <row r="760" spans="1:37" ht="13.5" customHeight="1" x14ac:dyDescent="0.25">
      <c r="A760" s="279"/>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row>
    <row r="761" spans="1:37" ht="13.5" customHeight="1" x14ac:dyDescent="0.25">
      <c r="A761" s="279"/>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row>
    <row r="762" spans="1:37" ht="13.5" customHeight="1" x14ac:dyDescent="0.25">
      <c r="A762" s="279"/>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row>
    <row r="763" spans="1:37" ht="13.5" customHeight="1" x14ac:dyDescent="0.25">
      <c r="A763" s="279"/>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row>
    <row r="764" spans="1:37" ht="13.5" customHeight="1" x14ac:dyDescent="0.25">
      <c r="A764" s="279"/>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row>
    <row r="765" spans="1:37" ht="13.5" customHeight="1" x14ac:dyDescent="0.25">
      <c r="A765" s="279"/>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row>
    <row r="766" spans="1:37" ht="13.5" customHeight="1" x14ac:dyDescent="0.25">
      <c r="A766" s="279"/>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row>
    <row r="767" spans="1:37" ht="13.5" customHeight="1" x14ac:dyDescent="0.25">
      <c r="A767" s="279"/>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row>
    <row r="768" spans="1:37" ht="13.5" customHeight="1" x14ac:dyDescent="0.25">
      <c r="A768" s="279"/>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row>
    <row r="769" spans="1:37" ht="13.5" customHeight="1" x14ac:dyDescent="0.25">
      <c r="A769" s="279"/>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row>
    <row r="770" spans="1:37" ht="13.5" customHeight="1" x14ac:dyDescent="0.25">
      <c r="A770" s="279"/>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row>
    <row r="771" spans="1:37" ht="13.5" customHeight="1" x14ac:dyDescent="0.25">
      <c r="A771" s="279"/>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row>
    <row r="772" spans="1:37" ht="13.5" customHeight="1" x14ac:dyDescent="0.25">
      <c r="A772" s="279"/>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row>
    <row r="773" spans="1:37" ht="13.5" customHeight="1" x14ac:dyDescent="0.25">
      <c r="A773" s="279"/>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row>
    <row r="774" spans="1:37" ht="13.5" customHeight="1" x14ac:dyDescent="0.25">
      <c r="A774" s="279"/>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row>
    <row r="775" spans="1:37" ht="13.5" customHeight="1" x14ac:dyDescent="0.25">
      <c r="A775" s="279"/>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row>
    <row r="776" spans="1:37" ht="13.5" customHeight="1" x14ac:dyDescent="0.25">
      <c r="A776" s="279"/>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row>
    <row r="777" spans="1:37" ht="13.5" customHeight="1" x14ac:dyDescent="0.25">
      <c r="A777" s="279"/>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row>
    <row r="778" spans="1:37" ht="13.5" customHeight="1" x14ac:dyDescent="0.25">
      <c r="A778" s="279"/>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row>
    <row r="779" spans="1:37" ht="13.5" customHeight="1" x14ac:dyDescent="0.25">
      <c r="A779" s="279"/>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row>
    <row r="780" spans="1:37" ht="13.5" customHeight="1" x14ac:dyDescent="0.25">
      <c r="A780" s="279"/>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row>
    <row r="781" spans="1:37" ht="13.5" customHeight="1" x14ac:dyDescent="0.25">
      <c r="A781" s="279"/>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row>
    <row r="782" spans="1:37" ht="13.5" customHeight="1" x14ac:dyDescent="0.25">
      <c r="A782" s="279"/>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row>
    <row r="783" spans="1:37" ht="13.5" customHeight="1" x14ac:dyDescent="0.25">
      <c r="A783" s="279"/>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row>
    <row r="784" spans="1:37" ht="13.5" customHeight="1" x14ac:dyDescent="0.25">
      <c r="A784" s="279"/>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row>
    <row r="785" spans="1:37" ht="13.5" customHeight="1" x14ac:dyDescent="0.25">
      <c r="A785" s="279"/>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row>
    <row r="786" spans="1:37" ht="13.5" customHeight="1" x14ac:dyDescent="0.25">
      <c r="A786" s="279"/>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row>
    <row r="787" spans="1:37" ht="13.5" customHeight="1" x14ac:dyDescent="0.25">
      <c r="A787" s="279"/>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row>
    <row r="788" spans="1:37" ht="13.5" customHeight="1" x14ac:dyDescent="0.25">
      <c r="A788" s="279"/>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row>
    <row r="789" spans="1:37" ht="13.5" customHeight="1" x14ac:dyDescent="0.25">
      <c r="A789" s="279"/>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row>
    <row r="790" spans="1:37" ht="13.5" customHeight="1" x14ac:dyDescent="0.25">
      <c r="A790" s="279"/>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row>
    <row r="791" spans="1:37" ht="13.5" customHeight="1" x14ac:dyDescent="0.25">
      <c r="A791" s="279"/>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row>
    <row r="792" spans="1:37" ht="13.5" customHeight="1" x14ac:dyDescent="0.25">
      <c r="A792" s="279"/>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row>
    <row r="793" spans="1:37" ht="13.5" customHeight="1" x14ac:dyDescent="0.25">
      <c r="A793" s="279"/>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row>
    <row r="794" spans="1:37" ht="13.5" customHeight="1" x14ac:dyDescent="0.25">
      <c r="A794" s="279"/>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row>
    <row r="795" spans="1:37" ht="13.5" customHeight="1" x14ac:dyDescent="0.25">
      <c r="A795" s="279"/>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row>
    <row r="796" spans="1:37" ht="13.5" customHeight="1" x14ac:dyDescent="0.25">
      <c r="A796" s="279"/>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row>
    <row r="797" spans="1:37" ht="13.5" customHeight="1" x14ac:dyDescent="0.25">
      <c r="A797" s="279"/>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row>
    <row r="798" spans="1:37" ht="13.5" customHeight="1" x14ac:dyDescent="0.25">
      <c r="A798" s="279"/>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row>
    <row r="799" spans="1:37" ht="13.5" customHeight="1" x14ac:dyDescent="0.25">
      <c r="A799" s="279"/>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row>
    <row r="800" spans="1:37" ht="13.5" customHeight="1" x14ac:dyDescent="0.25">
      <c r="A800" s="279"/>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row>
    <row r="801" spans="1:37" ht="13.5" customHeight="1" x14ac:dyDescent="0.25">
      <c r="A801" s="279"/>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row>
    <row r="802" spans="1:37" ht="13.5" customHeight="1" x14ac:dyDescent="0.25">
      <c r="A802" s="279"/>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row>
    <row r="803" spans="1:37" ht="13.5" customHeight="1" x14ac:dyDescent="0.25">
      <c r="A803" s="279"/>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row>
    <row r="804" spans="1:37" ht="13.5" customHeight="1" x14ac:dyDescent="0.25">
      <c r="A804" s="279"/>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row>
    <row r="805" spans="1:37" ht="13.5" customHeight="1" x14ac:dyDescent="0.25">
      <c r="A805" s="279"/>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row>
    <row r="806" spans="1:37" ht="13.5" customHeight="1" x14ac:dyDescent="0.25">
      <c r="A806" s="279"/>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row>
    <row r="807" spans="1:37" ht="13.5" customHeight="1" x14ac:dyDescent="0.25">
      <c r="A807" s="279"/>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row>
    <row r="808" spans="1:37" ht="13.5" customHeight="1" x14ac:dyDescent="0.25">
      <c r="A808" s="279"/>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row>
    <row r="809" spans="1:37" ht="13.5" customHeight="1" x14ac:dyDescent="0.25">
      <c r="A809" s="279"/>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row>
    <row r="810" spans="1:37" ht="13.5" customHeight="1" x14ac:dyDescent="0.25">
      <c r="A810" s="279"/>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row>
    <row r="811" spans="1:37" ht="13.5" customHeight="1" x14ac:dyDescent="0.25">
      <c r="A811" s="279"/>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row>
    <row r="812" spans="1:37" ht="13.5" customHeight="1" x14ac:dyDescent="0.25">
      <c r="A812" s="279"/>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row>
    <row r="813" spans="1:37" ht="13.5" customHeight="1" x14ac:dyDescent="0.25">
      <c r="A813" s="279"/>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row>
    <row r="814" spans="1:37" ht="13.5" customHeight="1" x14ac:dyDescent="0.25">
      <c r="A814" s="279"/>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row>
    <row r="815" spans="1:37" ht="13.5" customHeight="1" x14ac:dyDescent="0.25">
      <c r="A815" s="279"/>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row>
    <row r="816" spans="1:37" ht="13.5" customHeight="1" x14ac:dyDescent="0.25">
      <c r="A816" s="279"/>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row>
    <row r="817" spans="1:37" ht="13.5" customHeight="1" x14ac:dyDescent="0.25">
      <c r="A817" s="279"/>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row>
    <row r="818" spans="1:37" ht="13.5" customHeight="1" x14ac:dyDescent="0.25">
      <c r="A818" s="279"/>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row>
    <row r="819" spans="1:37" ht="13.5" customHeight="1" x14ac:dyDescent="0.25">
      <c r="A819" s="279"/>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row>
    <row r="820" spans="1:37" ht="13.5" customHeight="1" x14ac:dyDescent="0.25">
      <c r="A820" s="279"/>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row>
    <row r="821" spans="1:37" ht="13.5" customHeight="1" x14ac:dyDescent="0.25">
      <c r="A821" s="279"/>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row>
    <row r="822" spans="1:37" ht="13.5" customHeight="1" x14ac:dyDescent="0.25">
      <c r="A822" s="279"/>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row>
    <row r="823" spans="1:37" ht="13.5" customHeight="1" x14ac:dyDescent="0.25">
      <c r="A823" s="279"/>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row>
    <row r="824" spans="1:37" ht="13.5" customHeight="1" x14ac:dyDescent="0.25">
      <c r="A824" s="279"/>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row>
    <row r="825" spans="1:37" ht="13.5" customHeight="1" x14ac:dyDescent="0.25">
      <c r="A825" s="279"/>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row>
    <row r="826" spans="1:37" ht="13.5" customHeight="1" x14ac:dyDescent="0.25">
      <c r="A826" s="279"/>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row>
    <row r="827" spans="1:37" ht="13.5" customHeight="1" x14ac:dyDescent="0.25">
      <c r="A827" s="279"/>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row>
    <row r="828" spans="1:37" ht="13.5" customHeight="1" x14ac:dyDescent="0.25">
      <c r="A828" s="279"/>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row>
    <row r="829" spans="1:37" ht="13.5" customHeight="1" x14ac:dyDescent="0.25">
      <c r="A829" s="279"/>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row>
    <row r="830" spans="1:37" ht="13.5" customHeight="1" x14ac:dyDescent="0.25">
      <c r="A830" s="279"/>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row>
    <row r="831" spans="1:37" ht="13.5" customHeight="1" x14ac:dyDescent="0.25">
      <c r="A831" s="279"/>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row>
    <row r="832" spans="1:37" ht="13.5" customHeight="1" x14ac:dyDescent="0.25">
      <c r="A832" s="279"/>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row>
    <row r="833" spans="1:37" ht="13.5" customHeight="1" x14ac:dyDescent="0.25">
      <c r="A833" s="279"/>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row>
    <row r="834" spans="1:37" ht="13.5" customHeight="1" x14ac:dyDescent="0.25">
      <c r="A834" s="279"/>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row>
    <row r="835" spans="1:37" ht="13.5" customHeight="1" x14ac:dyDescent="0.25">
      <c r="A835" s="279"/>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row>
    <row r="836" spans="1:37" ht="13.5" customHeight="1" x14ac:dyDescent="0.25">
      <c r="A836" s="279"/>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row>
    <row r="837" spans="1:37" ht="13.5" customHeight="1" x14ac:dyDescent="0.25">
      <c r="A837" s="279"/>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row>
    <row r="838" spans="1:37" ht="13.5" customHeight="1" x14ac:dyDescent="0.25">
      <c r="A838" s="279"/>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row>
    <row r="839" spans="1:37" ht="13.5" customHeight="1" x14ac:dyDescent="0.25">
      <c r="A839" s="279"/>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row>
    <row r="840" spans="1:37" ht="13.5" customHeight="1" x14ac:dyDescent="0.25">
      <c r="A840" s="279"/>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row>
    <row r="841" spans="1:37" ht="13.5" customHeight="1" x14ac:dyDescent="0.25">
      <c r="A841" s="279"/>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row>
    <row r="842" spans="1:37" ht="13.5" customHeight="1" x14ac:dyDescent="0.25">
      <c r="A842" s="279"/>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row>
    <row r="843" spans="1:37" ht="13.5" customHeight="1" x14ac:dyDescent="0.25">
      <c r="A843" s="279"/>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row>
    <row r="844" spans="1:37" ht="13.5" customHeight="1" x14ac:dyDescent="0.25">
      <c r="A844" s="279"/>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row>
    <row r="845" spans="1:37" ht="13.5" customHeight="1" x14ac:dyDescent="0.25">
      <c r="A845" s="279"/>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row>
    <row r="846" spans="1:37" ht="13.5" customHeight="1" x14ac:dyDescent="0.25">
      <c r="A846" s="279"/>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row>
    <row r="847" spans="1:37" ht="13.5" customHeight="1" x14ac:dyDescent="0.25">
      <c r="A847" s="279"/>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row>
    <row r="848" spans="1:37" ht="13.5" customHeight="1" x14ac:dyDescent="0.25">
      <c r="A848" s="279"/>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row>
    <row r="849" spans="1:37" ht="13.5" customHeight="1" x14ac:dyDescent="0.25">
      <c r="A849" s="279"/>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row>
    <row r="850" spans="1:37" ht="13.5" customHeight="1" x14ac:dyDescent="0.25">
      <c r="A850" s="279"/>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row>
    <row r="851" spans="1:37" ht="13.5" customHeight="1" x14ac:dyDescent="0.25">
      <c r="A851" s="279"/>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row>
    <row r="852" spans="1:37" ht="13.5" customHeight="1" x14ac:dyDescent="0.25">
      <c r="A852" s="279"/>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row>
    <row r="853" spans="1:37" ht="13.5" customHeight="1" x14ac:dyDescent="0.25">
      <c r="A853" s="279"/>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row>
    <row r="854" spans="1:37" ht="13.5" customHeight="1" x14ac:dyDescent="0.25">
      <c r="A854" s="279"/>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row>
    <row r="855" spans="1:37" ht="13.5" customHeight="1" x14ac:dyDescent="0.25">
      <c r="A855" s="279"/>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row>
    <row r="856" spans="1:37" ht="13.5" customHeight="1" x14ac:dyDescent="0.25">
      <c r="A856" s="279"/>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row>
    <row r="857" spans="1:37" ht="13.5" customHeight="1" x14ac:dyDescent="0.25">
      <c r="A857" s="279"/>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row>
    <row r="858" spans="1:37" ht="13.5" customHeight="1" x14ac:dyDescent="0.25">
      <c r="A858" s="279"/>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row>
    <row r="859" spans="1:37" ht="13.5" customHeight="1" x14ac:dyDescent="0.25">
      <c r="A859" s="279"/>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row>
    <row r="860" spans="1:37" ht="13.5" customHeight="1" x14ac:dyDescent="0.25">
      <c r="A860" s="279"/>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row>
    <row r="861" spans="1:37" ht="13.5" customHeight="1" x14ac:dyDescent="0.25">
      <c r="A861" s="279"/>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row>
    <row r="862" spans="1:37" ht="13.5" customHeight="1" x14ac:dyDescent="0.25">
      <c r="A862" s="279"/>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row>
    <row r="863" spans="1:37" ht="13.5" customHeight="1" x14ac:dyDescent="0.25">
      <c r="A863" s="279"/>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row>
    <row r="864" spans="1:37" ht="13.5" customHeight="1" x14ac:dyDescent="0.25">
      <c r="A864" s="279"/>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row>
    <row r="865" spans="1:37" ht="13.5" customHeight="1" x14ac:dyDescent="0.25">
      <c r="A865" s="279"/>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row>
    <row r="866" spans="1:37" ht="13.5" customHeight="1" x14ac:dyDescent="0.25">
      <c r="A866" s="279"/>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row>
    <row r="867" spans="1:37" ht="13.5" customHeight="1" x14ac:dyDescent="0.25">
      <c r="A867" s="279"/>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row>
    <row r="868" spans="1:37" ht="13.5" customHeight="1" x14ac:dyDescent="0.25">
      <c r="A868" s="279"/>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row>
    <row r="869" spans="1:37" ht="13.5" customHeight="1" x14ac:dyDescent="0.25">
      <c r="A869" s="279"/>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row>
    <row r="870" spans="1:37" ht="13.5" customHeight="1" x14ac:dyDescent="0.25">
      <c r="A870" s="279"/>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row>
    <row r="871" spans="1:37" ht="13.5" customHeight="1" x14ac:dyDescent="0.25">
      <c r="A871" s="279"/>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row>
    <row r="872" spans="1:37" ht="13.5" customHeight="1" x14ac:dyDescent="0.25">
      <c r="A872" s="279"/>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row>
    <row r="873" spans="1:37" ht="13.5" customHeight="1" x14ac:dyDescent="0.25">
      <c r="A873" s="279"/>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row>
    <row r="874" spans="1:37" ht="13.5" customHeight="1" x14ac:dyDescent="0.25">
      <c r="A874" s="279"/>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row>
    <row r="875" spans="1:37" ht="13.5" customHeight="1" x14ac:dyDescent="0.25">
      <c r="A875" s="279"/>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row>
    <row r="876" spans="1:37" ht="13.5" customHeight="1" x14ac:dyDescent="0.25">
      <c r="A876" s="279"/>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row>
    <row r="877" spans="1:37" ht="13.5" customHeight="1" x14ac:dyDescent="0.25">
      <c r="A877" s="279"/>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row>
    <row r="878" spans="1:37" ht="13.5" customHeight="1" x14ac:dyDescent="0.25">
      <c r="A878" s="279"/>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row>
    <row r="879" spans="1:37" ht="13.5" customHeight="1" x14ac:dyDescent="0.25">
      <c r="A879" s="279"/>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row>
    <row r="880" spans="1:37" ht="13.5" customHeight="1" x14ac:dyDescent="0.25">
      <c r="A880" s="279"/>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row>
    <row r="881" spans="1:37" ht="13.5" customHeight="1" x14ac:dyDescent="0.25">
      <c r="A881" s="279"/>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row>
    <row r="882" spans="1:37" ht="13.5" customHeight="1" x14ac:dyDescent="0.25">
      <c r="A882" s="279"/>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row>
    <row r="883" spans="1:37" ht="13.5" customHeight="1" x14ac:dyDescent="0.25">
      <c r="A883" s="279"/>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row>
    <row r="884" spans="1:37" ht="13.5" customHeight="1" x14ac:dyDescent="0.25">
      <c r="A884" s="279"/>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row>
    <row r="885" spans="1:37" ht="13.5" customHeight="1" x14ac:dyDescent="0.25">
      <c r="A885" s="279"/>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row>
    <row r="886" spans="1:37" ht="13.5" customHeight="1" x14ac:dyDescent="0.25">
      <c r="A886" s="279"/>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row>
    <row r="887" spans="1:37" ht="13.5" customHeight="1" x14ac:dyDescent="0.25">
      <c r="A887" s="279"/>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row>
    <row r="888" spans="1:37" ht="13.5" customHeight="1" x14ac:dyDescent="0.25">
      <c r="A888" s="279"/>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row>
    <row r="889" spans="1:37" ht="13.5" customHeight="1" x14ac:dyDescent="0.25">
      <c r="A889" s="279"/>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row>
    <row r="890" spans="1:37" ht="13.5" customHeight="1" x14ac:dyDescent="0.25">
      <c r="A890" s="279"/>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row>
    <row r="891" spans="1:37" ht="13.5" customHeight="1" x14ac:dyDescent="0.25">
      <c r="A891" s="279"/>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row>
    <row r="892" spans="1:37" ht="13.5" customHeight="1" x14ac:dyDescent="0.25">
      <c r="A892" s="279"/>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row>
    <row r="893" spans="1:37" ht="13.5" customHeight="1" x14ac:dyDescent="0.25">
      <c r="A893" s="279"/>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row>
    <row r="894" spans="1:37" ht="13.5" customHeight="1" x14ac:dyDescent="0.25">
      <c r="A894" s="279"/>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row>
    <row r="895" spans="1:37" ht="13.5" customHeight="1" x14ac:dyDescent="0.25">
      <c r="A895" s="279"/>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row>
    <row r="896" spans="1:37" ht="13.5" customHeight="1" x14ac:dyDescent="0.25">
      <c r="A896" s="279"/>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row>
    <row r="897" spans="1:37" ht="13.5" customHeight="1" x14ac:dyDescent="0.25">
      <c r="A897" s="279"/>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row>
    <row r="898" spans="1:37" ht="13.5" customHeight="1" x14ac:dyDescent="0.25">
      <c r="A898" s="279"/>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row>
    <row r="899" spans="1:37" ht="13.5" customHeight="1" x14ac:dyDescent="0.25">
      <c r="A899" s="279"/>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row>
    <row r="900" spans="1:37" ht="13.5" customHeight="1" x14ac:dyDescent="0.25">
      <c r="A900" s="279"/>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row>
    <row r="901" spans="1:37" ht="13.5" customHeight="1" x14ac:dyDescent="0.25">
      <c r="A901" s="279"/>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row>
    <row r="902" spans="1:37" ht="13.5" customHeight="1" x14ac:dyDescent="0.25">
      <c r="A902" s="279"/>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row>
    <row r="903" spans="1:37" ht="13.5" customHeight="1" x14ac:dyDescent="0.25">
      <c r="A903" s="279"/>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row>
    <row r="904" spans="1:37" ht="13.5" customHeight="1" x14ac:dyDescent="0.25">
      <c r="A904" s="279"/>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row>
    <row r="905" spans="1:37" ht="13.5" customHeight="1" x14ac:dyDescent="0.25">
      <c r="A905" s="279"/>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row>
    <row r="906" spans="1:37" ht="13.5" customHeight="1" x14ac:dyDescent="0.25">
      <c r="A906" s="279"/>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row>
    <row r="907" spans="1:37" ht="13.5" customHeight="1" x14ac:dyDescent="0.25">
      <c r="A907" s="279"/>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row>
    <row r="908" spans="1:37" ht="13.5" customHeight="1" x14ac:dyDescent="0.25">
      <c r="A908" s="279"/>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row>
    <row r="909" spans="1:37" ht="13.5" customHeight="1" x14ac:dyDescent="0.25">
      <c r="A909" s="279"/>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row>
    <row r="910" spans="1:37" ht="13.5" customHeight="1" x14ac:dyDescent="0.25">
      <c r="A910" s="279"/>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row>
    <row r="911" spans="1:37" ht="13.5" customHeight="1" x14ac:dyDescent="0.25">
      <c r="A911" s="279"/>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row>
    <row r="912" spans="1:37" ht="13.5" customHeight="1" x14ac:dyDescent="0.25">
      <c r="A912" s="279"/>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row>
    <row r="913" spans="1:37" ht="13.5" customHeight="1" x14ac:dyDescent="0.25">
      <c r="A913" s="279"/>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row>
    <row r="914" spans="1:37" ht="13.5" customHeight="1" x14ac:dyDescent="0.25">
      <c r="A914" s="279"/>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row>
    <row r="915" spans="1:37" ht="13.5" customHeight="1" x14ac:dyDescent="0.25">
      <c r="A915" s="279"/>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row>
    <row r="916" spans="1:37" ht="13.5" customHeight="1" x14ac:dyDescent="0.25">
      <c r="A916" s="279"/>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row>
    <row r="917" spans="1:37" ht="13.5" customHeight="1" x14ac:dyDescent="0.25">
      <c r="A917" s="279"/>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row>
    <row r="918" spans="1:37" ht="13.5" customHeight="1" x14ac:dyDescent="0.25">
      <c r="A918" s="279"/>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row>
    <row r="919" spans="1:37" ht="13.5" customHeight="1" x14ac:dyDescent="0.25">
      <c r="A919" s="279"/>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row>
    <row r="920" spans="1:37" ht="13.5" customHeight="1" x14ac:dyDescent="0.25">
      <c r="A920" s="279"/>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row>
    <row r="921" spans="1:37" ht="13.5" customHeight="1" x14ac:dyDescent="0.25">
      <c r="A921" s="279"/>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row>
    <row r="922" spans="1:37" ht="13.5" customHeight="1" x14ac:dyDescent="0.25">
      <c r="A922" s="279"/>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row>
    <row r="923" spans="1:37" ht="13.5" customHeight="1" x14ac:dyDescent="0.25">
      <c r="A923" s="279"/>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row>
    <row r="924" spans="1:37" ht="13.5" customHeight="1" x14ac:dyDescent="0.25">
      <c r="A924" s="279"/>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row>
    <row r="925" spans="1:37" ht="13.5" customHeight="1" x14ac:dyDescent="0.25">
      <c r="A925" s="279"/>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row>
    <row r="926" spans="1:37" ht="13.5" customHeight="1" x14ac:dyDescent="0.25">
      <c r="A926" s="279"/>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row>
    <row r="927" spans="1:37" ht="13.5" customHeight="1" x14ac:dyDescent="0.25">
      <c r="A927" s="279"/>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row>
    <row r="928" spans="1:37" ht="13.5" customHeight="1" x14ac:dyDescent="0.25">
      <c r="A928" s="279"/>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row>
    <row r="929" spans="1:37" ht="13.5" customHeight="1" x14ac:dyDescent="0.25">
      <c r="A929" s="279"/>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row>
    <row r="930" spans="1:37" ht="13.5" customHeight="1" x14ac:dyDescent="0.25">
      <c r="A930" s="279"/>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row>
    <row r="931" spans="1:37" ht="13.5" customHeight="1" x14ac:dyDescent="0.25">
      <c r="A931" s="279"/>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row>
    <row r="932" spans="1:37" ht="13.5" customHeight="1" x14ac:dyDescent="0.25">
      <c r="A932" s="279"/>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row>
    <row r="933" spans="1:37" ht="13.5" customHeight="1" x14ac:dyDescent="0.25">
      <c r="A933" s="279"/>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row>
    <row r="934" spans="1:37" ht="13.5" customHeight="1" x14ac:dyDescent="0.25">
      <c r="A934" s="279"/>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row>
    <row r="935" spans="1:37" ht="13.5" customHeight="1" x14ac:dyDescent="0.25">
      <c r="A935" s="279"/>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row>
    <row r="936" spans="1:37" ht="13.5" customHeight="1" x14ac:dyDescent="0.25">
      <c r="A936" s="279"/>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row>
    <row r="937" spans="1:37" ht="13.5" customHeight="1" x14ac:dyDescent="0.25">
      <c r="A937" s="279"/>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row>
    <row r="938" spans="1:37" ht="13.5" customHeight="1" x14ac:dyDescent="0.25">
      <c r="A938" s="279"/>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row>
    <row r="939" spans="1:37" ht="13.5" customHeight="1" x14ac:dyDescent="0.25">
      <c r="A939" s="279"/>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row>
    <row r="940" spans="1:37" ht="13.5" customHeight="1" x14ac:dyDescent="0.25">
      <c r="A940" s="279"/>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row>
    <row r="941" spans="1:37" ht="13.5" customHeight="1" x14ac:dyDescent="0.25">
      <c r="A941" s="279"/>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row>
    <row r="942" spans="1:37" ht="13.5" customHeight="1" x14ac:dyDescent="0.25">
      <c r="A942" s="279"/>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row>
    <row r="943" spans="1:37" ht="13.5" customHeight="1" x14ac:dyDescent="0.25">
      <c r="A943" s="279"/>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row>
    <row r="944" spans="1:37" ht="13.5" customHeight="1" x14ac:dyDescent="0.25">
      <c r="A944" s="279"/>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row>
    <row r="945" spans="1:37" ht="13.5" customHeight="1" x14ac:dyDescent="0.25">
      <c r="A945" s="279"/>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row>
    <row r="946" spans="1:37" ht="13.5" customHeight="1" x14ac:dyDescent="0.25">
      <c r="A946" s="279"/>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row>
    <row r="947" spans="1:37" ht="13.5" customHeight="1" x14ac:dyDescent="0.25">
      <c r="A947" s="279"/>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row>
    <row r="948" spans="1:37" ht="13.5" customHeight="1" x14ac:dyDescent="0.25">
      <c r="A948" s="279"/>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row>
    <row r="949" spans="1:37" ht="13.5" customHeight="1" x14ac:dyDescent="0.25">
      <c r="A949" s="279"/>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row>
    <row r="950" spans="1:37" ht="13.5" customHeight="1" x14ac:dyDescent="0.25">
      <c r="A950" s="279"/>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row>
    <row r="951" spans="1:37" ht="13.5" customHeight="1" x14ac:dyDescent="0.25">
      <c r="A951" s="279"/>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row>
    <row r="952" spans="1:37" ht="13.5" customHeight="1" x14ac:dyDescent="0.25">
      <c r="A952" s="279"/>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row>
    <row r="953" spans="1:37" ht="13.5" customHeight="1" x14ac:dyDescent="0.25">
      <c r="A953" s="279"/>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row>
    <row r="954" spans="1:37" ht="13.5" customHeight="1" x14ac:dyDescent="0.25">
      <c r="A954" s="279"/>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row>
    <row r="955" spans="1:37" ht="13.5" customHeight="1" x14ac:dyDescent="0.25">
      <c r="A955" s="279"/>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row>
    <row r="956" spans="1:37" ht="13.5" customHeight="1" x14ac:dyDescent="0.25">
      <c r="A956" s="279"/>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row>
    <row r="957" spans="1:37" ht="13.5" customHeight="1" x14ac:dyDescent="0.25">
      <c r="A957" s="279"/>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row>
    <row r="958" spans="1:37" ht="13.5" customHeight="1" x14ac:dyDescent="0.25">
      <c r="A958" s="279"/>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row>
    <row r="959" spans="1:37" ht="13.5" customHeight="1" x14ac:dyDescent="0.25">
      <c r="A959" s="279"/>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row>
    <row r="960" spans="1:37" ht="13.5" customHeight="1" x14ac:dyDescent="0.25">
      <c r="A960" s="279"/>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row>
    <row r="961" spans="1:37" ht="13.5" customHeight="1" x14ac:dyDescent="0.25">
      <c r="A961" s="279"/>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row>
    <row r="962" spans="1:37" ht="13.5" customHeight="1" x14ac:dyDescent="0.25">
      <c r="A962" s="279"/>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row>
    <row r="963" spans="1:37" ht="13.5" customHeight="1" x14ac:dyDescent="0.25">
      <c r="A963" s="279"/>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row>
    <row r="964" spans="1:37" ht="13.5" customHeight="1" x14ac:dyDescent="0.25">
      <c r="A964" s="279"/>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row>
    <row r="965" spans="1:37" ht="13.5" customHeight="1" x14ac:dyDescent="0.25">
      <c r="A965" s="279"/>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row>
    <row r="966" spans="1:37" ht="13.5" customHeight="1" x14ac:dyDescent="0.25">
      <c r="A966" s="279"/>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row>
    <row r="967" spans="1:37" ht="13.5" customHeight="1" x14ac:dyDescent="0.25">
      <c r="A967" s="279"/>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row>
    <row r="968" spans="1:37" ht="13.5" customHeight="1" x14ac:dyDescent="0.25">
      <c r="A968" s="279"/>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row>
    <row r="969" spans="1:37" ht="13.5" customHeight="1" x14ac:dyDescent="0.25">
      <c r="A969" s="279"/>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row>
    <row r="970" spans="1:37" ht="13.5" customHeight="1" x14ac:dyDescent="0.25">
      <c r="A970" s="279"/>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row>
    <row r="971" spans="1:37" ht="13.5" customHeight="1" x14ac:dyDescent="0.25">
      <c r="A971" s="279"/>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row>
    <row r="972" spans="1:37" ht="13.5" customHeight="1" x14ac:dyDescent="0.25">
      <c r="A972" s="279"/>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row>
    <row r="973" spans="1:37" ht="13.5" customHeight="1" x14ac:dyDescent="0.25">
      <c r="A973" s="279"/>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row>
    <row r="974" spans="1:37" ht="13.5" customHeight="1" x14ac:dyDescent="0.25">
      <c r="A974" s="279"/>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row>
    <row r="975" spans="1:37" ht="13.5" customHeight="1" x14ac:dyDescent="0.25">
      <c r="A975" s="279"/>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row>
    <row r="976" spans="1:37" ht="13.5" customHeight="1" x14ac:dyDescent="0.25">
      <c r="A976" s="279"/>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row>
    <row r="977" spans="1:37" ht="13.5" customHeight="1" x14ac:dyDescent="0.25">
      <c r="A977" s="279"/>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row>
    <row r="978" spans="1:37" ht="13.5" customHeight="1" x14ac:dyDescent="0.25">
      <c r="A978" s="279"/>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row>
    <row r="979" spans="1:37" ht="13.5" customHeight="1" x14ac:dyDescent="0.25">
      <c r="A979" s="279"/>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row>
    <row r="980" spans="1:37" ht="13.5" customHeight="1" x14ac:dyDescent="0.25">
      <c r="A980" s="279"/>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row>
    <row r="981" spans="1:37" ht="13.5" customHeight="1" x14ac:dyDescent="0.25">
      <c r="A981" s="279"/>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row>
    <row r="982" spans="1:37" ht="13.5" customHeight="1" x14ac:dyDescent="0.25">
      <c r="A982" s="279"/>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row>
    <row r="983" spans="1:37" ht="13.5" customHeight="1" x14ac:dyDescent="0.25">
      <c r="A983" s="279"/>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row>
    <row r="984" spans="1:37" ht="13.5" customHeight="1" x14ac:dyDescent="0.25">
      <c r="A984" s="279"/>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row>
    <row r="985" spans="1:37" ht="13.5" customHeight="1" x14ac:dyDescent="0.25">
      <c r="A985" s="279"/>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row>
    <row r="986" spans="1:37" ht="13.5" customHeight="1" x14ac:dyDescent="0.25">
      <c r="A986" s="279"/>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row>
    <row r="987" spans="1:37" ht="13.5" customHeight="1" x14ac:dyDescent="0.25">
      <c r="A987" s="279"/>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row>
    <row r="988" spans="1:37" ht="13.5" customHeight="1" x14ac:dyDescent="0.25">
      <c r="A988" s="279"/>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row>
    <row r="989" spans="1:37" ht="13.5" customHeight="1" x14ac:dyDescent="0.25">
      <c r="A989" s="279"/>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row>
    <row r="990" spans="1:37" ht="13.5" customHeight="1" x14ac:dyDescent="0.25">
      <c r="A990" s="279"/>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row>
    <row r="991" spans="1:37" ht="13.5" customHeight="1" x14ac:dyDescent="0.25">
      <c r="A991" s="279"/>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row>
    <row r="992" spans="1:37" ht="13.5" customHeight="1" x14ac:dyDescent="0.25">
      <c r="A992" s="279"/>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row>
    <row r="993" spans="1:37" ht="13.5" customHeight="1" x14ac:dyDescent="0.25">
      <c r="A993" s="279"/>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row>
    <row r="994" spans="1:37" ht="13.5" customHeight="1" x14ac:dyDescent="0.25">
      <c r="A994" s="279"/>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row>
    <row r="995" spans="1:37" ht="13.5" customHeight="1" x14ac:dyDescent="0.25">
      <c r="A995" s="279"/>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row>
    <row r="996" spans="1:37" ht="13.5" customHeight="1" x14ac:dyDescent="0.25">
      <c r="A996" s="279"/>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row>
    <row r="997" spans="1:37" ht="13.5" customHeight="1" x14ac:dyDescent="0.25">
      <c r="A997" s="279"/>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row>
    <row r="998" spans="1:37" ht="13.5" customHeight="1" x14ac:dyDescent="0.25">
      <c r="A998" s="279"/>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row>
    <row r="999" spans="1:37" ht="13.5" customHeight="1" x14ac:dyDescent="0.25">
      <c r="A999" s="27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row>
    <row r="1000" spans="1:37" ht="13.5" customHeight="1" x14ac:dyDescent="0.25">
      <c r="A1000" s="279"/>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row>
  </sheetData>
  <conditionalFormatting sqref="C28:AG61 O62">
    <cfRule type="expression" dxfId="146" priority="1">
      <formula>$C$5="Report"</formula>
    </cfRule>
  </conditionalFormatting>
  <conditionalFormatting sqref="C75:AG104 C120:AG158">
    <cfRule type="expression" dxfId="145" priority="2">
      <formula>$C$5="Report"</formula>
    </cfRule>
  </conditionalFormatting>
  <dataValidations count="3">
    <dataValidation type="list" allowBlank="1" showErrorMessage="1" sqref="C5" xr:uid="{00000000-0002-0000-0700-000000000000}">
      <formula1>"Report,Working"</formula1>
    </dataValidation>
    <dataValidation type="list" allowBlank="1" showErrorMessage="1" sqref="C8:C9" xr:uid="{00000000-0002-0000-0700-000001000000}">
      <formula1>"On,Off"</formula1>
    </dataValidation>
    <dataValidation type="list" allowBlank="1" showErrorMessage="1" sqref="C37" xr:uid="{00000000-0002-0000-0700-000002000000}">
      <formula1>"Depreciation &amp; Amortization (incl. in SG&amp;A),Depreciation &amp; Amortization"</formula1>
    </dataValidation>
  </dataValidations>
  <pageMargins left="0.7" right="0.7" top="0.75" bottom="0.75" header="0" footer="0"/>
  <pageSetup orientation="portrait" r:id="rId1"/>
  <ignoredErrors>
    <ignoredError sqref="J260" formula="1"/>
  </ignoredError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355F"/>
  </sheetPr>
  <dimension ref="A1:AK968"/>
  <sheetViews>
    <sheetView showGridLines="0" zoomScale="80" zoomScaleNormal="80" workbookViewId="0"/>
  </sheetViews>
  <sheetFormatPr defaultColWidth="14.42578125" defaultRowHeight="15" customHeight="1" outlineLevelRow="1" outlineLevelCol="1" x14ac:dyDescent="0.25"/>
  <cols>
    <col min="1" max="2" width="1.7109375" customWidth="1"/>
    <col min="3" max="3" width="51.28515625" customWidth="1"/>
    <col min="4" max="5" width="1.7109375" customWidth="1"/>
    <col min="6" max="9" width="12.7109375" hidden="1" customWidth="1" outlineLevel="1"/>
    <col min="10" max="10" width="12.85546875" customWidth="1" collapsed="1"/>
    <col min="11" max="14" width="12.7109375" hidden="1" customWidth="1" outlineLevel="1"/>
    <col min="15" max="15" width="12.85546875" customWidth="1" collapsed="1"/>
    <col min="16" max="19" width="12.7109375" hidden="1" customWidth="1" outlineLevel="1"/>
    <col min="20" max="20" width="13.42578125" customWidth="1" collapsed="1"/>
    <col min="21" max="24" width="12.7109375" hidden="1" customWidth="1" outlineLevel="1"/>
    <col min="25" max="25" width="13.42578125" customWidth="1" collapsed="1"/>
    <col min="26" max="29" width="12.7109375" hidden="1" customWidth="1" outlineLevel="1"/>
    <col min="30" max="30" width="13.42578125" customWidth="1" collapsed="1"/>
    <col min="31" max="33" width="13.42578125" customWidth="1"/>
  </cols>
  <sheetData>
    <row r="1" spans="1:34" ht="14.25" customHeight="1" x14ac:dyDescent="0.35">
      <c r="A1" s="278"/>
      <c r="B1" s="4"/>
      <c r="C1" s="5" t="str">
        <f ca="1">Company_Name&amp;" - "&amp;MID(CELL("filename",A1),FIND("]",CELL("filename",A1))+1,255)&amp;": "&amp;Case_Scenario&amp;" Case"</f>
        <v>American Express Company - Segment Analysis: Base Case</v>
      </c>
      <c r="D1" s="4"/>
      <c r="E1" s="4"/>
      <c r="F1" s="4"/>
      <c r="G1" s="4"/>
      <c r="H1" s="4"/>
      <c r="I1" s="4"/>
      <c r="J1" s="4"/>
      <c r="K1" s="4"/>
      <c r="L1" s="4"/>
      <c r="M1" s="4"/>
      <c r="N1" s="4"/>
      <c r="O1" s="4"/>
      <c r="P1" s="4"/>
      <c r="Q1" s="4"/>
      <c r="R1" s="4"/>
      <c r="S1" s="4"/>
      <c r="T1" s="4"/>
      <c r="U1" s="4"/>
      <c r="V1" s="4"/>
      <c r="W1" s="4"/>
      <c r="X1" s="4"/>
      <c r="Y1" s="4"/>
      <c r="Z1" s="4"/>
      <c r="AA1" s="4"/>
      <c r="AB1" s="4"/>
      <c r="AC1" s="4"/>
      <c r="AD1" s="4"/>
      <c r="AE1" s="4"/>
      <c r="AF1" s="4"/>
      <c r="AG1" s="4"/>
    </row>
    <row r="2" spans="1:34" ht="14.25" customHeight="1" x14ac:dyDescent="0.25">
      <c r="A2" s="279"/>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spans="1:34" ht="14.25" customHeight="1" x14ac:dyDescent="0.25">
      <c r="A3" s="279"/>
      <c r="B3" s="2"/>
      <c r="C3" s="243"/>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34" ht="14.25" customHeight="1" x14ac:dyDescent="0.25">
      <c r="A4" s="279"/>
      <c r="B4" s="2"/>
      <c r="C4" s="243"/>
      <c r="D4" s="2"/>
      <c r="E4" s="2"/>
      <c r="F4" s="2"/>
      <c r="G4" s="2"/>
      <c r="H4" s="2"/>
      <c r="I4" s="2"/>
      <c r="J4" s="2"/>
      <c r="K4" s="2"/>
      <c r="L4" s="2"/>
      <c r="M4" s="2"/>
      <c r="N4" s="2"/>
      <c r="O4" s="2"/>
      <c r="P4" s="2"/>
      <c r="Q4" s="2"/>
      <c r="R4" s="2"/>
      <c r="S4" s="2"/>
      <c r="T4" s="2"/>
      <c r="U4" s="2"/>
      <c r="V4" s="2"/>
      <c r="W4" s="2"/>
      <c r="X4" s="2"/>
      <c r="Y4" s="2"/>
      <c r="Z4" s="2"/>
      <c r="AA4" s="2"/>
      <c r="AB4" s="2"/>
      <c r="AC4" s="2"/>
      <c r="AD4" s="2"/>
      <c r="AE4" s="2"/>
      <c r="AF4" s="2"/>
      <c r="AG4" s="2"/>
    </row>
    <row r="5" spans="1:34" ht="14.25" customHeight="1" x14ac:dyDescent="0.25">
      <c r="C5" s="285" t="s">
        <v>40</v>
      </c>
      <c r="D5" s="308"/>
      <c r="E5" s="308"/>
      <c r="F5" s="286" t="str">
        <f>Model!F63</f>
        <v>1Q23</v>
      </c>
      <c r="G5" s="286" t="str">
        <f>Model!G63</f>
        <v>2Q23</v>
      </c>
      <c r="H5" s="286" t="str">
        <f>Model!H63</f>
        <v>3Q23</v>
      </c>
      <c r="I5" s="286" t="str">
        <f>Model!I63</f>
        <v>4Q23</v>
      </c>
      <c r="J5" s="286">
        <f>Model!J63</f>
        <v>2023</v>
      </c>
      <c r="K5" s="286" t="str">
        <f>Model!K63</f>
        <v>1Q24</v>
      </c>
      <c r="L5" s="286" t="str">
        <f>Model!L63</f>
        <v>2Q24</v>
      </c>
      <c r="M5" s="286" t="str">
        <f>Model!M63</f>
        <v>3Q24</v>
      </c>
      <c r="N5" s="286" t="str">
        <f>Model!N63</f>
        <v>4Q24</v>
      </c>
      <c r="O5" s="286">
        <f>Model!O63</f>
        <v>2024</v>
      </c>
      <c r="P5" s="286" t="str">
        <f>Model!P63</f>
        <v>1Q25</v>
      </c>
      <c r="Q5" s="286" t="str">
        <f>Model!Q63</f>
        <v>2Q25</v>
      </c>
      <c r="R5" s="286" t="str">
        <f>Model!R63</f>
        <v>3Q25</v>
      </c>
      <c r="S5" s="286" t="str">
        <f>Model!S63</f>
        <v>4Q25</v>
      </c>
      <c r="T5" s="286">
        <f>Model!T63</f>
        <v>2025</v>
      </c>
      <c r="U5" s="286" t="str">
        <f>Model!U63</f>
        <v>1Q26</v>
      </c>
      <c r="V5" s="286" t="str">
        <f>Model!V63</f>
        <v>2Q26e</v>
      </c>
      <c r="W5" s="286" t="str">
        <f>Model!W63</f>
        <v>3Q26e</v>
      </c>
      <c r="X5" s="286" t="str">
        <f>Model!X63</f>
        <v>4Q26e</v>
      </c>
      <c r="Y5" s="286" t="str">
        <f>Model!Y63</f>
        <v>2026e</v>
      </c>
      <c r="Z5" s="286" t="str">
        <f>Model!Z63</f>
        <v>1Q27e</v>
      </c>
      <c r="AA5" s="286" t="str">
        <f>Model!AA63</f>
        <v>2Q27e</v>
      </c>
      <c r="AB5" s="286" t="str">
        <f>Model!AB63</f>
        <v>3Q27e</v>
      </c>
      <c r="AC5" s="286" t="str">
        <f>Model!AC63</f>
        <v>4Q27e</v>
      </c>
      <c r="AD5" s="286" t="str">
        <f>Model!AD63</f>
        <v>2027e</v>
      </c>
      <c r="AE5" s="286" t="str">
        <f>Model!AE63</f>
        <v>2028e</v>
      </c>
      <c r="AF5" s="286" t="str">
        <f>Model!AF63</f>
        <v>2029e</v>
      </c>
      <c r="AG5" s="286" t="str">
        <f>Model!AG63</f>
        <v>2030e</v>
      </c>
    </row>
    <row r="6" spans="1:34" ht="14.25" customHeight="1" x14ac:dyDescent="0.25">
      <c r="C6" s="33" t="s">
        <v>42</v>
      </c>
      <c r="D6" s="34"/>
      <c r="E6" s="34"/>
      <c r="F6" s="34"/>
      <c r="G6" s="34"/>
      <c r="H6" s="34"/>
      <c r="I6" s="34"/>
      <c r="J6" s="34"/>
      <c r="K6" s="34"/>
      <c r="L6" s="34"/>
      <c r="M6" s="34"/>
      <c r="N6" s="34"/>
      <c r="O6" s="34"/>
      <c r="P6" s="34"/>
      <c r="Q6" s="34"/>
      <c r="R6" s="34"/>
      <c r="S6" s="34"/>
      <c r="T6" s="34"/>
      <c r="U6" s="34"/>
      <c r="V6" s="34"/>
      <c r="W6" s="34"/>
      <c r="X6" s="34"/>
      <c r="Y6" s="34"/>
      <c r="Z6" s="34"/>
      <c r="AA6" s="34"/>
      <c r="AB6" s="34"/>
      <c r="AC6" s="34"/>
      <c r="AD6" s="34"/>
      <c r="AE6" s="34"/>
      <c r="AF6" s="34"/>
      <c r="AG6" s="331"/>
    </row>
    <row r="7" spans="1:34" ht="14.25" customHeight="1" x14ac:dyDescent="0.25">
      <c r="C7" s="9" t="s">
        <v>242</v>
      </c>
      <c r="D7" s="9"/>
      <c r="E7" s="9"/>
      <c r="F7" s="252">
        <f>SUM(F8:F11)</f>
        <v>15714</v>
      </c>
      <c r="G7" s="252">
        <f t="shared" ref="G7:I7" si="0">SUM(G8:G11)</f>
        <v>16724</v>
      </c>
      <c r="H7" s="252">
        <f t="shared" si="0"/>
        <v>17179</v>
      </c>
      <c r="I7" s="252">
        <f t="shared" si="0"/>
        <v>17747</v>
      </c>
      <c r="J7" s="227">
        <f t="shared" ref="J7" si="1">SUM(F7:I7)</f>
        <v>67364</v>
      </c>
      <c r="K7" s="252">
        <f t="shared" ref="K7:N7" si="2">SUM(K8:K11)</f>
        <v>17807</v>
      </c>
      <c r="L7" s="252">
        <f t="shared" si="2"/>
        <v>18397</v>
      </c>
      <c r="M7" s="252">
        <f t="shared" si="2"/>
        <v>18779</v>
      </c>
      <c r="N7" s="252">
        <f t="shared" si="2"/>
        <v>19218</v>
      </c>
      <c r="O7" s="227">
        <f t="shared" ref="O7" si="3">SUM(K7:N7)</f>
        <v>74201</v>
      </c>
      <c r="P7" s="252">
        <f t="shared" ref="P7:R7" si="4">SUM(P8:P11)</f>
        <v>18933</v>
      </c>
      <c r="Q7" s="252">
        <f t="shared" si="4"/>
        <v>19933</v>
      </c>
      <c r="R7" s="252">
        <f t="shared" si="4"/>
        <v>20557</v>
      </c>
      <c r="S7" s="252">
        <f>SUM(S8:S11)</f>
        <v>21040</v>
      </c>
      <c r="T7" s="227">
        <f>SUM(P7:S7)</f>
        <v>80463</v>
      </c>
      <c r="U7" s="252">
        <f t="shared" ref="U7" si="5">SUM(U8:U11)</f>
        <v>20880</v>
      </c>
      <c r="V7" s="226">
        <f t="shared" ref="V7:W7" si="6">SUM(V8:V11)</f>
        <v>21729.203000000001</v>
      </c>
      <c r="W7" s="226">
        <f t="shared" si="6"/>
        <v>22323.43895</v>
      </c>
      <c r="X7" s="226">
        <f>SUM(X8:X11)</f>
        <v>23124.4003792</v>
      </c>
      <c r="Y7" s="227">
        <f>SUM(U7:X7)</f>
        <v>88057.042329200005</v>
      </c>
      <c r="Z7" s="226">
        <f t="shared" ref="Z7" si="7">SUM(Z8:Z11)</f>
        <v>23062.491167255997</v>
      </c>
      <c r="AA7" s="226">
        <f t="shared" ref="AA7" si="8">SUM(AA8:AA11)</f>
        <v>24123.962710826741</v>
      </c>
      <c r="AB7" s="226">
        <f t="shared" ref="AB7" si="9">SUM(AB8:AB11)</f>
        <v>24704.224590130412</v>
      </c>
      <c r="AC7" s="226">
        <f t="shared" ref="AC7" si="10">SUM(AC8:AC11)</f>
        <v>25658.825330628726</v>
      </c>
      <c r="AD7" s="227">
        <f t="shared" ref="AD7:AD11" si="11">SUM(Z7:AC7)</f>
        <v>97549.503798841877</v>
      </c>
      <c r="AE7" s="227">
        <f t="shared" ref="AE7" si="12">SUM(AE8:AE11)</f>
        <v>104638.90724681984</v>
      </c>
      <c r="AF7" s="227">
        <f t="shared" ref="AF7" si="13">SUM(AF8:AF11)</f>
        <v>111964.7825308442</v>
      </c>
      <c r="AG7" s="227">
        <f t="shared" ref="AG7" si="14">SUM(AG8:AG11)</f>
        <v>118840.28275763517</v>
      </c>
    </row>
    <row r="8" spans="1:34" ht="14.25" customHeight="1" x14ac:dyDescent="0.25">
      <c r="C8" s="103" t="str">
        <f t="shared" ref="C8:C10" si="15">C14&amp;" Revenue"</f>
        <v>Discount Revenue</v>
      </c>
      <c r="D8" s="9"/>
      <c r="E8" s="9"/>
      <c r="F8" s="403">
        <v>7947</v>
      </c>
      <c r="G8" s="403">
        <v>8481</v>
      </c>
      <c r="H8" s="403">
        <v>8408</v>
      </c>
      <c r="I8" s="403">
        <f>33416-SUM(F8:H8)</f>
        <v>8580</v>
      </c>
      <c r="J8" s="404">
        <f t="shared" ref="J8:J11" si="16">SUM(F8:I8)</f>
        <v>33416</v>
      </c>
      <c r="K8" s="403">
        <v>8380</v>
      </c>
      <c r="L8" s="403">
        <v>8855</v>
      </c>
      <c r="M8" s="403">
        <v>8780</v>
      </c>
      <c r="N8" s="403">
        <f>35192-SUM(K8:M8)</f>
        <v>9177</v>
      </c>
      <c r="O8" s="404">
        <f t="shared" ref="O8:O11" si="17">SUM(K8:N8)</f>
        <v>35192</v>
      </c>
      <c r="P8" s="403">
        <v>8743</v>
      </c>
      <c r="Q8" s="403">
        <v>9361</v>
      </c>
      <c r="R8" s="403">
        <v>9413</v>
      </c>
      <c r="S8" s="403">
        <f>37401-SUM(P8:R8)</f>
        <v>9884</v>
      </c>
      <c r="T8" s="404">
        <f>SUM(P8:S8)</f>
        <v>37401</v>
      </c>
      <c r="U8" s="403">
        <v>9512</v>
      </c>
      <c r="V8" s="405">
        <f>'Revenue Build'!V33</f>
        <v>10082.720000000001</v>
      </c>
      <c r="W8" s="405">
        <f>'Revenue Build'!W33</f>
        <v>10233.960800000001</v>
      </c>
      <c r="X8" s="405">
        <f>'Revenue Build'!X33</f>
        <v>10796.828643999999</v>
      </c>
      <c r="Y8" s="404">
        <f t="shared" ref="Y8:Y11" si="18">SUM(U8:X8)</f>
        <v>40625.509444000003</v>
      </c>
      <c r="Z8" s="405">
        <f>'Revenue Build'!Z33</f>
        <v>10688.860357559999</v>
      </c>
      <c r="AA8" s="405">
        <f>'Revenue Build'!AA33</f>
        <v>11437.0805825892</v>
      </c>
      <c r="AB8" s="405">
        <f>'Revenue Build'!AB33</f>
        <v>11665.822194240984</v>
      </c>
      <c r="AC8" s="405">
        <f>'Revenue Build'!AC33</f>
        <v>12307.442414924237</v>
      </c>
      <c r="AD8" s="404">
        <f t="shared" si="11"/>
        <v>46099.205549314429</v>
      </c>
      <c r="AE8" s="406">
        <f>'Revenue Build'!AE33</f>
        <v>49326.149937766444</v>
      </c>
      <c r="AF8" s="406">
        <f>'Revenue Build'!AF33</f>
        <v>52285.718934032433</v>
      </c>
      <c r="AG8" s="406">
        <f>'Revenue Build'!AG33</f>
        <v>55422.862070074385</v>
      </c>
    </row>
    <row r="9" spans="1:34" ht="14.25" customHeight="1" x14ac:dyDescent="0.25">
      <c r="C9" s="103" t="str">
        <f t="shared" si="15"/>
        <v>Net Card Fees Revenue</v>
      </c>
      <c r="D9" s="9"/>
      <c r="E9" s="9"/>
      <c r="F9" s="403">
        <v>1713</v>
      </c>
      <c r="G9" s="403">
        <v>1789</v>
      </c>
      <c r="H9" s="403">
        <v>1846</v>
      </c>
      <c r="I9" s="403">
        <f>7255-SUM(F9:H9)</f>
        <v>1907</v>
      </c>
      <c r="J9" s="404">
        <f t="shared" si="16"/>
        <v>7255</v>
      </c>
      <c r="K9" s="403">
        <v>1974</v>
      </c>
      <c r="L9" s="403">
        <v>2060</v>
      </c>
      <c r="M9" s="403">
        <v>2170</v>
      </c>
      <c r="N9" s="403">
        <f>8449-SUM(K9:M9)</f>
        <v>2245</v>
      </c>
      <c r="O9" s="404">
        <f t="shared" si="17"/>
        <v>8449</v>
      </c>
      <c r="P9" s="403">
        <v>2333</v>
      </c>
      <c r="Q9" s="403">
        <v>2480</v>
      </c>
      <c r="R9" s="403">
        <v>2551</v>
      </c>
      <c r="S9" s="403">
        <f>9993-SUM(P9:R9)</f>
        <v>2629</v>
      </c>
      <c r="T9" s="404">
        <f t="shared" ref="T9:T11" si="19">SUM(P9:S9)</f>
        <v>9993</v>
      </c>
      <c r="U9" s="403">
        <v>2752</v>
      </c>
      <c r="V9" s="405">
        <f>'Revenue Build'!V41</f>
        <v>2889.6</v>
      </c>
      <c r="W9" s="405">
        <f>'Revenue Build'!W41</f>
        <v>3034.08</v>
      </c>
      <c r="X9" s="405">
        <f>'Revenue Build'!X41</f>
        <v>3216.1248000000001</v>
      </c>
      <c r="Y9" s="404">
        <f t="shared" si="18"/>
        <v>11891.8048</v>
      </c>
      <c r="Z9" s="405">
        <f>'Revenue Build'!Z41</f>
        <v>3312.6085440000002</v>
      </c>
      <c r="AA9" s="405">
        <f>'Revenue Build'!AA41</f>
        <v>3445.1128857600002</v>
      </c>
      <c r="AB9" s="405">
        <f>'Revenue Build'!AB41</f>
        <v>3514.0151434752001</v>
      </c>
      <c r="AC9" s="405">
        <f>'Revenue Build'!AC41</f>
        <v>3619.4355977794562</v>
      </c>
      <c r="AD9" s="404">
        <f t="shared" si="11"/>
        <v>13891.172171014658</v>
      </c>
      <c r="AE9" s="406">
        <f>'Revenue Build'!AE41</f>
        <v>15835.936274956712</v>
      </c>
      <c r="AF9" s="406">
        <f>'Revenue Build'!AF41</f>
        <v>17736.248627951518</v>
      </c>
      <c r="AG9" s="406">
        <f>'Revenue Build'!AG41</f>
        <v>18800.423545628611</v>
      </c>
    </row>
    <row r="10" spans="1:34" ht="14.25" customHeight="1" x14ac:dyDescent="0.25">
      <c r="C10" s="103" t="str">
        <f t="shared" si="15"/>
        <v>Service Fees and Other Revenue</v>
      </c>
      <c r="D10" s="9"/>
      <c r="E10" s="9"/>
      <c r="F10" s="293">
        <f>1218+420</f>
        <v>1638</v>
      </c>
      <c r="G10" s="293">
        <f>1232+447</f>
        <v>1679</v>
      </c>
      <c r="H10" s="293">
        <f>1261+424</f>
        <v>1685</v>
      </c>
      <c r="I10" s="293">
        <f>5005+1705-SUM(F10:H10)</f>
        <v>1708</v>
      </c>
      <c r="J10" s="404">
        <f t="shared" si="16"/>
        <v>6710</v>
      </c>
      <c r="K10" s="293">
        <f>1292+386</f>
        <v>1678</v>
      </c>
      <c r="L10" s="293">
        <f>1280+408</f>
        <v>1688</v>
      </c>
      <c r="M10" s="293">
        <f>1267+413</f>
        <v>1680</v>
      </c>
      <c r="N10" s="293">
        <f>5129+1636-SUM(K10:M10)</f>
        <v>1719</v>
      </c>
      <c r="O10" s="404">
        <f t="shared" si="17"/>
        <v>6765</v>
      </c>
      <c r="P10" s="403">
        <v>1722</v>
      </c>
      <c r="Q10" s="403">
        <v>1828</v>
      </c>
      <c r="R10" s="403">
        <v>1976</v>
      </c>
      <c r="S10" s="403">
        <f>7471-SUM(P10:R10)</f>
        <v>1945</v>
      </c>
      <c r="T10" s="404">
        <f t="shared" si="19"/>
        <v>7471</v>
      </c>
      <c r="U10" s="403">
        <v>1951</v>
      </c>
      <c r="V10" s="405">
        <f>'Revenue Build'!V45</f>
        <v>2054.4029999999998</v>
      </c>
      <c r="W10" s="405">
        <f>'Revenue Build'!W45</f>
        <v>2157.1231499999999</v>
      </c>
      <c r="X10" s="405">
        <f>'Revenue Build'!X45</f>
        <v>2174.3801352</v>
      </c>
      <c r="Y10" s="404">
        <f t="shared" si="18"/>
        <v>8336.9062851999988</v>
      </c>
      <c r="Z10" s="405">
        <f>'Revenue Build'!Z45</f>
        <v>2130.8925324960001</v>
      </c>
      <c r="AA10" s="405">
        <f>'Revenue Build'!AA45</f>
        <v>2242.3382119455409</v>
      </c>
      <c r="AB10" s="405">
        <f>'Revenue Build'!AB45</f>
        <v>2349.9704461189272</v>
      </c>
      <c r="AC10" s="405">
        <f>'Revenue Build'!AC45</f>
        <v>2378.1700914723542</v>
      </c>
      <c r="AD10" s="404">
        <f t="shared" si="11"/>
        <v>9101.3712820328219</v>
      </c>
      <c r="AE10" s="406">
        <f>'Revenue Build'!AE45</f>
        <v>9738.46727177512</v>
      </c>
      <c r="AF10" s="406">
        <f>'Revenue Build'!AF45</f>
        <v>10420.159980799379</v>
      </c>
      <c r="AG10" s="406">
        <f>'Revenue Build'!AG45</f>
        <v>11045.369579647342</v>
      </c>
    </row>
    <row r="11" spans="1:34" ht="14.25" customHeight="1" x14ac:dyDescent="0.25">
      <c r="C11" s="103" t="str">
        <f>C17</f>
        <v>Interest Income</v>
      </c>
      <c r="D11" s="9"/>
      <c r="E11" s="9"/>
      <c r="F11" s="293">
        <v>4416</v>
      </c>
      <c r="G11" s="293">
        <v>4775</v>
      </c>
      <c r="H11" s="293">
        <v>5240</v>
      </c>
      <c r="I11" s="293">
        <f>19983-SUM(F11:H11)</f>
        <v>5552</v>
      </c>
      <c r="J11" s="404">
        <f t="shared" si="16"/>
        <v>19983</v>
      </c>
      <c r="K11" s="293">
        <v>5775</v>
      </c>
      <c r="L11" s="293">
        <v>5794</v>
      </c>
      <c r="M11" s="293">
        <v>6149</v>
      </c>
      <c r="N11" s="293">
        <f>23795-SUM(K11:M11)</f>
        <v>6077</v>
      </c>
      <c r="O11" s="404">
        <f t="shared" si="17"/>
        <v>23795</v>
      </c>
      <c r="P11" s="293">
        <v>6135</v>
      </c>
      <c r="Q11" s="293">
        <v>6264</v>
      </c>
      <c r="R11" s="293">
        <v>6617</v>
      </c>
      <c r="S11" s="293">
        <f>25598-SUM(P11:R11)</f>
        <v>6582</v>
      </c>
      <c r="T11" s="404">
        <f t="shared" si="19"/>
        <v>25598</v>
      </c>
      <c r="U11" s="293">
        <v>6665</v>
      </c>
      <c r="V11" s="846">
        <f>'Revenue Build'!V57</f>
        <v>6702.4800000000005</v>
      </c>
      <c r="W11" s="846">
        <f>'Revenue Build'!W57</f>
        <v>6898.2749999999996</v>
      </c>
      <c r="X11" s="846">
        <f>'Revenue Build'!X57</f>
        <v>6937.0667999999996</v>
      </c>
      <c r="Y11" s="404">
        <f t="shared" si="18"/>
        <v>27202.821799999998</v>
      </c>
      <c r="Z11" s="846">
        <f>'Revenue Build'!Z57</f>
        <v>6930.1297331999995</v>
      </c>
      <c r="AA11" s="846">
        <f>'Revenue Build'!AA57</f>
        <v>6999.4310305319996</v>
      </c>
      <c r="AB11" s="846">
        <f>'Revenue Build'!AB57</f>
        <v>7174.4168062952986</v>
      </c>
      <c r="AC11" s="846">
        <f>'Revenue Build'!AC57</f>
        <v>7353.7772264526802</v>
      </c>
      <c r="AD11" s="404">
        <f t="shared" si="11"/>
        <v>28457.754796479978</v>
      </c>
      <c r="AE11" s="406">
        <f>'Revenue Build'!AE37</f>
        <v>29738.353762321574</v>
      </c>
      <c r="AF11" s="406">
        <f>'Revenue Build'!AF37</f>
        <v>31522.654988060869</v>
      </c>
      <c r="AG11" s="406">
        <f>'Revenue Build'!AG37</f>
        <v>33571.627562284826</v>
      </c>
    </row>
    <row r="12" spans="1:34" ht="14.25" customHeight="1" x14ac:dyDescent="0.25">
      <c r="C12" s="9"/>
      <c r="D12" s="9"/>
      <c r="E12" s="9"/>
      <c r="F12" s="254"/>
      <c r="G12" s="254"/>
      <c r="H12" s="254"/>
      <c r="I12" s="254"/>
      <c r="J12" s="132"/>
      <c r="K12" s="254"/>
      <c r="L12" s="254"/>
      <c r="M12" s="407"/>
      <c r="N12" s="254"/>
      <c r="O12" s="132"/>
      <c r="P12" s="254"/>
      <c r="Q12" s="254"/>
      <c r="R12" s="254"/>
      <c r="S12" s="254"/>
      <c r="T12" s="132"/>
      <c r="U12" s="254"/>
      <c r="V12" s="257"/>
      <c r="W12" s="257"/>
      <c r="X12" s="257"/>
      <c r="Y12" s="132"/>
      <c r="Z12" s="257"/>
      <c r="AA12" s="257"/>
      <c r="AB12" s="257"/>
      <c r="AC12" s="257"/>
      <c r="AD12" s="132"/>
      <c r="AE12" s="132"/>
      <c r="AF12" s="132"/>
      <c r="AG12" s="132"/>
      <c r="AH12" s="410"/>
    </row>
    <row r="13" spans="1:34" ht="14.25" customHeight="1" x14ac:dyDescent="0.25">
      <c r="C13" s="9" t="s">
        <v>421</v>
      </c>
      <c r="D13" s="9"/>
      <c r="E13" s="9"/>
      <c r="F13" s="408"/>
      <c r="G13" s="408"/>
      <c r="H13" s="408"/>
      <c r="I13" s="408"/>
      <c r="J13" s="132"/>
      <c r="K13" s="408"/>
      <c r="L13" s="408"/>
      <c r="M13" s="407"/>
      <c r="N13" s="408"/>
      <c r="O13" s="132"/>
      <c r="P13" s="408"/>
      <c r="Q13" s="408"/>
      <c r="R13" s="408"/>
      <c r="S13" s="408"/>
      <c r="T13" s="132"/>
      <c r="U13" s="408"/>
      <c r="V13" s="409"/>
      <c r="W13" s="409"/>
      <c r="X13" s="409"/>
      <c r="Y13" s="132"/>
      <c r="Z13" s="409"/>
      <c r="AA13" s="409"/>
      <c r="AB13" s="409"/>
      <c r="AC13" s="409"/>
      <c r="AD13" s="132"/>
      <c r="AE13" s="132"/>
      <c r="AF13" s="132"/>
      <c r="AG13" s="132"/>
      <c r="AH13" s="410"/>
    </row>
    <row r="14" spans="1:34" ht="14.25" customHeight="1" x14ac:dyDescent="0.25">
      <c r="C14" s="410" t="s">
        <v>824</v>
      </c>
      <c r="D14" s="9"/>
      <c r="E14" s="9"/>
      <c r="F14" s="312">
        <f t="shared" ref="F14:AG14" si="20">IFERROR(F8/F$7,"N/A")</f>
        <v>0.50572737686139746</v>
      </c>
      <c r="G14" s="312">
        <f t="shared" si="20"/>
        <v>0.50711552260224824</v>
      </c>
      <c r="H14" s="312">
        <f t="shared" si="20"/>
        <v>0.48943477501600791</v>
      </c>
      <c r="I14" s="312">
        <f t="shared" si="20"/>
        <v>0.48346199357637909</v>
      </c>
      <c r="J14" s="313">
        <f t="shared" si="20"/>
        <v>0.49605130336678344</v>
      </c>
      <c r="K14" s="312">
        <f t="shared" si="20"/>
        <v>0.47060144886842253</v>
      </c>
      <c r="L14" s="312">
        <f t="shared" si="20"/>
        <v>0.48132847746915258</v>
      </c>
      <c r="M14" s="312">
        <f t="shared" si="20"/>
        <v>0.46754353266947124</v>
      </c>
      <c r="N14" s="312">
        <f t="shared" si="20"/>
        <v>0.47752107399313143</v>
      </c>
      <c r="O14" s="313">
        <f t="shared" si="20"/>
        <v>0.47427932238109999</v>
      </c>
      <c r="P14" s="312">
        <f t="shared" si="20"/>
        <v>0.46178629905456081</v>
      </c>
      <c r="Q14" s="312">
        <f t="shared" si="20"/>
        <v>0.46962323784678672</v>
      </c>
      <c r="R14" s="312">
        <f t="shared" si="20"/>
        <v>0.45789755314491415</v>
      </c>
      <c r="S14" s="312">
        <f t="shared" si="20"/>
        <v>0.46977186311787072</v>
      </c>
      <c r="T14" s="313">
        <f t="shared" si="20"/>
        <v>0.46482234070318035</v>
      </c>
      <c r="U14" s="312">
        <f t="shared" ref="U14" si="21">IFERROR(U8/U$7,"N/A")</f>
        <v>0.45555555555555555</v>
      </c>
      <c r="V14" s="314">
        <f t="shared" si="20"/>
        <v>0.46401701893990316</v>
      </c>
      <c r="W14" s="314">
        <f t="shared" si="20"/>
        <v>0.45844015444582747</v>
      </c>
      <c r="X14" s="314">
        <f t="shared" si="20"/>
        <v>0.46690199386581976</v>
      </c>
      <c r="Y14" s="313">
        <f t="shared" si="20"/>
        <v>0.46135446262346752</v>
      </c>
      <c r="Z14" s="314">
        <f t="shared" si="20"/>
        <v>0.46347379734657573</v>
      </c>
      <c r="AA14" s="314">
        <f t="shared" si="20"/>
        <v>0.47409626352374862</v>
      </c>
      <c r="AB14" s="314">
        <f t="shared" si="20"/>
        <v>0.47221972710293436</v>
      </c>
      <c r="AC14" s="314">
        <f t="shared" si="20"/>
        <v>0.47965728190342938</v>
      </c>
      <c r="AD14" s="313">
        <f t="shared" si="20"/>
        <v>0.4725724248108551</v>
      </c>
      <c r="AE14" s="313">
        <f t="shared" si="20"/>
        <v>0.4713939703270893</v>
      </c>
      <c r="AF14" s="313">
        <f t="shared" si="20"/>
        <v>0.46698361531340177</v>
      </c>
      <c r="AG14" s="313">
        <f t="shared" si="20"/>
        <v>0.46636427298902244</v>
      </c>
    </row>
    <row r="15" spans="1:34" ht="14.25" customHeight="1" x14ac:dyDescent="0.25">
      <c r="C15" s="410" t="s">
        <v>852</v>
      </c>
      <c r="D15" s="9"/>
      <c r="E15" s="9"/>
      <c r="F15" s="312">
        <f t="shared" ref="F15:AG15" si="22">IFERROR(F9/F$7,"N/A")</f>
        <v>0.1090110729285987</v>
      </c>
      <c r="G15" s="312">
        <f t="shared" si="22"/>
        <v>0.10697201626405166</v>
      </c>
      <c r="H15" s="312">
        <f t="shared" si="22"/>
        <v>0.10745677862506549</v>
      </c>
      <c r="I15" s="312">
        <f t="shared" si="22"/>
        <v>0.10745478108976166</v>
      </c>
      <c r="J15" s="313">
        <f t="shared" si="22"/>
        <v>0.10769847396235378</v>
      </c>
      <c r="K15" s="312">
        <f t="shared" si="22"/>
        <v>0.11085528163081934</v>
      </c>
      <c r="L15" s="312">
        <f t="shared" si="22"/>
        <v>0.111974778496494</v>
      </c>
      <c r="M15" s="312">
        <f t="shared" si="22"/>
        <v>0.11555460887161191</v>
      </c>
      <c r="N15" s="312">
        <f t="shared" si="22"/>
        <v>0.11681756686439795</v>
      </c>
      <c r="O15" s="313">
        <f t="shared" si="22"/>
        <v>0.11386638994083638</v>
      </c>
      <c r="P15" s="312">
        <f t="shared" si="22"/>
        <v>0.12322400042254265</v>
      </c>
      <c r="Q15" s="312">
        <f t="shared" si="22"/>
        <v>0.12441679626749612</v>
      </c>
      <c r="R15" s="312">
        <f t="shared" si="22"/>
        <v>0.12409398258500753</v>
      </c>
      <c r="S15" s="312">
        <f t="shared" si="22"/>
        <v>0.12495247148288974</v>
      </c>
      <c r="T15" s="313">
        <f t="shared" si="22"/>
        <v>0.12419372879460125</v>
      </c>
      <c r="U15" s="312">
        <f t="shared" ref="U15" si="23">IFERROR(U9/U$7,"N/A")</f>
        <v>0.13180076628352491</v>
      </c>
      <c r="V15" s="314">
        <f t="shared" si="22"/>
        <v>0.1329823279758581</v>
      </c>
      <c r="W15" s="314">
        <f t="shared" si="22"/>
        <v>0.1359145428621337</v>
      </c>
      <c r="X15" s="314">
        <f t="shared" si="22"/>
        <v>0.13907927328973463</v>
      </c>
      <c r="Y15" s="313">
        <f t="shared" si="22"/>
        <v>0.13504660712476188</v>
      </c>
      <c r="Z15" s="314">
        <f t="shared" si="22"/>
        <v>0.14363619784072695</v>
      </c>
      <c r="AA15" s="314">
        <f t="shared" si="22"/>
        <v>0.14280874693169074</v>
      </c>
      <c r="AB15" s="314">
        <f t="shared" si="22"/>
        <v>0.14224349081084231</v>
      </c>
      <c r="AC15" s="314">
        <f t="shared" si="22"/>
        <v>0.14106006612309591</v>
      </c>
      <c r="AD15" s="313">
        <f t="shared" si="22"/>
        <v>0.14240125915616986</v>
      </c>
      <c r="AE15" s="313">
        <f t="shared" si="22"/>
        <v>0.15133889192481023</v>
      </c>
      <c r="AF15" s="313">
        <f t="shared" si="22"/>
        <v>0.15840917319752321</v>
      </c>
      <c r="AG15" s="313">
        <f t="shared" si="22"/>
        <v>0.15819908123216522</v>
      </c>
    </row>
    <row r="16" spans="1:34" ht="14.25" customHeight="1" x14ac:dyDescent="0.25">
      <c r="C16" s="410" t="s">
        <v>851</v>
      </c>
      <c r="D16" s="9"/>
      <c r="E16" s="9"/>
      <c r="F16" s="312">
        <f t="shared" ref="F16:AG17" si="24">IFERROR(F10/F$7,"N/A")</f>
        <v>0.10423825887743414</v>
      </c>
      <c r="G16" s="312">
        <f t="shared" si="24"/>
        <v>0.10039464243004066</v>
      </c>
      <c r="H16" s="312">
        <f t="shared" si="24"/>
        <v>9.8084871063507773E-2</v>
      </c>
      <c r="I16" s="312">
        <f t="shared" si="24"/>
        <v>9.6241618301684789E-2</v>
      </c>
      <c r="J16" s="313">
        <f t="shared" si="24"/>
        <v>9.9608099281515344E-2</v>
      </c>
      <c r="K16" s="312">
        <f t="shared" si="24"/>
        <v>9.4232605155276011E-2</v>
      </c>
      <c r="L16" s="312">
        <f t="shared" si="24"/>
        <v>9.1754090340816441E-2</v>
      </c>
      <c r="M16" s="312">
        <f t="shared" si="24"/>
        <v>8.9461632674796315E-2</v>
      </c>
      <c r="N16" s="312">
        <f t="shared" si="24"/>
        <v>8.9447393068997821E-2</v>
      </c>
      <c r="O16" s="313">
        <f t="shared" si="24"/>
        <v>9.1171278015121093E-2</v>
      </c>
      <c r="P16" s="312">
        <f t="shared" si="24"/>
        <v>9.0952305498336244E-2</v>
      </c>
      <c r="Q16" s="312">
        <f t="shared" si="24"/>
        <v>9.1707219184267302E-2</v>
      </c>
      <c r="R16" s="312">
        <f t="shared" si="24"/>
        <v>9.6122975142287292E-2</v>
      </c>
      <c r="S16" s="312">
        <f t="shared" si="24"/>
        <v>9.2442965779467687E-2</v>
      </c>
      <c r="T16" s="313">
        <f t="shared" si="24"/>
        <v>9.2850129873357945E-2</v>
      </c>
      <c r="U16" s="312">
        <f t="shared" ref="U16" si="25">IFERROR(U10/U$7,"N/A")</f>
        <v>9.3438697318007663E-2</v>
      </c>
      <c r="V16" s="314">
        <f t="shared" si="24"/>
        <v>9.4545713434588452E-2</v>
      </c>
      <c r="W16" s="314">
        <f t="shared" si="24"/>
        <v>9.6630414105618789E-2</v>
      </c>
      <c r="X16" s="314">
        <f t="shared" si="24"/>
        <v>9.4029687237028536E-2</v>
      </c>
      <c r="Y16" s="313">
        <f t="shared" si="24"/>
        <v>9.4676201524377723E-2</v>
      </c>
      <c r="Z16" s="314">
        <f t="shared" si="24"/>
        <v>9.2396459560337083E-2</v>
      </c>
      <c r="AA16" s="314">
        <f t="shared" si="24"/>
        <v>9.2950658182670301E-2</v>
      </c>
      <c r="AB16" s="314">
        <f t="shared" si="24"/>
        <v>9.5124234219347417E-2</v>
      </c>
      <c r="AC16" s="314">
        <f t="shared" si="24"/>
        <v>9.2684293253033387E-2</v>
      </c>
      <c r="AD16" s="313">
        <f t="shared" si="24"/>
        <v>9.3300026423516008E-2</v>
      </c>
      <c r="AE16" s="313">
        <f t="shared" si="24"/>
        <v>9.3067364023634608E-2</v>
      </c>
      <c r="AF16" s="313">
        <f t="shared" si="24"/>
        <v>9.3066406643792843E-2</v>
      </c>
      <c r="AG16" s="313">
        <f t="shared" si="24"/>
        <v>9.2942976264819649E-2</v>
      </c>
    </row>
    <row r="17" spans="3:33" ht="14.25" customHeight="1" x14ac:dyDescent="0.25">
      <c r="C17" s="410" t="s">
        <v>267</v>
      </c>
      <c r="D17" s="9"/>
      <c r="E17" s="9"/>
      <c r="F17" s="312">
        <f t="shared" si="24"/>
        <v>0.2810232913325697</v>
      </c>
      <c r="G17" s="312">
        <f t="shared" si="24"/>
        <v>0.28551781870365939</v>
      </c>
      <c r="H17" s="312">
        <f t="shared" si="24"/>
        <v>0.30502357529541885</v>
      </c>
      <c r="I17" s="312">
        <f t="shared" si="24"/>
        <v>0.31284160703217445</v>
      </c>
      <c r="J17" s="313">
        <f t="shared" si="24"/>
        <v>0.29664212338934742</v>
      </c>
      <c r="K17" s="312">
        <f t="shared" si="24"/>
        <v>0.32431066434548211</v>
      </c>
      <c r="L17" s="312">
        <f t="shared" si="24"/>
        <v>0.31494265369353697</v>
      </c>
      <c r="M17" s="312">
        <f t="shared" si="24"/>
        <v>0.32744022578412058</v>
      </c>
      <c r="N17" s="312">
        <f t="shared" si="24"/>
        <v>0.3162139660734728</v>
      </c>
      <c r="O17" s="313">
        <f t="shared" si="24"/>
        <v>0.32068300966294255</v>
      </c>
      <c r="P17" s="312">
        <f t="shared" si="24"/>
        <v>0.3240373950245603</v>
      </c>
      <c r="Q17" s="312">
        <f t="shared" si="24"/>
        <v>0.31425274670144987</v>
      </c>
      <c r="R17" s="312">
        <f t="shared" si="24"/>
        <v>0.32188548912779102</v>
      </c>
      <c r="S17" s="312">
        <f t="shared" si="24"/>
        <v>0.31283269961977184</v>
      </c>
      <c r="T17" s="313">
        <f t="shared" si="24"/>
        <v>0.31813380062886049</v>
      </c>
      <c r="U17" s="312">
        <f t="shared" ref="U17" si="26">IFERROR(U11/U$7,"N/A")</f>
        <v>0.31920498084291188</v>
      </c>
      <c r="V17" s="314">
        <f t="shared" si="24"/>
        <v>0.30845493964965032</v>
      </c>
      <c r="W17" s="314">
        <f t="shared" si="24"/>
        <v>0.30901488858642007</v>
      </c>
      <c r="X17" s="314">
        <f t="shared" si="24"/>
        <v>0.29998904560741702</v>
      </c>
      <c r="Y17" s="313">
        <f t="shared" si="24"/>
        <v>0.30892272872739279</v>
      </c>
      <c r="Z17" s="314">
        <f t="shared" si="24"/>
        <v>0.30049354525236027</v>
      </c>
      <c r="AA17" s="314">
        <f t="shared" si="24"/>
        <v>0.29014433136189033</v>
      </c>
      <c r="AB17" s="314">
        <f t="shared" si="24"/>
        <v>0.29041254786687581</v>
      </c>
      <c r="AC17" s="314">
        <f t="shared" si="24"/>
        <v>0.28659835872044143</v>
      </c>
      <c r="AD17" s="313">
        <f t="shared" si="24"/>
        <v>0.29172628960945912</v>
      </c>
      <c r="AE17" s="313">
        <f t="shared" si="24"/>
        <v>0.28419977372446592</v>
      </c>
      <c r="AF17" s="313">
        <f t="shared" si="24"/>
        <v>0.28154080484528221</v>
      </c>
      <c r="AG17" s="313">
        <f t="shared" si="24"/>
        <v>0.28249366951399263</v>
      </c>
    </row>
    <row r="18" spans="3:33" ht="14.25" customHeight="1" x14ac:dyDescent="0.25">
      <c r="C18" s="410"/>
      <c r="D18" s="9"/>
      <c r="E18" s="9"/>
      <c r="F18" s="838"/>
      <c r="G18" s="838"/>
      <c r="H18" s="838"/>
      <c r="I18" s="838"/>
      <c r="J18" s="132"/>
      <c r="K18" s="844"/>
      <c r="L18" s="844"/>
      <c r="M18" s="844"/>
      <c r="N18" s="844"/>
      <c r="O18" s="132"/>
      <c r="P18" s="844"/>
      <c r="Q18" s="844"/>
      <c r="R18" s="844"/>
      <c r="S18" s="844"/>
      <c r="T18" s="132"/>
      <c r="U18" s="844"/>
      <c r="V18" s="845"/>
      <c r="W18" s="845"/>
      <c r="X18" s="851"/>
      <c r="Y18" s="132"/>
      <c r="Z18" s="845"/>
      <c r="AA18" s="845"/>
      <c r="AB18" s="845"/>
      <c r="AC18" s="845"/>
      <c r="AD18" s="132"/>
      <c r="AE18" s="132"/>
      <c r="AF18" s="132"/>
      <c r="AG18" s="132"/>
    </row>
    <row r="19" spans="3:33" ht="14.25" hidden="1" customHeight="1" outlineLevel="1" x14ac:dyDescent="0.25">
      <c r="C19" s="9" t="s">
        <v>422</v>
      </c>
      <c r="D19" s="9"/>
      <c r="E19" s="9"/>
      <c r="F19" s="252">
        <f t="shared" ref="F19:T19" si="27">SUM(F20:F24)</f>
        <v>14281</v>
      </c>
      <c r="G19" s="252">
        <f t="shared" si="27"/>
        <v>15054</v>
      </c>
      <c r="H19" s="252">
        <f t="shared" si="27"/>
        <v>15381</v>
      </c>
      <c r="I19" s="252">
        <f t="shared" si="27"/>
        <v>15842</v>
      </c>
      <c r="J19" s="227">
        <f t="shared" si="27"/>
        <v>60558</v>
      </c>
      <c r="K19" s="252">
        <f t="shared" si="27"/>
        <v>15801</v>
      </c>
      <c r="L19" s="252">
        <f t="shared" si="27"/>
        <v>16303</v>
      </c>
      <c r="M19" s="252">
        <f t="shared" si="27"/>
        <v>16636</v>
      </c>
      <c r="N19" s="252">
        <f t="shared" si="27"/>
        <v>17209</v>
      </c>
      <c r="O19" s="227">
        <f t="shared" si="27"/>
        <v>65949</v>
      </c>
      <c r="P19" s="252">
        <f t="shared" si="27"/>
        <v>16967</v>
      </c>
      <c r="Q19" s="252">
        <f t="shared" si="27"/>
        <v>17856</v>
      </c>
      <c r="R19" s="252">
        <f t="shared" si="27"/>
        <v>18426</v>
      </c>
      <c r="S19" s="252">
        <f t="shared" si="27"/>
        <v>18980</v>
      </c>
      <c r="T19" s="227">
        <f t="shared" si="27"/>
        <v>72229</v>
      </c>
      <c r="U19" s="252">
        <f t="shared" ref="U19" si="28">SUM(U20:U24)</f>
        <v>18912</v>
      </c>
      <c r="V19" s="226">
        <f t="shared" ref="V19:AG19" si="29">V7</f>
        <v>21729.203000000001</v>
      </c>
      <c r="W19" s="226">
        <f t="shared" si="29"/>
        <v>22323.43895</v>
      </c>
      <c r="X19" s="226">
        <f t="shared" si="29"/>
        <v>23124.4003792</v>
      </c>
      <c r="Y19" s="227">
        <f t="shared" si="29"/>
        <v>88057.042329200005</v>
      </c>
      <c r="Z19" s="226">
        <f t="shared" si="29"/>
        <v>23062.491167255997</v>
      </c>
      <c r="AA19" s="226">
        <f t="shared" si="29"/>
        <v>24123.962710826741</v>
      </c>
      <c r="AB19" s="226">
        <f t="shared" si="29"/>
        <v>24704.224590130412</v>
      </c>
      <c r="AC19" s="226">
        <f t="shared" si="29"/>
        <v>25658.825330628726</v>
      </c>
      <c r="AD19" s="227">
        <f t="shared" si="29"/>
        <v>97549.503798841877</v>
      </c>
      <c r="AE19" s="227">
        <f t="shared" si="29"/>
        <v>104638.90724681984</v>
      </c>
      <c r="AF19" s="227">
        <f t="shared" si="29"/>
        <v>111964.7825308442</v>
      </c>
      <c r="AG19" s="227">
        <f t="shared" si="29"/>
        <v>118840.28275763517</v>
      </c>
    </row>
    <row r="20" spans="3:33" ht="14.25" hidden="1" customHeight="1" outlineLevel="1" x14ac:dyDescent="0.25">
      <c r="C20" s="103" t="str">
        <f>C27&amp;" Revenue"</f>
        <v>U.S. Consumer Services Revenue</v>
      </c>
      <c r="D20" s="9"/>
      <c r="E20" s="9"/>
      <c r="F20" s="403">
        <v>6583</v>
      </c>
      <c r="G20" s="403">
        <v>6930</v>
      </c>
      <c r="H20" s="403">
        <v>7208</v>
      </c>
      <c r="I20" s="403">
        <f>28116-SUM(F20:H20)</f>
        <v>7395</v>
      </c>
      <c r="J20" s="404">
        <f t="shared" ref="J20:J24" si="30">SUM(F20:I20)</f>
        <v>28116</v>
      </c>
      <c r="K20" s="403">
        <v>7499</v>
      </c>
      <c r="L20" s="403">
        <v>7732</v>
      </c>
      <c r="M20" s="403">
        <v>7944</v>
      </c>
      <c r="N20" s="403">
        <f>31427-SUM(K20:M20)</f>
        <v>8252</v>
      </c>
      <c r="O20" s="404">
        <f t="shared" ref="O20:O24" si="31">SUM(K20:N20)</f>
        <v>31427</v>
      </c>
      <c r="P20" s="403">
        <v>8249</v>
      </c>
      <c r="Q20" s="403">
        <v>8553</v>
      </c>
      <c r="R20" s="403">
        <v>8856</v>
      </c>
      <c r="S20" s="403">
        <f>34814-SUM(P20:R20)</f>
        <v>9156</v>
      </c>
      <c r="T20" s="404">
        <f t="shared" ref="T20:T24" si="32">SUM(P20:S20)</f>
        <v>34814</v>
      </c>
      <c r="U20" s="403">
        <v>9123</v>
      </c>
      <c r="V20" s="411">
        <v>0</v>
      </c>
      <c r="W20" s="411">
        <v>0</v>
      </c>
      <c r="X20" s="411">
        <v>0</v>
      </c>
      <c r="Y20" s="404">
        <f t="shared" ref="Y20:Y24" si="33">SUM(U20:X20)</f>
        <v>9123</v>
      </c>
      <c r="Z20" s="411">
        <v>0</v>
      </c>
      <c r="AA20" s="411">
        <v>0</v>
      </c>
      <c r="AB20" s="411">
        <v>0</v>
      </c>
      <c r="AC20" s="411">
        <v>0</v>
      </c>
      <c r="AD20" s="404">
        <f t="shared" ref="AD20:AD24" si="34">SUM(Z20:AC20)</f>
        <v>0</v>
      </c>
      <c r="AE20" s="412">
        <v>0</v>
      </c>
      <c r="AF20" s="412">
        <v>0</v>
      </c>
      <c r="AG20" s="412">
        <v>0</v>
      </c>
    </row>
    <row r="21" spans="3:33" ht="14.25" hidden="1" customHeight="1" outlineLevel="1" x14ac:dyDescent="0.25">
      <c r="C21" s="103" t="str">
        <f>C28&amp;" Revenue"</f>
        <v>Commercial Services Revenue</v>
      </c>
      <c r="D21" s="9"/>
      <c r="E21" s="9"/>
      <c r="F21" s="403">
        <v>3492</v>
      </c>
      <c r="G21" s="403">
        <v>3729</v>
      </c>
      <c r="H21" s="403">
        <v>3747</v>
      </c>
      <c r="I21" s="403">
        <f>14776-SUM(F21:H21)</f>
        <v>3808</v>
      </c>
      <c r="J21" s="404">
        <f t="shared" si="30"/>
        <v>14776</v>
      </c>
      <c r="K21" s="403">
        <v>3785</v>
      </c>
      <c r="L21" s="403">
        <v>3954</v>
      </c>
      <c r="M21" s="403">
        <v>3998</v>
      </c>
      <c r="N21" s="403">
        <f>15859-SUM(K21:M21)</f>
        <v>4122</v>
      </c>
      <c r="O21" s="404">
        <f t="shared" si="31"/>
        <v>15859</v>
      </c>
      <c r="P21" s="403">
        <v>4035</v>
      </c>
      <c r="Q21" s="403">
        <v>4212</v>
      </c>
      <c r="R21" s="403">
        <v>4281</v>
      </c>
      <c r="S21" s="403">
        <f>16926-SUM(P21:R21)</f>
        <v>4398</v>
      </c>
      <c r="T21" s="404">
        <f t="shared" si="32"/>
        <v>16926</v>
      </c>
      <c r="U21" s="403">
        <v>4321</v>
      </c>
      <c r="V21" s="411">
        <v>0</v>
      </c>
      <c r="W21" s="411">
        <v>0</v>
      </c>
      <c r="X21" s="411">
        <v>0</v>
      </c>
      <c r="Y21" s="404">
        <f t="shared" si="33"/>
        <v>4321</v>
      </c>
      <c r="Z21" s="411">
        <v>0</v>
      </c>
      <c r="AA21" s="411">
        <v>0</v>
      </c>
      <c r="AB21" s="411">
        <v>0</v>
      </c>
      <c r="AC21" s="411">
        <v>0</v>
      </c>
      <c r="AD21" s="404">
        <f t="shared" si="34"/>
        <v>0</v>
      </c>
      <c r="AE21" s="412">
        <v>0</v>
      </c>
      <c r="AF21" s="412">
        <v>0</v>
      </c>
      <c r="AG21" s="412">
        <v>0</v>
      </c>
    </row>
    <row r="22" spans="3:33" ht="14.25" hidden="1" customHeight="1" outlineLevel="1" x14ac:dyDescent="0.25">
      <c r="C22" s="103" t="str">
        <f>C29&amp;" Revenue"</f>
        <v>International Card Services Revenue</v>
      </c>
      <c r="D22" s="9"/>
      <c r="E22" s="9"/>
      <c r="F22" s="403">
        <v>2510</v>
      </c>
      <c r="G22" s="403">
        <v>2585</v>
      </c>
      <c r="H22" s="403">
        <v>2643</v>
      </c>
      <c r="I22" s="403">
        <f>10473-SUM(F22:H22)</f>
        <v>2735</v>
      </c>
      <c r="J22" s="404">
        <f t="shared" si="30"/>
        <v>10473</v>
      </c>
      <c r="K22" s="403">
        <v>2713</v>
      </c>
      <c r="L22" s="403">
        <v>2822</v>
      </c>
      <c r="M22" s="403">
        <v>2936</v>
      </c>
      <c r="N22" s="403">
        <f>11461-SUM(K22:M22)</f>
        <v>2990</v>
      </c>
      <c r="O22" s="404">
        <f t="shared" si="31"/>
        <v>11461</v>
      </c>
      <c r="P22" s="403">
        <v>2936</v>
      </c>
      <c r="Q22" s="403">
        <v>3232</v>
      </c>
      <c r="R22" s="403">
        <v>3336</v>
      </c>
      <c r="S22" s="403">
        <f>13000-SUM(P22:R22)</f>
        <v>3496</v>
      </c>
      <c r="T22" s="404">
        <f t="shared" si="32"/>
        <v>13000</v>
      </c>
      <c r="U22" s="403">
        <v>3532</v>
      </c>
      <c r="V22" s="411">
        <v>0</v>
      </c>
      <c r="W22" s="411">
        <v>0</v>
      </c>
      <c r="X22" s="411">
        <v>0</v>
      </c>
      <c r="Y22" s="404">
        <f t="shared" ref="Y22:Y23" si="35">SUM(U22:X22)</f>
        <v>3532</v>
      </c>
      <c r="Z22" s="411">
        <v>0</v>
      </c>
      <c r="AA22" s="411">
        <v>0</v>
      </c>
      <c r="AB22" s="411">
        <v>0</v>
      </c>
      <c r="AC22" s="411">
        <v>0</v>
      </c>
      <c r="AD22" s="404">
        <f t="shared" ref="AD22:AD23" si="36">SUM(Z22:AC22)</f>
        <v>0</v>
      </c>
      <c r="AE22" s="412">
        <v>0</v>
      </c>
      <c r="AF22" s="412">
        <v>0</v>
      </c>
      <c r="AG22" s="412">
        <v>0</v>
      </c>
    </row>
    <row r="23" spans="3:33" ht="14.25" hidden="1" customHeight="1" outlineLevel="1" x14ac:dyDescent="0.25">
      <c r="C23" s="103" t="str">
        <f>C30&amp;" Revenue"</f>
        <v>Global Merchant &amp; Network Services Revenue</v>
      </c>
      <c r="D23" s="9"/>
      <c r="E23" s="9"/>
      <c r="F23" s="403">
        <v>1741</v>
      </c>
      <c r="G23" s="403">
        <v>1863</v>
      </c>
      <c r="H23" s="403">
        <v>1851</v>
      </c>
      <c r="I23" s="403">
        <f>7396-SUM(F23:H23)</f>
        <v>1941</v>
      </c>
      <c r="J23" s="404">
        <f t="shared" si="30"/>
        <v>7396</v>
      </c>
      <c r="K23" s="403">
        <v>1870</v>
      </c>
      <c r="L23" s="403">
        <v>1873</v>
      </c>
      <c r="M23" s="403">
        <v>1847</v>
      </c>
      <c r="N23" s="403">
        <f>7484-SUM(K23:M23)</f>
        <v>1894</v>
      </c>
      <c r="O23" s="404">
        <f t="shared" si="31"/>
        <v>7484</v>
      </c>
      <c r="P23" s="403">
        <v>1815</v>
      </c>
      <c r="Q23" s="403">
        <v>1933</v>
      </c>
      <c r="R23" s="403">
        <v>1972</v>
      </c>
      <c r="S23" s="403">
        <f>7759-SUM(P23:R23)</f>
        <v>2039</v>
      </c>
      <c r="T23" s="404">
        <f t="shared" si="32"/>
        <v>7759</v>
      </c>
      <c r="U23" s="403">
        <v>2004</v>
      </c>
      <c r="V23" s="411">
        <v>0</v>
      </c>
      <c r="W23" s="411">
        <v>0</v>
      </c>
      <c r="X23" s="411">
        <v>0</v>
      </c>
      <c r="Y23" s="404">
        <f t="shared" si="35"/>
        <v>2004</v>
      </c>
      <c r="Z23" s="411">
        <v>0</v>
      </c>
      <c r="AA23" s="411">
        <v>0</v>
      </c>
      <c r="AB23" s="411">
        <v>0</v>
      </c>
      <c r="AC23" s="411">
        <v>0</v>
      </c>
      <c r="AD23" s="404">
        <f t="shared" si="36"/>
        <v>0</v>
      </c>
      <c r="AE23" s="412">
        <v>0</v>
      </c>
      <c r="AF23" s="412">
        <v>0</v>
      </c>
      <c r="AG23" s="412">
        <v>0</v>
      </c>
    </row>
    <row r="24" spans="3:33" ht="14.25" hidden="1" customHeight="1" outlineLevel="1" x14ac:dyDescent="0.25">
      <c r="C24" s="103" t="str">
        <f>C31&amp;" Revenue"</f>
        <v>Corporate &amp; Other Revenue</v>
      </c>
      <c r="D24" s="9"/>
      <c r="E24" s="9"/>
      <c r="F24" s="403">
        <v>-45</v>
      </c>
      <c r="G24" s="403">
        <v>-53</v>
      </c>
      <c r="H24" s="403">
        <v>-68</v>
      </c>
      <c r="I24" s="403">
        <f>-203-(SUM(F24:H24))</f>
        <v>-37</v>
      </c>
      <c r="J24" s="404">
        <f t="shared" si="30"/>
        <v>-203</v>
      </c>
      <c r="K24" s="403">
        <v>-66</v>
      </c>
      <c r="L24" s="403">
        <v>-78</v>
      </c>
      <c r="M24" s="403">
        <v>-89</v>
      </c>
      <c r="N24" s="403">
        <f>-282-SUM(K24:M24)</f>
        <v>-49</v>
      </c>
      <c r="O24" s="404">
        <f t="shared" si="31"/>
        <v>-282</v>
      </c>
      <c r="P24" s="403">
        <v>-68</v>
      </c>
      <c r="Q24" s="403">
        <v>-74</v>
      </c>
      <c r="R24" s="403">
        <v>-19</v>
      </c>
      <c r="S24" s="403">
        <f>-270-SUM(P24:R24)</f>
        <v>-109</v>
      </c>
      <c r="T24" s="404">
        <f t="shared" si="32"/>
        <v>-270</v>
      </c>
      <c r="U24" s="403">
        <v>-68</v>
      </c>
      <c r="V24" s="411">
        <v>0</v>
      </c>
      <c r="W24" s="411">
        <v>0</v>
      </c>
      <c r="X24" s="411">
        <v>0</v>
      </c>
      <c r="Y24" s="404">
        <f t="shared" si="33"/>
        <v>-68</v>
      </c>
      <c r="Z24" s="411">
        <v>0</v>
      </c>
      <c r="AA24" s="411">
        <v>0</v>
      </c>
      <c r="AB24" s="411">
        <v>0</v>
      </c>
      <c r="AC24" s="411">
        <v>0</v>
      </c>
      <c r="AD24" s="404">
        <f t="shared" si="34"/>
        <v>0</v>
      </c>
      <c r="AE24" s="412">
        <v>0</v>
      </c>
      <c r="AF24" s="412">
        <v>0</v>
      </c>
      <c r="AG24" s="412">
        <v>0</v>
      </c>
    </row>
    <row r="25" spans="3:33" ht="14.25" hidden="1" customHeight="1" outlineLevel="1" x14ac:dyDescent="0.25">
      <c r="C25" s="9"/>
      <c r="D25" s="9"/>
      <c r="E25" s="9"/>
      <c r="F25" s="254"/>
      <c r="G25" s="254"/>
      <c r="H25" s="254"/>
      <c r="I25" s="254"/>
      <c r="J25" s="132"/>
      <c r="K25" s="254"/>
      <c r="L25" s="254"/>
      <c r="M25" s="254"/>
      <c r="N25" s="254"/>
      <c r="O25" s="132"/>
      <c r="P25" s="254"/>
      <c r="Q25" s="254"/>
      <c r="R25" s="254"/>
      <c r="S25" s="254"/>
      <c r="T25" s="132"/>
      <c r="U25" s="254"/>
      <c r="V25" s="257"/>
      <c r="W25" s="257"/>
      <c r="X25" s="257"/>
      <c r="Y25" s="132"/>
      <c r="Z25" s="257"/>
      <c r="AA25" s="257"/>
      <c r="AB25" s="257"/>
      <c r="AC25" s="257"/>
      <c r="AD25" s="132"/>
      <c r="AE25" s="132"/>
      <c r="AF25" s="132"/>
      <c r="AG25" s="132"/>
    </row>
    <row r="26" spans="3:33" ht="14.25" hidden="1" customHeight="1" outlineLevel="1" x14ac:dyDescent="0.25">
      <c r="C26" s="9" t="s">
        <v>422</v>
      </c>
      <c r="D26" s="9"/>
      <c r="E26" s="9"/>
      <c r="F26" s="408"/>
      <c r="G26" s="408"/>
      <c r="H26" s="408"/>
      <c r="I26" s="408"/>
      <c r="J26" s="132"/>
      <c r="K26" s="408"/>
      <c r="L26" s="408"/>
      <c r="M26" s="408"/>
      <c r="N26" s="408"/>
      <c r="O26" s="132"/>
      <c r="P26" s="408"/>
      <c r="Q26" s="408"/>
      <c r="R26" s="408"/>
      <c r="S26" s="408"/>
      <c r="T26" s="132"/>
      <c r="U26" s="408"/>
      <c r="V26" s="409"/>
      <c r="W26" s="409"/>
      <c r="X26" s="409"/>
      <c r="Y26" s="132"/>
      <c r="Z26" s="409"/>
      <c r="AA26" s="409"/>
      <c r="AB26" s="409"/>
      <c r="AC26" s="409"/>
      <c r="AD26" s="132"/>
      <c r="AE26" s="132"/>
      <c r="AF26" s="132"/>
      <c r="AG26" s="132"/>
    </row>
    <row r="27" spans="3:33" ht="14.25" hidden="1" customHeight="1" outlineLevel="1" x14ac:dyDescent="0.25">
      <c r="C27" s="410" t="s">
        <v>818</v>
      </c>
      <c r="D27" s="9"/>
      <c r="E27" s="9"/>
      <c r="F27" s="408">
        <f t="shared" ref="F27:T27" si="37">IFERROR(F20/F$19,"N/A")</f>
        <v>0.46096211749877458</v>
      </c>
      <c r="G27" s="408">
        <f t="shared" si="37"/>
        <v>0.46034276604224789</v>
      </c>
      <c r="H27" s="408">
        <f t="shared" si="37"/>
        <v>0.4686301280800988</v>
      </c>
      <c r="I27" s="408">
        <f t="shared" si="37"/>
        <v>0.46679712157555864</v>
      </c>
      <c r="J27" s="413">
        <f t="shared" si="37"/>
        <v>0.46428217576538194</v>
      </c>
      <c r="K27" s="408">
        <f t="shared" si="37"/>
        <v>0.47459021580912603</v>
      </c>
      <c r="L27" s="408">
        <f t="shared" si="37"/>
        <v>0.47426853953260134</v>
      </c>
      <c r="M27" s="408">
        <f t="shared" si="37"/>
        <v>0.47751863428708824</v>
      </c>
      <c r="N27" s="408">
        <f t="shared" si="37"/>
        <v>0.47951653204718464</v>
      </c>
      <c r="O27" s="413">
        <f t="shared" si="37"/>
        <v>0.47653489817889583</v>
      </c>
      <c r="P27" s="408">
        <f t="shared" si="37"/>
        <v>0.48617905345671009</v>
      </c>
      <c r="Q27" s="408">
        <f t="shared" si="37"/>
        <v>0.4789986559139785</v>
      </c>
      <c r="R27" s="408">
        <f t="shared" si="37"/>
        <v>0.48062520351676979</v>
      </c>
      <c r="S27" s="408">
        <f t="shared" si="37"/>
        <v>0.48240252897787145</v>
      </c>
      <c r="T27" s="413">
        <f t="shared" si="37"/>
        <v>0.48199476664497637</v>
      </c>
      <c r="U27" s="408">
        <f t="shared" ref="U27" si="38">IFERROR(U20/U$19,"N/A")</f>
        <v>0.48239213197969544</v>
      </c>
      <c r="V27" s="314">
        <f t="shared" ref="V27:X27" si="39">IFERROR(V20/V$7,"N/A")</f>
        <v>0</v>
      </c>
      <c r="W27" s="314">
        <f t="shared" si="39"/>
        <v>0</v>
      </c>
      <c r="X27" s="314">
        <f t="shared" si="39"/>
        <v>0</v>
      </c>
      <c r="Y27" s="413">
        <f t="shared" ref="Y27:AG27" si="40">IFERROR(Y20/Y$19,"N/A")</f>
        <v>0.10360329802917742</v>
      </c>
      <c r="Z27" s="409">
        <f t="shared" si="40"/>
        <v>0</v>
      </c>
      <c r="AA27" s="409">
        <f t="shared" si="40"/>
        <v>0</v>
      </c>
      <c r="AB27" s="409">
        <f t="shared" si="40"/>
        <v>0</v>
      </c>
      <c r="AC27" s="409">
        <f t="shared" si="40"/>
        <v>0</v>
      </c>
      <c r="AD27" s="413">
        <f t="shared" si="40"/>
        <v>0</v>
      </c>
      <c r="AE27" s="413">
        <f t="shared" si="40"/>
        <v>0</v>
      </c>
      <c r="AF27" s="413">
        <f t="shared" si="40"/>
        <v>0</v>
      </c>
      <c r="AG27" s="413">
        <f t="shared" si="40"/>
        <v>0</v>
      </c>
    </row>
    <row r="28" spans="3:33" ht="14.25" hidden="1" customHeight="1" outlineLevel="1" x14ac:dyDescent="0.25">
      <c r="C28" s="410" t="s">
        <v>819</v>
      </c>
      <c r="D28" s="9"/>
      <c r="E28" s="9"/>
      <c r="F28" s="408">
        <f t="shared" ref="F28:T28" si="41">IFERROR(F21/F$19,"N/A")</f>
        <v>0.24452069182830333</v>
      </c>
      <c r="G28" s="408">
        <f t="shared" si="41"/>
        <v>0.24770825029892388</v>
      </c>
      <c r="H28" s="408">
        <f t="shared" si="41"/>
        <v>0.24361224887848645</v>
      </c>
      <c r="I28" s="408">
        <f t="shared" si="41"/>
        <v>0.24037369019063248</v>
      </c>
      <c r="J28" s="413">
        <f t="shared" si="41"/>
        <v>0.2439974900095776</v>
      </c>
      <c r="K28" s="408">
        <f t="shared" si="41"/>
        <v>0.23954180115182583</v>
      </c>
      <c r="L28" s="408">
        <f t="shared" si="41"/>
        <v>0.2425320493160768</v>
      </c>
      <c r="M28" s="408">
        <f t="shared" si="41"/>
        <v>0.24032219283481607</v>
      </c>
      <c r="N28" s="408">
        <f t="shared" si="41"/>
        <v>0.23952582950781567</v>
      </c>
      <c r="O28" s="413">
        <f t="shared" si="41"/>
        <v>0.24047369937375851</v>
      </c>
      <c r="P28" s="408">
        <f t="shared" si="41"/>
        <v>0.23781458124594801</v>
      </c>
      <c r="Q28" s="408">
        <f t="shared" si="41"/>
        <v>0.23588709677419356</v>
      </c>
      <c r="R28" s="408">
        <f t="shared" si="41"/>
        <v>0.23233474438293716</v>
      </c>
      <c r="S28" s="408">
        <f t="shared" si="41"/>
        <v>0.23171759747102214</v>
      </c>
      <c r="T28" s="413">
        <f t="shared" si="41"/>
        <v>0.23433800827922302</v>
      </c>
      <c r="U28" s="408">
        <f t="shared" ref="U28" si="42">IFERROR(U21/U$19,"N/A")</f>
        <v>0.22847927241962776</v>
      </c>
      <c r="V28" s="314">
        <f t="shared" ref="V28:X28" si="43">IFERROR(V21/V$7,"N/A")</f>
        <v>0</v>
      </c>
      <c r="W28" s="314">
        <f t="shared" si="43"/>
        <v>0</v>
      </c>
      <c r="X28" s="314">
        <f t="shared" si="43"/>
        <v>0</v>
      </c>
      <c r="Y28" s="413">
        <f t="shared" ref="Y28:AG28" si="44">IFERROR(Y21/Y$19,"N/A")</f>
        <v>4.9070464845344254E-2</v>
      </c>
      <c r="Z28" s="409">
        <f t="shared" si="44"/>
        <v>0</v>
      </c>
      <c r="AA28" s="409">
        <f t="shared" si="44"/>
        <v>0</v>
      </c>
      <c r="AB28" s="409">
        <f t="shared" si="44"/>
        <v>0</v>
      </c>
      <c r="AC28" s="409">
        <f t="shared" si="44"/>
        <v>0</v>
      </c>
      <c r="AD28" s="413">
        <f t="shared" si="44"/>
        <v>0</v>
      </c>
      <c r="AE28" s="413">
        <f t="shared" si="44"/>
        <v>0</v>
      </c>
      <c r="AF28" s="413">
        <f t="shared" si="44"/>
        <v>0</v>
      </c>
      <c r="AG28" s="413">
        <f t="shared" si="44"/>
        <v>0</v>
      </c>
    </row>
    <row r="29" spans="3:33" ht="14.25" hidden="1" customHeight="1" outlineLevel="1" x14ac:dyDescent="0.25">
      <c r="C29" s="410" t="s">
        <v>820</v>
      </c>
      <c r="D29" s="9"/>
      <c r="E29" s="9"/>
      <c r="F29" s="408">
        <f t="shared" ref="F29:T29" si="45">IFERROR(F24/F$19,"N/A")</f>
        <v>-3.1510398431482387E-3</v>
      </c>
      <c r="G29" s="408">
        <f t="shared" si="45"/>
        <v>-3.5206589610734689E-3</v>
      </c>
      <c r="H29" s="408">
        <f t="shared" si="45"/>
        <v>-4.421038944151876E-3</v>
      </c>
      <c r="I29" s="408">
        <f t="shared" si="45"/>
        <v>-2.3355636914530993E-3</v>
      </c>
      <c r="J29" s="413">
        <f t="shared" si="45"/>
        <v>-3.3521582615013705E-3</v>
      </c>
      <c r="K29" s="408">
        <f t="shared" si="45"/>
        <v>-4.1769508258970951E-3</v>
      </c>
      <c r="L29" s="408">
        <f t="shared" si="45"/>
        <v>-4.7843955100288294E-3</v>
      </c>
      <c r="M29" s="408">
        <f t="shared" si="45"/>
        <v>-5.3498437124308729E-3</v>
      </c>
      <c r="N29" s="408">
        <f t="shared" si="45"/>
        <v>-2.8473473182636993E-3</v>
      </c>
      <c r="O29" s="413">
        <f t="shared" si="45"/>
        <v>-4.2760314788700361E-3</v>
      </c>
      <c r="P29" s="408">
        <f t="shared" si="45"/>
        <v>-4.0077798078623208E-3</v>
      </c>
      <c r="Q29" s="408">
        <f t="shared" si="45"/>
        <v>-4.1442652329749105E-3</v>
      </c>
      <c r="R29" s="408">
        <f t="shared" si="45"/>
        <v>-1.0311516335612721E-3</v>
      </c>
      <c r="S29" s="408">
        <f t="shared" si="45"/>
        <v>-5.7428872497365651E-3</v>
      </c>
      <c r="T29" s="413">
        <f t="shared" si="45"/>
        <v>-3.7381107311467692E-3</v>
      </c>
      <c r="U29" s="408">
        <f t="shared" ref="U29" si="46">IFERROR(U24/U$19,"N/A")</f>
        <v>-3.5956006768189507E-3</v>
      </c>
      <c r="V29" s="314">
        <f>IFERROR(V24/V$7,"N/A")</f>
        <v>0</v>
      </c>
      <c r="W29" s="314">
        <f>IFERROR(W24/W$7,"N/A")</f>
        <v>0</v>
      </c>
      <c r="X29" s="314">
        <f>IFERROR(X24/X$7,"N/A")</f>
        <v>0</v>
      </c>
      <c r="Y29" s="413">
        <f t="shared" ref="Y29:AG29" si="47">IFERROR(Y24/Y$19,"N/A")</f>
        <v>-7.7222670897556336E-4</v>
      </c>
      <c r="Z29" s="409">
        <f t="shared" si="47"/>
        <v>0</v>
      </c>
      <c r="AA29" s="409">
        <f t="shared" si="47"/>
        <v>0</v>
      </c>
      <c r="AB29" s="409">
        <f t="shared" si="47"/>
        <v>0</v>
      </c>
      <c r="AC29" s="409">
        <f t="shared" si="47"/>
        <v>0</v>
      </c>
      <c r="AD29" s="413">
        <f t="shared" si="47"/>
        <v>0</v>
      </c>
      <c r="AE29" s="413">
        <f t="shared" si="47"/>
        <v>0</v>
      </c>
      <c r="AF29" s="413">
        <f t="shared" si="47"/>
        <v>0</v>
      </c>
      <c r="AG29" s="413">
        <f t="shared" si="47"/>
        <v>0</v>
      </c>
    </row>
    <row r="30" spans="3:33" ht="14.25" hidden="1" customHeight="1" outlineLevel="1" x14ac:dyDescent="0.25">
      <c r="C30" s="410" t="s">
        <v>821</v>
      </c>
      <c r="D30" s="9"/>
      <c r="E30" s="9"/>
      <c r="F30" s="408">
        <f>IFERROR(F23/F$19,"N/A")</f>
        <v>0.12191023037602408</v>
      </c>
      <c r="G30" s="408">
        <f t="shared" ref="G30:I30" si="48">IFERROR(G23/G$19,"N/A")</f>
        <v>0.1237544838581108</v>
      </c>
      <c r="H30" s="408">
        <f t="shared" si="48"/>
        <v>0.12034328067095768</v>
      </c>
      <c r="I30" s="408">
        <f t="shared" si="48"/>
        <v>0.12252240878676934</v>
      </c>
      <c r="J30" s="413">
        <f>IFERROR(J23/J$19,"N/A")</f>
        <v>0.12213084976386274</v>
      </c>
      <c r="K30" s="408">
        <f t="shared" ref="K30:N30" si="49">IFERROR(K23/K$19,"N/A")</f>
        <v>0.11834694006708436</v>
      </c>
      <c r="L30" s="408">
        <f t="shared" si="49"/>
        <v>0.11488683064466662</v>
      </c>
      <c r="M30" s="408">
        <f t="shared" si="49"/>
        <v>0.11102428468381823</v>
      </c>
      <c r="N30" s="408">
        <f t="shared" si="49"/>
        <v>0.1100586902202336</v>
      </c>
      <c r="O30" s="413">
        <f>IFERROR(O23/O$19,"N/A")</f>
        <v>0.11348162974419627</v>
      </c>
      <c r="P30" s="408">
        <f t="shared" ref="P30:S30" si="50">IFERROR(P23/P$19,"N/A")</f>
        <v>0.10697235810691343</v>
      </c>
      <c r="Q30" s="408">
        <f t="shared" si="50"/>
        <v>0.10825492831541218</v>
      </c>
      <c r="R30" s="408">
        <f t="shared" si="50"/>
        <v>0.10702268533593835</v>
      </c>
      <c r="S30" s="408">
        <f t="shared" si="50"/>
        <v>0.10742887249736564</v>
      </c>
      <c r="T30" s="413">
        <f>IFERROR(T23/T$19,"N/A")</f>
        <v>0.10742222652951031</v>
      </c>
      <c r="U30" s="408">
        <f t="shared" ref="U30" si="51">IFERROR(U23/U$19,"N/A")</f>
        <v>0.10596446700507614</v>
      </c>
      <c r="V30" s="314">
        <f t="shared" ref="V30:X30" si="52">IFERROR(V23/V$19,"N/A")</f>
        <v>0</v>
      </c>
      <c r="W30" s="314">
        <f t="shared" si="52"/>
        <v>0</v>
      </c>
      <c r="X30" s="314">
        <f t="shared" si="52"/>
        <v>0</v>
      </c>
      <c r="Y30" s="413">
        <f>IFERROR(Y23/Y$19,"N/A")</f>
        <v>2.2757975364515133E-2</v>
      </c>
      <c r="Z30" s="409">
        <f t="shared" ref="Z30:AC30" si="53">IFERROR(Z23/Z$19,"N/A")</f>
        <v>0</v>
      </c>
      <c r="AA30" s="409">
        <f t="shared" si="53"/>
        <v>0</v>
      </c>
      <c r="AB30" s="409">
        <f t="shared" si="53"/>
        <v>0</v>
      </c>
      <c r="AC30" s="409">
        <f t="shared" si="53"/>
        <v>0</v>
      </c>
      <c r="AD30" s="413">
        <f>IFERROR(AD23/AD$19,"N/A")</f>
        <v>0</v>
      </c>
      <c r="AE30" s="413">
        <f t="shared" ref="AE30:AG30" si="54">IFERROR(AE23/AE$19,"N/A")</f>
        <v>0</v>
      </c>
      <c r="AF30" s="413">
        <f t="shared" si="54"/>
        <v>0</v>
      </c>
      <c r="AG30" s="413">
        <f t="shared" si="54"/>
        <v>0</v>
      </c>
    </row>
    <row r="31" spans="3:33" ht="14.25" hidden="1" customHeight="1" outlineLevel="1" x14ac:dyDescent="0.25">
      <c r="C31" s="410" t="s">
        <v>822</v>
      </c>
      <c r="D31" s="9"/>
      <c r="E31" s="9"/>
      <c r="F31" s="408">
        <f>IFERROR(F24/F$19,"N/A")</f>
        <v>-3.1510398431482387E-3</v>
      </c>
      <c r="G31" s="408">
        <f t="shared" ref="G31:I31" si="55">IFERROR(G24/G$19,"N/A")</f>
        <v>-3.5206589610734689E-3</v>
      </c>
      <c r="H31" s="408">
        <f t="shared" si="55"/>
        <v>-4.421038944151876E-3</v>
      </c>
      <c r="I31" s="408">
        <f t="shared" si="55"/>
        <v>-2.3355636914530993E-3</v>
      </c>
      <c r="J31" s="413">
        <f>IFERROR(J24/J$19,"N/A")</f>
        <v>-3.3521582615013705E-3</v>
      </c>
      <c r="K31" s="408">
        <f t="shared" ref="K31:N31" si="56">IFERROR(K24/K$19,"N/A")</f>
        <v>-4.1769508258970951E-3</v>
      </c>
      <c r="L31" s="408">
        <f t="shared" si="56"/>
        <v>-4.7843955100288294E-3</v>
      </c>
      <c r="M31" s="408">
        <f t="shared" si="56"/>
        <v>-5.3498437124308729E-3</v>
      </c>
      <c r="N31" s="408">
        <f t="shared" si="56"/>
        <v>-2.8473473182636993E-3</v>
      </c>
      <c r="O31" s="413">
        <f>IFERROR(O24/O$19,"N/A")</f>
        <v>-4.2760314788700361E-3</v>
      </c>
      <c r="P31" s="408">
        <f t="shared" ref="P31:S31" si="57">IFERROR(P24/P$19,"N/A")</f>
        <v>-4.0077798078623208E-3</v>
      </c>
      <c r="Q31" s="408">
        <f t="shared" si="57"/>
        <v>-4.1442652329749105E-3</v>
      </c>
      <c r="R31" s="408">
        <f t="shared" si="57"/>
        <v>-1.0311516335612721E-3</v>
      </c>
      <c r="S31" s="408">
        <f t="shared" si="57"/>
        <v>-5.7428872497365651E-3</v>
      </c>
      <c r="T31" s="413">
        <f>IFERROR(T24/T$19,"N/A")</f>
        <v>-3.7381107311467692E-3</v>
      </c>
      <c r="U31" s="408">
        <f t="shared" ref="U31" si="58">IFERROR(U24/U$19,"N/A")</f>
        <v>-3.5956006768189507E-3</v>
      </c>
      <c r="V31" s="314">
        <f t="shared" ref="V31:X31" si="59">IFERROR(V24/V$19,"N/A")</f>
        <v>0</v>
      </c>
      <c r="W31" s="314">
        <f t="shared" si="59"/>
        <v>0</v>
      </c>
      <c r="X31" s="314">
        <f t="shared" si="59"/>
        <v>0</v>
      </c>
      <c r="Y31" s="413">
        <f>IFERROR(Y24/Y$19,"N/A")</f>
        <v>-7.7222670897556336E-4</v>
      </c>
      <c r="Z31" s="409">
        <f t="shared" ref="Z31:AC31" si="60">IFERROR(Z24/Z$19,"N/A")</f>
        <v>0</v>
      </c>
      <c r="AA31" s="409">
        <f t="shared" si="60"/>
        <v>0</v>
      </c>
      <c r="AB31" s="409">
        <f t="shared" si="60"/>
        <v>0</v>
      </c>
      <c r="AC31" s="409">
        <f t="shared" si="60"/>
        <v>0</v>
      </c>
      <c r="AD31" s="413">
        <f>IFERROR(AD24/AD$19,"N/A")</f>
        <v>0</v>
      </c>
      <c r="AE31" s="413">
        <f t="shared" ref="AE31:AG31" si="61">IFERROR(AE24/AE$19,"N/A")</f>
        <v>0</v>
      </c>
      <c r="AF31" s="413">
        <f t="shared" si="61"/>
        <v>0</v>
      </c>
      <c r="AG31" s="413">
        <f t="shared" si="61"/>
        <v>0</v>
      </c>
    </row>
    <row r="32" spans="3:33" ht="14.25" hidden="1" customHeight="1" outlineLevel="1" x14ac:dyDescent="0.25">
      <c r="C32" s="410"/>
      <c r="D32" s="9"/>
      <c r="E32" s="9"/>
      <c r="F32" s="408"/>
      <c r="G32" s="408"/>
      <c r="H32" s="408"/>
      <c r="I32" s="408"/>
      <c r="J32" s="413"/>
      <c r="K32" s="408"/>
      <c r="L32" s="408"/>
      <c r="M32" s="408"/>
      <c r="N32" s="408"/>
      <c r="O32" s="413"/>
      <c r="P32" s="408"/>
      <c r="Q32" s="408"/>
      <c r="R32" s="408"/>
      <c r="S32" s="408"/>
      <c r="T32" s="413"/>
      <c r="U32" s="408"/>
      <c r="V32" s="409"/>
      <c r="W32" s="409"/>
      <c r="X32" s="409"/>
      <c r="Y32" s="413"/>
      <c r="Z32" s="409"/>
      <c r="AA32" s="409"/>
      <c r="AB32" s="409"/>
      <c r="AC32" s="409"/>
      <c r="AD32" s="413"/>
      <c r="AE32" s="413"/>
      <c r="AF32" s="413"/>
      <c r="AG32" s="413"/>
    </row>
    <row r="33" spans="3:37" ht="14.25" customHeight="1" collapsed="1" x14ac:dyDescent="0.25">
      <c r="C33" s="9" t="s">
        <v>423</v>
      </c>
      <c r="D33" s="9"/>
      <c r="E33" s="9"/>
      <c r="F33" s="252">
        <f>SUM(F34:F36)</f>
        <v>1949</v>
      </c>
      <c r="G33" s="252">
        <f>SUM(G34:G36)</f>
        <v>2216</v>
      </c>
      <c r="H33" s="252">
        <f>SUM(H34:H36)</f>
        <v>2823</v>
      </c>
      <c r="I33" s="252">
        <f>SUM(I34:I36)</f>
        <v>2279</v>
      </c>
      <c r="J33" s="227">
        <f t="shared" ref="J33:J36" si="62">SUM(F33:I33)</f>
        <v>9267</v>
      </c>
      <c r="K33" s="252">
        <f>SUM(K34:K36)</f>
        <v>2743</v>
      </c>
      <c r="L33" s="252">
        <f>SUM(L34:L36)</f>
        <v>2755</v>
      </c>
      <c r="M33" s="252">
        <f>SUM(M34:M36)</f>
        <v>3022</v>
      </c>
      <c r="N33" s="252">
        <f>SUM(N34:N36)</f>
        <v>2393</v>
      </c>
      <c r="O33" s="227">
        <f t="shared" ref="O33:O36" si="63">SUM(K33:N33)</f>
        <v>10913</v>
      </c>
      <c r="P33" s="252">
        <f>SUM(P34:P36)</f>
        <v>2949</v>
      </c>
      <c r="Q33" s="252">
        <f>SUM(Q34:Q36)</f>
        <v>3046</v>
      </c>
      <c r="R33" s="252">
        <f>SUM(R34:R36)</f>
        <v>3383</v>
      </c>
      <c r="S33" s="252">
        <f>SUM(S34:S36)</f>
        <v>2703</v>
      </c>
      <c r="T33" s="227">
        <f t="shared" ref="T33:T36" si="64">SUM(P33:S33)</f>
        <v>12081</v>
      </c>
      <c r="U33" s="252">
        <f>SUM(U34:U36)</f>
        <v>3778</v>
      </c>
      <c r="V33" s="226">
        <f>SUM(V34:V36)</f>
        <v>7007.4904000000006</v>
      </c>
      <c r="W33" s="226">
        <f>SUM(W34:W36)</f>
        <v>7368.4517759999999</v>
      </c>
      <c r="X33" s="226">
        <f>SUM(X34:X36)</f>
        <v>7773.7166236799994</v>
      </c>
      <c r="Y33" s="227">
        <f t="shared" ref="Y33:Y36" si="65">SUM(U33:X33)</f>
        <v>25927.658799680001</v>
      </c>
      <c r="Z33" s="226">
        <f>SUM(Z34:Z36)</f>
        <v>8016.6452681699993</v>
      </c>
      <c r="AA33" s="226">
        <f>SUM(AA34:AA36)</f>
        <v>8612.1216786896675</v>
      </c>
      <c r="AB33" s="226">
        <f>SUM(AB34:AB36)</f>
        <v>8807.6957566519432</v>
      </c>
      <c r="AC33" s="226">
        <f>SUM(AC34:AC36)</f>
        <v>9415.1934474170412</v>
      </c>
      <c r="AD33" s="227">
        <f t="shared" ref="AD33:AD36" si="66">SUM(Z33:AC33)</f>
        <v>34851.656150928648</v>
      </c>
      <c r="AE33" s="227">
        <f>SUM(AE34:AE36)</f>
        <v>38474.396951457828</v>
      </c>
      <c r="AF33" s="227">
        <f>SUM(AF34:AF36)</f>
        <v>41305.717957885623</v>
      </c>
      <c r="AG33" s="227">
        <f>SUM(AG34:AG36)</f>
        <v>44338.289656059511</v>
      </c>
    </row>
    <row r="34" spans="3:37" ht="14.25" customHeight="1" x14ac:dyDescent="0.25">
      <c r="C34" s="103" t="str">
        <f>C14&amp;" Operating Income"</f>
        <v>Discount Operating Income</v>
      </c>
      <c r="D34" s="9"/>
      <c r="E34" s="9"/>
      <c r="F34" s="403">
        <v>1130</v>
      </c>
      <c r="G34" s="403">
        <v>1250</v>
      </c>
      <c r="H34" s="403">
        <v>1584</v>
      </c>
      <c r="I34" s="403">
        <f>5433-SUM(F34:H34)</f>
        <v>1469</v>
      </c>
      <c r="J34" s="404">
        <f t="shared" si="62"/>
        <v>5433</v>
      </c>
      <c r="K34" s="403">
        <v>1613</v>
      </c>
      <c r="L34" s="403">
        <v>1560</v>
      </c>
      <c r="M34" s="403">
        <v>1659</v>
      </c>
      <c r="N34" s="403">
        <f>6377-SUM(K34:M34)</f>
        <v>1545</v>
      </c>
      <c r="O34" s="404">
        <f t="shared" si="63"/>
        <v>6377</v>
      </c>
      <c r="P34" s="403">
        <v>1732</v>
      </c>
      <c r="Q34" s="403">
        <v>1676</v>
      </c>
      <c r="R34" s="403">
        <v>1852</v>
      </c>
      <c r="S34" s="403">
        <f>6810-SUM(P34:R34)</f>
        <v>1550</v>
      </c>
      <c r="T34" s="404">
        <f t="shared" si="64"/>
        <v>6810</v>
      </c>
      <c r="U34" s="403">
        <v>2166</v>
      </c>
      <c r="V34" s="414">
        <f>V8*Drivers!V$7</f>
        <v>7007.4904000000006</v>
      </c>
      <c r="W34" s="414">
        <f>W8*Drivers!W$7</f>
        <v>7368.4517759999999</v>
      </c>
      <c r="X34" s="414">
        <f>X8*Drivers!X$7</f>
        <v>7773.7166236799994</v>
      </c>
      <c r="Y34" s="404">
        <f t="shared" si="65"/>
        <v>24315.658799680001</v>
      </c>
      <c r="Z34" s="414">
        <f>Z8*Drivers!Z$7</f>
        <v>8016.6452681699993</v>
      </c>
      <c r="AA34" s="414">
        <f>AA8*Drivers!AA$7</f>
        <v>8612.1216786896675</v>
      </c>
      <c r="AB34" s="414">
        <f>AB8*Drivers!AB$7</f>
        <v>8807.6957566519432</v>
      </c>
      <c r="AC34" s="414">
        <f>AC8*Drivers!AC$7</f>
        <v>9415.1934474170412</v>
      </c>
      <c r="AD34" s="404">
        <f t="shared" si="66"/>
        <v>34851.656150928648</v>
      </c>
      <c r="AE34" s="404">
        <f>AE8*Drivers!AE$7</f>
        <v>38474.396951457828</v>
      </c>
      <c r="AF34" s="404">
        <f>AF8*Drivers!AF$7</f>
        <v>41305.717957885623</v>
      </c>
      <c r="AG34" s="404">
        <f>AG8*Drivers!AG$7</f>
        <v>44338.289656059511</v>
      </c>
      <c r="AJ34" s="925"/>
      <c r="AK34" s="926"/>
    </row>
    <row r="35" spans="3:37" ht="14.25" customHeight="1" x14ac:dyDescent="0.25">
      <c r="C35" s="103" t="str">
        <f>C15&amp;" Operating Income"</f>
        <v>Net Card Fees Operating Income</v>
      </c>
      <c r="D35" s="9"/>
      <c r="E35" s="9"/>
      <c r="F35" s="403">
        <v>630</v>
      </c>
      <c r="G35" s="403">
        <v>713</v>
      </c>
      <c r="H35" s="403">
        <v>852</v>
      </c>
      <c r="I35" s="403">
        <f>2861-SUM(F35:H35)</f>
        <v>666</v>
      </c>
      <c r="J35" s="404">
        <f t="shared" si="62"/>
        <v>2861</v>
      </c>
      <c r="K35" s="403">
        <v>878</v>
      </c>
      <c r="L35" s="403">
        <v>905</v>
      </c>
      <c r="M35" s="403">
        <v>908</v>
      </c>
      <c r="N35" s="403">
        <f>3505-SUM(K35:M35)</f>
        <v>814</v>
      </c>
      <c r="O35" s="404">
        <f t="shared" si="63"/>
        <v>3505</v>
      </c>
      <c r="P35" s="403">
        <v>836</v>
      </c>
      <c r="Q35" s="403">
        <v>905</v>
      </c>
      <c r="R35" s="403">
        <v>1090</v>
      </c>
      <c r="S35" s="403">
        <f>3668-SUM(P35:R35)</f>
        <v>837</v>
      </c>
      <c r="T35" s="404">
        <f t="shared" si="64"/>
        <v>3668</v>
      </c>
      <c r="U35" s="403">
        <v>1170</v>
      </c>
      <c r="V35" s="414">
        <f>V9*Drivers!V$12</f>
        <v>0</v>
      </c>
      <c r="W35" s="414">
        <f>W9*Drivers!W$12</f>
        <v>0</v>
      </c>
      <c r="X35" s="414">
        <f>X9*Drivers!X$12</f>
        <v>0</v>
      </c>
      <c r="Y35" s="404">
        <f t="shared" si="65"/>
        <v>1170</v>
      </c>
      <c r="Z35" s="414">
        <f>Z9*Drivers!Z$12</f>
        <v>0</v>
      </c>
      <c r="AA35" s="414">
        <f>AA9*Drivers!AA$12</f>
        <v>0</v>
      </c>
      <c r="AB35" s="414">
        <f>AB9*Drivers!AB$12</f>
        <v>0</v>
      </c>
      <c r="AC35" s="414">
        <f>AC9*Drivers!AC$12</f>
        <v>0</v>
      </c>
      <c r="AD35" s="404">
        <f t="shared" si="66"/>
        <v>0</v>
      </c>
      <c r="AE35" s="404">
        <f>AE9*Drivers!AE$12</f>
        <v>0</v>
      </c>
      <c r="AF35" s="404">
        <f>AF9*Drivers!AF$12</f>
        <v>0</v>
      </c>
      <c r="AG35" s="404">
        <f>AG9*Drivers!AG$12</f>
        <v>0</v>
      </c>
      <c r="AJ35" s="925"/>
      <c r="AK35" s="926"/>
    </row>
    <row r="36" spans="3:37" ht="14.25" customHeight="1" x14ac:dyDescent="0.25">
      <c r="C36" s="103" t="str">
        <f>C16&amp;" Operating Income"</f>
        <v>Service Fees and Other Operating Income</v>
      </c>
      <c r="D36" s="9"/>
      <c r="E36" s="9"/>
      <c r="F36" s="403">
        <v>189</v>
      </c>
      <c r="G36" s="403">
        <v>253</v>
      </c>
      <c r="H36" s="403">
        <v>387</v>
      </c>
      <c r="I36" s="403">
        <f>973-SUM(F36:H36)</f>
        <v>144</v>
      </c>
      <c r="J36" s="404">
        <f t="shared" si="62"/>
        <v>973</v>
      </c>
      <c r="K36" s="403">
        <v>252</v>
      </c>
      <c r="L36" s="403">
        <v>290</v>
      </c>
      <c r="M36" s="403">
        <v>455</v>
      </c>
      <c r="N36" s="403">
        <f>1031-SUM(K36:M36)</f>
        <v>34</v>
      </c>
      <c r="O36" s="404">
        <f t="shared" si="63"/>
        <v>1031</v>
      </c>
      <c r="P36" s="403">
        <v>381</v>
      </c>
      <c r="Q36" s="403">
        <v>465</v>
      </c>
      <c r="R36" s="403">
        <v>441</v>
      </c>
      <c r="S36" s="403">
        <f>1603-SUM(P36:R36)</f>
        <v>316</v>
      </c>
      <c r="T36" s="404">
        <f t="shared" si="64"/>
        <v>1603</v>
      </c>
      <c r="U36" s="403">
        <v>442</v>
      </c>
      <c r="V36" s="414">
        <f>V10*Drivers!V$17</f>
        <v>0</v>
      </c>
      <c r="W36" s="414">
        <f>W10*Drivers!W$17</f>
        <v>0</v>
      </c>
      <c r="X36" s="414">
        <f>X10*Drivers!X$17</f>
        <v>0</v>
      </c>
      <c r="Y36" s="404">
        <f t="shared" si="65"/>
        <v>442</v>
      </c>
      <c r="Z36" s="414">
        <f>Z10*Drivers!Z$17</f>
        <v>0</v>
      </c>
      <c r="AA36" s="414">
        <f>AA10*Drivers!AA$17</f>
        <v>0</v>
      </c>
      <c r="AB36" s="414">
        <f>AB10*Drivers!AB$17</f>
        <v>0</v>
      </c>
      <c r="AC36" s="414">
        <f>AC10*Drivers!AC$17</f>
        <v>0</v>
      </c>
      <c r="AD36" s="404">
        <f t="shared" si="66"/>
        <v>0</v>
      </c>
      <c r="AE36" s="404">
        <f>AE10*Drivers!AE$17</f>
        <v>0</v>
      </c>
      <c r="AF36" s="404">
        <f>AF10*Drivers!AF$17</f>
        <v>0</v>
      </c>
      <c r="AG36" s="404">
        <f>AG10*Drivers!AG$17</f>
        <v>0</v>
      </c>
      <c r="AJ36" s="925"/>
      <c r="AK36" s="926"/>
    </row>
    <row r="37" spans="3:37" ht="14.25" customHeight="1" x14ac:dyDescent="0.25">
      <c r="C37" s="103"/>
      <c r="D37" s="9"/>
      <c r="E37" s="9"/>
      <c r="F37" s="415"/>
      <c r="G37" s="415"/>
      <c r="H37" s="415"/>
      <c r="I37" s="415"/>
      <c r="J37" s="132"/>
      <c r="K37" s="415"/>
      <c r="L37" s="415"/>
      <c r="M37" s="415"/>
      <c r="N37" s="415"/>
      <c r="O37" s="132"/>
      <c r="P37" s="415"/>
      <c r="Q37" s="415"/>
      <c r="R37" s="415"/>
      <c r="S37" s="415"/>
      <c r="T37" s="132"/>
      <c r="U37" s="415"/>
      <c r="V37" s="416"/>
      <c r="W37" s="416"/>
      <c r="X37" s="416"/>
      <c r="Y37" s="132"/>
      <c r="Z37" s="416"/>
      <c r="AA37" s="416"/>
      <c r="AB37" s="416"/>
      <c r="AC37" s="416"/>
      <c r="AD37" s="132"/>
      <c r="AE37" s="132"/>
      <c r="AF37" s="132"/>
      <c r="AG37" s="132"/>
    </row>
    <row r="38" spans="3:37" ht="14.25" customHeight="1" x14ac:dyDescent="0.25">
      <c r="C38" s="84" t="s">
        <v>424</v>
      </c>
      <c r="D38" s="9"/>
      <c r="E38" s="9"/>
      <c r="F38" s="417">
        <f t="shared" ref="F38:AG38" si="67">F33-SUM(F34:F36)</f>
        <v>0</v>
      </c>
      <c r="G38" s="417">
        <f t="shared" si="67"/>
        <v>0</v>
      </c>
      <c r="H38" s="417">
        <f t="shared" si="67"/>
        <v>0</v>
      </c>
      <c r="I38" s="417">
        <f t="shared" si="67"/>
        <v>0</v>
      </c>
      <c r="J38" s="418">
        <f t="shared" si="67"/>
        <v>0</v>
      </c>
      <c r="K38" s="417">
        <f t="shared" si="67"/>
        <v>0</v>
      </c>
      <c r="L38" s="417">
        <f t="shared" si="67"/>
        <v>0</v>
      </c>
      <c r="M38" s="417">
        <f t="shared" si="67"/>
        <v>0</v>
      </c>
      <c r="N38" s="417">
        <f t="shared" si="67"/>
        <v>0</v>
      </c>
      <c r="O38" s="418">
        <f t="shared" si="67"/>
        <v>0</v>
      </c>
      <c r="P38" s="417">
        <f t="shared" si="67"/>
        <v>0</v>
      </c>
      <c r="Q38" s="417">
        <f t="shared" si="67"/>
        <v>0</v>
      </c>
      <c r="R38" s="417">
        <f t="shared" si="67"/>
        <v>0</v>
      </c>
      <c r="S38" s="417">
        <f t="shared" si="67"/>
        <v>0</v>
      </c>
      <c r="T38" s="418">
        <f t="shared" si="67"/>
        <v>0</v>
      </c>
      <c r="U38" s="417">
        <f t="shared" ref="U38" si="68">U33-SUM(U34:U36)</f>
        <v>0</v>
      </c>
      <c r="V38" s="419">
        <f t="shared" si="67"/>
        <v>0</v>
      </c>
      <c r="W38" s="419">
        <f t="shared" si="67"/>
        <v>0</v>
      </c>
      <c r="X38" s="419">
        <f t="shared" si="67"/>
        <v>0</v>
      </c>
      <c r="Y38" s="418">
        <f t="shared" si="67"/>
        <v>0</v>
      </c>
      <c r="Z38" s="419">
        <f t="shared" si="67"/>
        <v>0</v>
      </c>
      <c r="AA38" s="419">
        <f t="shared" si="67"/>
        <v>0</v>
      </c>
      <c r="AB38" s="419">
        <f t="shared" si="67"/>
        <v>0</v>
      </c>
      <c r="AC38" s="419">
        <f t="shared" si="67"/>
        <v>0</v>
      </c>
      <c r="AD38" s="418">
        <f t="shared" si="67"/>
        <v>0</v>
      </c>
      <c r="AE38" s="418">
        <f t="shared" si="67"/>
        <v>0</v>
      </c>
      <c r="AF38" s="418">
        <f t="shared" si="67"/>
        <v>0</v>
      </c>
      <c r="AG38" s="418">
        <f t="shared" si="67"/>
        <v>0</v>
      </c>
    </row>
    <row r="39" spans="3:37" ht="14.25" customHeight="1" x14ac:dyDescent="0.25">
      <c r="C39" s="9"/>
      <c r="D39" s="9"/>
      <c r="E39" s="9"/>
      <c r="F39" s="254"/>
      <c r="G39" s="254"/>
      <c r="H39" s="254"/>
      <c r="I39" s="254"/>
      <c r="J39" s="132"/>
      <c r="K39" s="254"/>
      <c r="L39" s="254"/>
      <c r="M39" s="254"/>
      <c r="N39" s="254"/>
      <c r="O39" s="132"/>
      <c r="P39" s="254"/>
      <c r="Q39" s="254"/>
      <c r="R39" s="254"/>
      <c r="S39" s="254"/>
      <c r="T39" s="132"/>
      <c r="U39" s="254"/>
      <c r="V39" s="257"/>
      <c r="W39" s="257"/>
      <c r="X39" s="257"/>
      <c r="Y39" s="132"/>
      <c r="Z39" s="257"/>
      <c r="AA39" s="257"/>
      <c r="AB39" s="257"/>
      <c r="AC39" s="257"/>
      <c r="AD39" s="132"/>
      <c r="AE39" s="132"/>
      <c r="AF39" s="132"/>
      <c r="AG39" s="132"/>
    </row>
    <row r="40" spans="3:37" ht="14.25" customHeight="1" x14ac:dyDescent="0.25">
      <c r="C40" s="9" t="s">
        <v>425</v>
      </c>
      <c r="D40" s="9"/>
      <c r="E40" s="9"/>
      <c r="F40" s="408"/>
      <c r="G40" s="408"/>
      <c r="H40" s="408"/>
      <c r="I40" s="408"/>
      <c r="J40" s="132"/>
      <c r="K40" s="408"/>
      <c r="L40" s="408"/>
      <c r="M40" s="408"/>
      <c r="N40" s="408"/>
      <c r="O40" s="132"/>
      <c r="P40" s="408"/>
      <c r="Q40" s="408"/>
      <c r="R40" s="408"/>
      <c r="S40" s="408"/>
      <c r="T40" s="132"/>
      <c r="U40" s="408"/>
      <c r="V40" s="409"/>
      <c r="W40" s="409"/>
      <c r="X40" s="409"/>
      <c r="Y40" s="132"/>
      <c r="Z40" s="409"/>
      <c r="AA40" s="409"/>
      <c r="AB40" s="409"/>
      <c r="AC40" s="409"/>
      <c r="AD40" s="132"/>
      <c r="AE40" s="132"/>
      <c r="AF40" s="132"/>
      <c r="AG40" s="132"/>
    </row>
    <row r="41" spans="3:37" ht="14.25" customHeight="1" x14ac:dyDescent="0.25">
      <c r="C41" s="103" t="str">
        <f>C14</f>
        <v>Discount</v>
      </c>
      <c r="D41" s="9"/>
      <c r="E41" s="9"/>
      <c r="F41" s="312">
        <f t="shared" ref="F41:AG41" si="69">IFERROR(F34/F$33,"N/A")</f>
        <v>0.57978450487429456</v>
      </c>
      <c r="G41" s="312">
        <f t="shared" si="69"/>
        <v>0.5640794223826715</v>
      </c>
      <c r="H41" s="312">
        <f t="shared" si="69"/>
        <v>0.56110520722635493</v>
      </c>
      <c r="I41" s="312">
        <f t="shared" si="69"/>
        <v>0.64458095655989467</v>
      </c>
      <c r="J41" s="313">
        <f t="shared" si="69"/>
        <v>0.58627387504046613</v>
      </c>
      <c r="K41" s="312">
        <f t="shared" si="69"/>
        <v>0.58804228946409043</v>
      </c>
      <c r="L41" s="312">
        <f t="shared" si="69"/>
        <v>0.56624319419237745</v>
      </c>
      <c r="M41" s="312">
        <f t="shared" si="69"/>
        <v>0.5489741892786234</v>
      </c>
      <c r="N41" s="312">
        <f t="shared" si="69"/>
        <v>0.64563309653155032</v>
      </c>
      <c r="O41" s="313">
        <f t="shared" si="69"/>
        <v>0.58434894162924955</v>
      </c>
      <c r="P41" s="312">
        <f t="shared" si="69"/>
        <v>0.58731773482536453</v>
      </c>
      <c r="Q41" s="312">
        <f t="shared" si="69"/>
        <v>0.55022980958634271</v>
      </c>
      <c r="R41" s="312">
        <f t="shared" si="69"/>
        <v>0.54744309784215195</v>
      </c>
      <c r="S41" s="312">
        <f t="shared" si="69"/>
        <v>0.57343692193858675</v>
      </c>
      <c r="T41" s="313">
        <f t="shared" si="69"/>
        <v>0.56369505835609635</v>
      </c>
      <c r="U41" s="312">
        <f t="shared" ref="U41" si="70">IFERROR(U34/U$33,"N/A")</f>
        <v>0.5733192165166755</v>
      </c>
      <c r="V41" s="314">
        <f t="shared" si="69"/>
        <v>1</v>
      </c>
      <c r="W41" s="314">
        <f t="shared" si="69"/>
        <v>1</v>
      </c>
      <c r="X41" s="314">
        <f t="shared" si="69"/>
        <v>1</v>
      </c>
      <c r="Y41" s="313">
        <f t="shared" si="69"/>
        <v>0.93782701274903013</v>
      </c>
      <c r="Z41" s="314">
        <f t="shared" si="69"/>
        <v>1</v>
      </c>
      <c r="AA41" s="314">
        <f t="shared" si="69"/>
        <v>1</v>
      </c>
      <c r="AB41" s="314">
        <f t="shared" si="69"/>
        <v>1</v>
      </c>
      <c r="AC41" s="314">
        <f t="shared" si="69"/>
        <v>1</v>
      </c>
      <c r="AD41" s="313">
        <f t="shared" si="69"/>
        <v>1</v>
      </c>
      <c r="AE41" s="313">
        <f t="shared" si="69"/>
        <v>1</v>
      </c>
      <c r="AF41" s="313">
        <f t="shared" si="69"/>
        <v>1</v>
      </c>
      <c r="AG41" s="313">
        <f t="shared" si="69"/>
        <v>1</v>
      </c>
    </row>
    <row r="42" spans="3:37" ht="14.25" customHeight="1" x14ac:dyDescent="0.25">
      <c r="C42" s="103" t="str">
        <f>C15</f>
        <v>Net Card Fees</v>
      </c>
      <c r="D42" s="9"/>
      <c r="E42" s="9"/>
      <c r="F42" s="312">
        <f t="shared" ref="F42:AG42" si="71">IFERROR(F35/F$33,"N/A")</f>
        <v>0.32324268855823501</v>
      </c>
      <c r="G42" s="312">
        <f t="shared" si="71"/>
        <v>0.32175090252707583</v>
      </c>
      <c r="H42" s="312">
        <f t="shared" si="71"/>
        <v>0.3018065887353879</v>
      </c>
      <c r="I42" s="312">
        <f t="shared" si="71"/>
        <v>0.29223343571741994</v>
      </c>
      <c r="J42" s="313">
        <f t="shared" si="71"/>
        <v>0.30872990180209348</v>
      </c>
      <c r="K42" s="312">
        <f t="shared" si="71"/>
        <v>0.32008749544294568</v>
      </c>
      <c r="L42" s="312">
        <f t="shared" si="71"/>
        <v>0.32849364791288566</v>
      </c>
      <c r="M42" s="312">
        <f t="shared" si="71"/>
        <v>0.30046326935804102</v>
      </c>
      <c r="N42" s="312">
        <f t="shared" si="71"/>
        <v>0.34015879648976183</v>
      </c>
      <c r="O42" s="313">
        <f t="shared" si="71"/>
        <v>0.32117657839274261</v>
      </c>
      <c r="P42" s="312">
        <f t="shared" si="71"/>
        <v>0.28348592743302814</v>
      </c>
      <c r="Q42" s="312">
        <f t="shared" si="71"/>
        <v>0.29711096520026264</v>
      </c>
      <c r="R42" s="312">
        <f t="shared" si="71"/>
        <v>0.32219923145137452</v>
      </c>
      <c r="S42" s="312">
        <f t="shared" si="71"/>
        <v>0.30965593784683687</v>
      </c>
      <c r="T42" s="313">
        <f t="shared" si="71"/>
        <v>0.30361725022763014</v>
      </c>
      <c r="U42" s="312">
        <f t="shared" ref="U42" si="72">IFERROR(U35/U$33,"N/A")</f>
        <v>0.30968766543144521</v>
      </c>
      <c r="V42" s="314">
        <f t="shared" si="71"/>
        <v>0</v>
      </c>
      <c r="W42" s="314">
        <f t="shared" si="71"/>
        <v>0</v>
      </c>
      <c r="X42" s="314">
        <f t="shared" si="71"/>
        <v>0</v>
      </c>
      <c r="Y42" s="313">
        <f t="shared" si="71"/>
        <v>4.5125555262800675E-2</v>
      </c>
      <c r="Z42" s="314">
        <f t="shared" si="71"/>
        <v>0</v>
      </c>
      <c r="AA42" s="314">
        <f t="shared" si="71"/>
        <v>0</v>
      </c>
      <c r="AB42" s="314">
        <f t="shared" si="71"/>
        <v>0</v>
      </c>
      <c r="AC42" s="314">
        <f t="shared" si="71"/>
        <v>0</v>
      </c>
      <c r="AD42" s="313">
        <f t="shared" si="71"/>
        <v>0</v>
      </c>
      <c r="AE42" s="313">
        <f t="shared" si="71"/>
        <v>0</v>
      </c>
      <c r="AF42" s="313">
        <f t="shared" si="71"/>
        <v>0</v>
      </c>
      <c r="AG42" s="313">
        <f t="shared" si="71"/>
        <v>0</v>
      </c>
    </row>
    <row r="43" spans="3:37" ht="14.25" customHeight="1" x14ac:dyDescent="0.25">
      <c r="C43" s="103" t="str">
        <f>C16</f>
        <v>Service Fees and Other</v>
      </c>
      <c r="D43" s="9"/>
      <c r="E43" s="9"/>
      <c r="F43" s="312">
        <f t="shared" ref="F43:AG43" si="73">IFERROR(F36/F$33,"N/A")</f>
        <v>9.6972806567470496E-2</v>
      </c>
      <c r="G43" s="312">
        <f t="shared" si="73"/>
        <v>0.11416967509025271</v>
      </c>
      <c r="H43" s="312">
        <f t="shared" si="73"/>
        <v>0.13708820403825717</v>
      </c>
      <c r="I43" s="312">
        <f t="shared" si="73"/>
        <v>6.3185607722685388E-2</v>
      </c>
      <c r="J43" s="313">
        <f t="shared" si="73"/>
        <v>0.10499622315744038</v>
      </c>
      <c r="K43" s="312">
        <f t="shared" si="73"/>
        <v>9.1870215092963906E-2</v>
      </c>
      <c r="L43" s="312">
        <f t="shared" si="73"/>
        <v>0.10526315789473684</v>
      </c>
      <c r="M43" s="312">
        <f t="shared" si="73"/>
        <v>0.15056254136333555</v>
      </c>
      <c r="N43" s="312">
        <f t="shared" si="73"/>
        <v>1.4208106978687839E-2</v>
      </c>
      <c r="O43" s="313">
        <f t="shared" si="73"/>
        <v>9.4474479978007883E-2</v>
      </c>
      <c r="P43" s="312">
        <f t="shared" si="73"/>
        <v>0.12919633774160733</v>
      </c>
      <c r="Q43" s="312">
        <f t="shared" si="73"/>
        <v>0.15265922521339462</v>
      </c>
      <c r="R43" s="312">
        <f t="shared" si="73"/>
        <v>0.13035767070647356</v>
      </c>
      <c r="S43" s="312">
        <f t="shared" si="73"/>
        <v>0.11690714021457639</v>
      </c>
      <c r="T43" s="313">
        <f t="shared" si="73"/>
        <v>0.13268769141627348</v>
      </c>
      <c r="U43" s="312">
        <f t="shared" ref="U43" si="74">IFERROR(U36/U$33,"N/A")</f>
        <v>0.1169931180518793</v>
      </c>
      <c r="V43" s="314">
        <f t="shared" si="73"/>
        <v>0</v>
      </c>
      <c r="W43" s="314">
        <f t="shared" si="73"/>
        <v>0</v>
      </c>
      <c r="X43" s="314">
        <f t="shared" si="73"/>
        <v>0</v>
      </c>
      <c r="Y43" s="313">
        <f t="shared" si="73"/>
        <v>1.7047431988169142E-2</v>
      </c>
      <c r="Z43" s="314">
        <f t="shared" si="73"/>
        <v>0</v>
      </c>
      <c r="AA43" s="314">
        <f t="shared" si="73"/>
        <v>0</v>
      </c>
      <c r="AB43" s="314">
        <f t="shared" si="73"/>
        <v>0</v>
      </c>
      <c r="AC43" s="314">
        <f t="shared" si="73"/>
        <v>0</v>
      </c>
      <c r="AD43" s="313">
        <f t="shared" si="73"/>
        <v>0</v>
      </c>
      <c r="AE43" s="313">
        <f t="shared" si="73"/>
        <v>0</v>
      </c>
      <c r="AF43" s="313">
        <f t="shared" si="73"/>
        <v>0</v>
      </c>
      <c r="AG43" s="313">
        <f t="shared" si="73"/>
        <v>0</v>
      </c>
    </row>
    <row r="44" spans="3:37" ht="14.25" customHeight="1" x14ac:dyDescent="0.25">
      <c r="C44" s="103"/>
      <c r="D44" s="9"/>
      <c r="E44" s="9"/>
      <c r="F44" s="312"/>
      <c r="G44" s="312"/>
      <c r="H44" s="312"/>
      <c r="I44" s="312"/>
      <c r="J44" s="313"/>
      <c r="K44" s="312"/>
      <c r="L44" s="312"/>
      <c r="M44" s="312"/>
      <c r="N44" s="312"/>
      <c r="O44" s="313"/>
      <c r="P44" s="312"/>
      <c r="Q44" s="312"/>
      <c r="R44" s="312"/>
      <c r="S44" s="312"/>
      <c r="T44" s="313"/>
      <c r="U44" s="312"/>
      <c r="V44" s="314"/>
      <c r="W44" s="314"/>
      <c r="X44" s="314"/>
      <c r="Y44" s="313"/>
      <c r="Z44" s="314"/>
      <c r="AA44" s="314"/>
      <c r="AB44" s="314"/>
      <c r="AC44" s="314"/>
      <c r="AD44" s="313"/>
      <c r="AE44" s="313"/>
      <c r="AF44" s="313"/>
      <c r="AG44" s="313"/>
    </row>
    <row r="45" spans="3:37" ht="14.25" customHeight="1" x14ac:dyDescent="0.25">
      <c r="C45" s="9" t="s">
        <v>426</v>
      </c>
      <c r="D45" s="9"/>
      <c r="E45" s="9"/>
      <c r="F45" s="252">
        <f t="shared" ref="F45:T45" si="75">SUM(F46:F48)</f>
        <v>412.75</v>
      </c>
      <c r="G45" s="252">
        <f t="shared" si="75"/>
        <v>412.75</v>
      </c>
      <c r="H45" s="252">
        <f t="shared" si="75"/>
        <v>412.75</v>
      </c>
      <c r="I45" s="252">
        <f t="shared" si="75"/>
        <v>412.75</v>
      </c>
      <c r="J45" s="227">
        <f t="shared" si="75"/>
        <v>1651</v>
      </c>
      <c r="K45" s="252">
        <f t="shared" si="75"/>
        <v>419</v>
      </c>
      <c r="L45" s="252">
        <f t="shared" si="75"/>
        <v>419</v>
      </c>
      <c r="M45" s="252">
        <f t="shared" si="75"/>
        <v>419</v>
      </c>
      <c r="N45" s="252">
        <f t="shared" si="75"/>
        <v>419</v>
      </c>
      <c r="O45" s="227">
        <f t="shared" si="75"/>
        <v>1676</v>
      </c>
      <c r="P45" s="252">
        <f t="shared" si="75"/>
        <v>444.25</v>
      </c>
      <c r="Q45" s="252">
        <f t="shared" si="75"/>
        <v>444.25</v>
      </c>
      <c r="R45" s="252">
        <f t="shared" si="75"/>
        <v>444.25</v>
      </c>
      <c r="S45" s="252">
        <f t="shared" si="75"/>
        <v>444.25</v>
      </c>
      <c r="T45" s="227">
        <f t="shared" si="75"/>
        <v>1777</v>
      </c>
      <c r="U45" s="252">
        <f t="shared" ref="U45" si="76">SUM(U46:U48)</f>
        <v>468</v>
      </c>
      <c r="V45" s="420">
        <f>Model!V76</f>
        <v>568.95935114101576</v>
      </c>
      <c r="W45" s="420">
        <f>Model!W76</f>
        <v>573.76780703883969</v>
      </c>
      <c r="X45" s="420">
        <f>Model!X76</f>
        <v>574.28974124429658</v>
      </c>
      <c r="Y45" s="227">
        <f>SUM(Y46:Y48)</f>
        <v>2185.0168994241521</v>
      </c>
      <c r="Z45" s="420">
        <f>Model!Z76</f>
        <v>574.58995910846386</v>
      </c>
      <c r="AA45" s="420">
        <f>Model!AA76</f>
        <v>578.36971186666483</v>
      </c>
      <c r="AB45" s="420">
        <f>Model!AB76</f>
        <v>580.3130817961229</v>
      </c>
      <c r="AC45" s="420">
        <f>Model!AC76</f>
        <v>581.30234087905876</v>
      </c>
      <c r="AD45" s="227">
        <f>SUM(AD46:AD48)</f>
        <v>2314.57509365031</v>
      </c>
      <c r="AE45" s="225">
        <f>Model!AE76</f>
        <v>2352.1884470558657</v>
      </c>
      <c r="AF45" s="225">
        <f>Model!AF76</f>
        <v>2344.2727434071144</v>
      </c>
      <c r="AG45" s="225">
        <f>Model!AG76</f>
        <v>2557.6407939801302</v>
      </c>
    </row>
    <row r="46" spans="3:37" ht="14.25" customHeight="1" x14ac:dyDescent="0.25">
      <c r="C46" s="103" t="str">
        <f>C14&amp;" D&amp;A"</f>
        <v>Discount D&amp;A</v>
      </c>
      <c r="D46" s="9"/>
      <c r="E46" s="9"/>
      <c r="F46" s="403">
        <v>412.75</v>
      </c>
      <c r="G46" s="403">
        <v>412.75</v>
      </c>
      <c r="H46" s="403">
        <v>412.75</v>
      </c>
      <c r="I46" s="403">
        <v>412.75</v>
      </c>
      <c r="J46" s="421">
        <f t="shared" ref="J46:J48" si="77">SUM(F46:I46)</f>
        <v>1651</v>
      </c>
      <c r="K46" s="403">
        <v>419</v>
      </c>
      <c r="L46" s="403">
        <v>419</v>
      </c>
      <c r="M46" s="403">
        <v>419</v>
      </c>
      <c r="N46" s="403">
        <v>419</v>
      </c>
      <c r="O46" s="421">
        <f t="shared" ref="O46:O48" si="78">SUM(K46:N46)</f>
        <v>1676</v>
      </c>
      <c r="P46" s="403">
        <v>444.25</v>
      </c>
      <c r="Q46" s="403">
        <v>444.25</v>
      </c>
      <c r="R46" s="403">
        <v>444.25</v>
      </c>
      <c r="S46" s="403">
        <v>444.25</v>
      </c>
      <c r="T46" s="421">
        <f t="shared" ref="T46:T48" si="79">SUM(P46:S46)</f>
        <v>1777</v>
      </c>
      <c r="U46" s="403">
        <v>468</v>
      </c>
      <c r="V46" s="422">
        <f t="shared" ref="V46:X48" si="80">V53*V$45</f>
        <v>568.95935114101576</v>
      </c>
      <c r="W46" s="422">
        <f t="shared" si="80"/>
        <v>573.76780703883969</v>
      </c>
      <c r="X46" s="422">
        <f t="shared" si="80"/>
        <v>574.28974124429658</v>
      </c>
      <c r="Y46" s="404">
        <f t="shared" ref="Y46:Y48" si="81">SUM(U46:X46)</f>
        <v>2185.0168994241521</v>
      </c>
      <c r="Z46" s="422">
        <f t="shared" ref="Z46:AC48" si="82">Z53*Z$45</f>
        <v>574.58995910846386</v>
      </c>
      <c r="AA46" s="422">
        <f t="shared" si="82"/>
        <v>578.36971186666483</v>
      </c>
      <c r="AB46" s="422">
        <f t="shared" si="82"/>
        <v>580.3130817961229</v>
      </c>
      <c r="AC46" s="422">
        <f t="shared" si="82"/>
        <v>581.30234087905876</v>
      </c>
      <c r="AD46" s="404">
        <f t="shared" ref="AD46:AD48" si="83">SUM(Z46:AC46)</f>
        <v>2314.57509365031</v>
      </c>
      <c r="AE46" s="404">
        <f t="shared" ref="AE46:AG48" si="84">AE53*AE$45</f>
        <v>2352.1884470558657</v>
      </c>
      <c r="AF46" s="404">
        <f t="shared" si="84"/>
        <v>2344.2727434071144</v>
      </c>
      <c r="AG46" s="404">
        <f t="shared" si="84"/>
        <v>2557.6407939801302</v>
      </c>
    </row>
    <row r="47" spans="3:37" ht="14.25" customHeight="1" x14ac:dyDescent="0.25">
      <c r="C47" s="103" t="str">
        <f>C15&amp;" D&amp;A"</f>
        <v>Net Card Fees D&amp;A</v>
      </c>
      <c r="D47" s="9"/>
      <c r="E47" s="9"/>
      <c r="F47" s="403">
        <v>0</v>
      </c>
      <c r="G47" s="403">
        <v>0</v>
      </c>
      <c r="H47" s="403">
        <v>0</v>
      </c>
      <c r="I47" s="403">
        <v>0</v>
      </c>
      <c r="J47" s="421">
        <f t="shared" si="77"/>
        <v>0</v>
      </c>
      <c r="K47" s="403">
        <v>0</v>
      </c>
      <c r="L47" s="403">
        <v>0</v>
      </c>
      <c r="M47" s="403">
        <v>0</v>
      </c>
      <c r="N47" s="403">
        <v>0</v>
      </c>
      <c r="O47" s="421">
        <f t="shared" si="78"/>
        <v>0</v>
      </c>
      <c r="P47" s="403">
        <v>0</v>
      </c>
      <c r="Q47" s="403">
        <v>0</v>
      </c>
      <c r="R47" s="403">
        <v>0</v>
      </c>
      <c r="S47" s="403">
        <v>0</v>
      </c>
      <c r="T47" s="421">
        <f t="shared" si="79"/>
        <v>0</v>
      </c>
      <c r="U47" s="403">
        <v>0</v>
      </c>
      <c r="V47" s="422">
        <f t="shared" si="80"/>
        <v>0</v>
      </c>
      <c r="W47" s="422">
        <f t="shared" si="80"/>
        <v>0</v>
      </c>
      <c r="X47" s="422">
        <f t="shared" si="80"/>
        <v>0</v>
      </c>
      <c r="Y47" s="404">
        <f t="shared" si="81"/>
        <v>0</v>
      </c>
      <c r="Z47" s="422">
        <f t="shared" si="82"/>
        <v>0</v>
      </c>
      <c r="AA47" s="422">
        <f t="shared" si="82"/>
        <v>0</v>
      </c>
      <c r="AB47" s="422">
        <f t="shared" si="82"/>
        <v>0</v>
      </c>
      <c r="AC47" s="422">
        <f t="shared" si="82"/>
        <v>0</v>
      </c>
      <c r="AD47" s="404">
        <f t="shared" si="83"/>
        <v>0</v>
      </c>
      <c r="AE47" s="404">
        <f t="shared" si="84"/>
        <v>0</v>
      </c>
      <c r="AF47" s="404">
        <f t="shared" si="84"/>
        <v>0</v>
      </c>
      <c r="AG47" s="404">
        <f t="shared" si="84"/>
        <v>0</v>
      </c>
    </row>
    <row r="48" spans="3:37" ht="14.25" customHeight="1" x14ac:dyDescent="0.25">
      <c r="C48" s="103" t="str">
        <f>C16&amp;" D&amp;A"</f>
        <v>Service Fees and Other D&amp;A</v>
      </c>
      <c r="D48" s="9"/>
      <c r="E48" s="9"/>
      <c r="F48" s="403">
        <v>0</v>
      </c>
      <c r="G48" s="403">
        <v>0</v>
      </c>
      <c r="H48" s="403">
        <v>0</v>
      </c>
      <c r="I48" s="403">
        <v>0</v>
      </c>
      <c r="J48" s="421">
        <f t="shared" si="77"/>
        <v>0</v>
      </c>
      <c r="K48" s="403">
        <v>0</v>
      </c>
      <c r="L48" s="403">
        <v>0</v>
      </c>
      <c r="M48" s="403">
        <v>0</v>
      </c>
      <c r="N48" s="403">
        <v>0</v>
      </c>
      <c r="O48" s="421">
        <f t="shared" si="78"/>
        <v>0</v>
      </c>
      <c r="P48" s="403">
        <v>0</v>
      </c>
      <c r="Q48" s="403">
        <v>0</v>
      </c>
      <c r="R48" s="403">
        <v>0</v>
      </c>
      <c r="S48" s="403">
        <v>0</v>
      </c>
      <c r="T48" s="421">
        <f t="shared" si="79"/>
        <v>0</v>
      </c>
      <c r="U48" s="403">
        <v>0</v>
      </c>
      <c r="V48" s="422">
        <f t="shared" si="80"/>
        <v>0</v>
      </c>
      <c r="W48" s="422">
        <f t="shared" si="80"/>
        <v>0</v>
      </c>
      <c r="X48" s="422">
        <f t="shared" si="80"/>
        <v>0</v>
      </c>
      <c r="Y48" s="404">
        <f t="shared" si="81"/>
        <v>0</v>
      </c>
      <c r="Z48" s="422">
        <f t="shared" si="82"/>
        <v>0</v>
      </c>
      <c r="AA48" s="422">
        <f t="shared" si="82"/>
        <v>0</v>
      </c>
      <c r="AB48" s="422">
        <f t="shared" si="82"/>
        <v>0</v>
      </c>
      <c r="AC48" s="422">
        <f t="shared" si="82"/>
        <v>0</v>
      </c>
      <c r="AD48" s="404">
        <f t="shared" si="83"/>
        <v>0</v>
      </c>
      <c r="AE48" s="404">
        <f t="shared" si="84"/>
        <v>0</v>
      </c>
      <c r="AF48" s="404">
        <f t="shared" si="84"/>
        <v>0</v>
      </c>
      <c r="AG48" s="404">
        <f t="shared" si="84"/>
        <v>0</v>
      </c>
    </row>
    <row r="49" spans="3:33" ht="14.25" customHeight="1" x14ac:dyDescent="0.25">
      <c r="C49" s="103"/>
      <c r="D49" s="9"/>
      <c r="E49" s="9"/>
      <c r="F49" s="407"/>
      <c r="G49" s="407"/>
      <c r="H49" s="407"/>
      <c r="I49" s="407"/>
      <c r="J49" s="412"/>
      <c r="K49" s="407"/>
      <c r="L49" s="407"/>
      <c r="M49" s="407"/>
      <c r="N49" s="407"/>
      <c r="O49" s="404"/>
      <c r="P49" s="407"/>
      <c r="Q49" s="407"/>
      <c r="R49" s="407"/>
      <c r="S49" s="417"/>
      <c r="T49" s="313"/>
      <c r="U49" s="407"/>
      <c r="V49" s="419"/>
      <c r="W49" s="419"/>
      <c r="X49" s="314"/>
      <c r="Y49" s="404"/>
      <c r="Z49" s="419"/>
      <c r="AA49" s="419"/>
      <c r="AB49" s="419"/>
      <c r="AC49" s="314"/>
      <c r="AD49" s="313"/>
      <c r="AE49" s="313"/>
      <c r="AF49" s="313"/>
      <c r="AG49" s="313"/>
    </row>
    <row r="50" spans="3:33" ht="14.25" customHeight="1" x14ac:dyDescent="0.25">
      <c r="C50" s="84" t="s">
        <v>427</v>
      </c>
      <c r="D50" s="9"/>
      <c r="E50" s="9"/>
      <c r="F50" s="423">
        <f>F45-Model!F60</f>
        <v>0</v>
      </c>
      <c r="G50" s="423">
        <f>G45-Model!G60</f>
        <v>0</v>
      </c>
      <c r="H50" s="423">
        <f>H45-Model!H60</f>
        <v>0</v>
      </c>
      <c r="I50" s="423">
        <f>I45-Model!I60</f>
        <v>0</v>
      </c>
      <c r="J50" s="418">
        <f>J45-Model!J60</f>
        <v>0</v>
      </c>
      <c r="K50" s="423">
        <f>K45-Model!K60</f>
        <v>0</v>
      </c>
      <c r="L50" s="423">
        <f>L45-Model!L60</f>
        <v>0</v>
      </c>
      <c r="M50" s="423">
        <f>M45-Model!M60</f>
        <v>0</v>
      </c>
      <c r="N50" s="423">
        <f>N45-Model!N60</f>
        <v>0</v>
      </c>
      <c r="O50" s="418">
        <f>O45-Model!O60</f>
        <v>0</v>
      </c>
      <c r="P50" s="423">
        <f>P45-Model!P60</f>
        <v>0</v>
      </c>
      <c r="Q50" s="423">
        <f>Q45-Model!Q60</f>
        <v>0</v>
      </c>
      <c r="R50" s="423">
        <f>R45-Model!R60</f>
        <v>0</v>
      </c>
      <c r="S50" s="423">
        <f>S45-Model!S60</f>
        <v>0</v>
      </c>
      <c r="T50" s="418">
        <f>T45-Model!T60</f>
        <v>0</v>
      </c>
      <c r="U50" s="423">
        <f>U45-Model!U60</f>
        <v>0</v>
      </c>
      <c r="V50" s="424">
        <f t="shared" ref="V50:AG50" si="85">V45-SUM(V46:V48)</f>
        <v>0</v>
      </c>
      <c r="W50" s="424">
        <f t="shared" si="85"/>
        <v>0</v>
      </c>
      <c r="X50" s="424">
        <f t="shared" si="85"/>
        <v>0</v>
      </c>
      <c r="Y50" s="418">
        <f t="shared" si="85"/>
        <v>0</v>
      </c>
      <c r="Z50" s="424">
        <f t="shared" si="85"/>
        <v>0</v>
      </c>
      <c r="AA50" s="424">
        <f t="shared" si="85"/>
        <v>0</v>
      </c>
      <c r="AB50" s="424">
        <f t="shared" si="85"/>
        <v>0</v>
      </c>
      <c r="AC50" s="424">
        <f t="shared" si="85"/>
        <v>0</v>
      </c>
      <c r="AD50" s="418">
        <f t="shared" si="85"/>
        <v>0</v>
      </c>
      <c r="AE50" s="418">
        <f t="shared" si="85"/>
        <v>0</v>
      </c>
      <c r="AF50" s="418">
        <f t="shared" si="85"/>
        <v>0</v>
      </c>
      <c r="AG50" s="418">
        <f t="shared" si="85"/>
        <v>0</v>
      </c>
    </row>
    <row r="51" spans="3:33" ht="14.25" customHeight="1" x14ac:dyDescent="0.25">
      <c r="C51" s="103"/>
      <c r="D51" s="9"/>
      <c r="E51" s="9"/>
      <c r="F51" s="407"/>
      <c r="G51" s="407"/>
      <c r="H51" s="407"/>
      <c r="I51" s="407"/>
      <c r="J51" s="412"/>
      <c r="K51" s="407"/>
      <c r="L51" s="407"/>
      <c r="M51" s="407"/>
      <c r="N51" s="407"/>
      <c r="O51" s="404"/>
      <c r="P51" s="407"/>
      <c r="Q51" s="407"/>
      <c r="R51" s="407"/>
      <c r="S51" s="417"/>
      <c r="T51" s="313"/>
      <c r="U51" s="407"/>
      <c r="V51" s="419"/>
      <c r="W51" s="419"/>
      <c r="X51" s="314"/>
      <c r="Y51" s="404"/>
      <c r="Z51" s="419"/>
      <c r="AA51" s="419"/>
      <c r="AB51" s="419"/>
      <c r="AC51" s="314"/>
      <c r="AD51" s="313"/>
      <c r="AE51" s="313"/>
      <c r="AF51" s="313"/>
      <c r="AG51" s="313"/>
    </row>
    <row r="52" spans="3:33" ht="15" customHeight="1" x14ac:dyDescent="0.25">
      <c r="C52" s="3" t="s">
        <v>428</v>
      </c>
      <c r="D52" s="9"/>
      <c r="E52" s="9"/>
      <c r="F52" s="312"/>
      <c r="G52" s="312"/>
      <c r="H52" s="312"/>
      <c r="I52" s="312"/>
      <c r="J52" s="227"/>
      <c r="K52" s="252"/>
      <c r="L52" s="252"/>
      <c r="M52" s="252"/>
      <c r="N52" s="252"/>
      <c r="O52" s="227"/>
      <c r="P52" s="252"/>
      <c r="Q52" s="252"/>
      <c r="R52" s="252"/>
      <c r="S52" s="252"/>
      <c r="T52" s="227"/>
      <c r="U52" s="252"/>
      <c r="V52" s="226"/>
      <c r="W52" s="226"/>
      <c r="X52" s="226"/>
      <c r="Y52" s="227"/>
      <c r="Z52" s="226"/>
      <c r="AA52" s="226"/>
      <c r="AB52" s="226"/>
      <c r="AC52" s="226"/>
      <c r="AD52" s="227"/>
      <c r="AE52" s="227"/>
      <c r="AF52" s="227"/>
      <c r="AG52" s="227"/>
    </row>
    <row r="53" spans="3:33" ht="15" customHeight="1" x14ac:dyDescent="0.25">
      <c r="C53" s="425" t="str">
        <f>C14</f>
        <v>Discount</v>
      </c>
      <c r="D53" s="9"/>
      <c r="E53" s="9"/>
      <c r="F53" s="312">
        <f t="shared" ref="F53:T53" si="86">IFERROR(F46/F$45,"N/A")</f>
        <v>1</v>
      </c>
      <c r="G53" s="312">
        <f t="shared" si="86"/>
        <v>1</v>
      </c>
      <c r="H53" s="312">
        <f t="shared" si="86"/>
        <v>1</v>
      </c>
      <c r="I53" s="312">
        <f t="shared" si="86"/>
        <v>1</v>
      </c>
      <c r="J53" s="313">
        <f t="shared" si="86"/>
        <v>1</v>
      </c>
      <c r="K53" s="312">
        <f t="shared" si="86"/>
        <v>1</v>
      </c>
      <c r="L53" s="312">
        <f t="shared" si="86"/>
        <v>1</v>
      </c>
      <c r="M53" s="312">
        <f t="shared" si="86"/>
        <v>1</v>
      </c>
      <c r="N53" s="312">
        <f t="shared" si="86"/>
        <v>1</v>
      </c>
      <c r="O53" s="313">
        <f t="shared" si="86"/>
        <v>1</v>
      </c>
      <c r="P53" s="312">
        <f t="shared" si="86"/>
        <v>1</v>
      </c>
      <c r="Q53" s="312">
        <f t="shared" si="86"/>
        <v>1</v>
      </c>
      <c r="R53" s="312">
        <f t="shared" si="86"/>
        <v>1</v>
      </c>
      <c r="S53" s="312">
        <f t="shared" si="86"/>
        <v>1</v>
      </c>
      <c r="T53" s="313">
        <f t="shared" si="86"/>
        <v>1</v>
      </c>
      <c r="U53" s="312">
        <f t="shared" ref="U53" si="87">IFERROR(U46/U$45,"N/A")</f>
        <v>1</v>
      </c>
      <c r="V53" s="315">
        <f>Drivers!V83</f>
        <v>1</v>
      </c>
      <c r="W53" s="315">
        <f>Drivers!W83</f>
        <v>1</v>
      </c>
      <c r="X53" s="315">
        <f>Drivers!X83</f>
        <v>1</v>
      </c>
      <c r="Y53" s="426">
        <f>Y46/Y$45</f>
        <v>1</v>
      </c>
      <c r="Z53" s="315">
        <f>Drivers!Z83</f>
        <v>1</v>
      </c>
      <c r="AA53" s="315">
        <f>Drivers!AA83</f>
        <v>1</v>
      </c>
      <c r="AB53" s="315">
        <f>Drivers!AB83</f>
        <v>1</v>
      </c>
      <c r="AC53" s="315">
        <f>Drivers!AC83</f>
        <v>1</v>
      </c>
      <c r="AD53" s="426">
        <f>AD46/AD$45</f>
        <v>1</v>
      </c>
      <c r="AE53" s="316">
        <f>Drivers!AE83</f>
        <v>1</v>
      </c>
      <c r="AF53" s="316">
        <f>Drivers!AF83</f>
        <v>1</v>
      </c>
      <c r="AG53" s="316">
        <f>Drivers!AG83</f>
        <v>1</v>
      </c>
    </row>
    <row r="54" spans="3:33" ht="14.25" customHeight="1" x14ac:dyDescent="0.25">
      <c r="C54" s="425" t="str">
        <f>C15</f>
        <v>Net Card Fees</v>
      </c>
      <c r="D54" s="9"/>
      <c r="E54" s="9"/>
      <c r="F54" s="312">
        <f t="shared" ref="F54:T54" si="88">IFERROR(F47/F$45,"N/A")</f>
        <v>0</v>
      </c>
      <c r="G54" s="312">
        <f t="shared" si="88"/>
        <v>0</v>
      </c>
      <c r="H54" s="312">
        <f t="shared" si="88"/>
        <v>0</v>
      </c>
      <c r="I54" s="312">
        <f t="shared" si="88"/>
        <v>0</v>
      </c>
      <c r="J54" s="313">
        <f t="shared" si="88"/>
        <v>0</v>
      </c>
      <c r="K54" s="312">
        <f t="shared" si="88"/>
        <v>0</v>
      </c>
      <c r="L54" s="312">
        <f t="shared" si="88"/>
        <v>0</v>
      </c>
      <c r="M54" s="312">
        <f t="shared" si="88"/>
        <v>0</v>
      </c>
      <c r="N54" s="312">
        <f t="shared" si="88"/>
        <v>0</v>
      </c>
      <c r="O54" s="313">
        <f t="shared" si="88"/>
        <v>0</v>
      </c>
      <c r="P54" s="312">
        <f t="shared" si="88"/>
        <v>0</v>
      </c>
      <c r="Q54" s="312">
        <f t="shared" si="88"/>
        <v>0</v>
      </c>
      <c r="R54" s="312">
        <f t="shared" si="88"/>
        <v>0</v>
      </c>
      <c r="S54" s="312">
        <f t="shared" si="88"/>
        <v>0</v>
      </c>
      <c r="T54" s="313">
        <f t="shared" si="88"/>
        <v>0</v>
      </c>
      <c r="U54" s="312">
        <f t="shared" ref="U54" si="89">IFERROR(U47/U$45,"N/A")</f>
        <v>0</v>
      </c>
      <c r="V54" s="315">
        <f>Drivers!V84</f>
        <v>0</v>
      </c>
      <c r="W54" s="315">
        <f>Drivers!W84</f>
        <v>0</v>
      </c>
      <c r="X54" s="315">
        <f>Drivers!X84</f>
        <v>0</v>
      </c>
      <c r="Y54" s="426">
        <f>Y47/Y$45</f>
        <v>0</v>
      </c>
      <c r="Z54" s="315">
        <f>Drivers!Z84</f>
        <v>0</v>
      </c>
      <c r="AA54" s="315">
        <f>Drivers!AA84</f>
        <v>0</v>
      </c>
      <c r="AB54" s="315">
        <f>Drivers!AB84</f>
        <v>0</v>
      </c>
      <c r="AC54" s="315">
        <f>Drivers!AC84</f>
        <v>0</v>
      </c>
      <c r="AD54" s="426">
        <f>AD47/AD$45</f>
        <v>0</v>
      </c>
      <c r="AE54" s="316">
        <f>Drivers!AE84</f>
        <v>0</v>
      </c>
      <c r="AF54" s="316">
        <f>Drivers!AF84</f>
        <v>0</v>
      </c>
      <c r="AG54" s="316">
        <f>Drivers!AG84</f>
        <v>0</v>
      </c>
    </row>
    <row r="55" spans="3:33" ht="14.25" customHeight="1" x14ac:dyDescent="0.25">
      <c r="C55" s="425" t="str">
        <f>C16</f>
        <v>Service Fees and Other</v>
      </c>
      <c r="D55" s="9"/>
      <c r="E55" s="9"/>
      <c r="F55" s="312">
        <f t="shared" ref="F55:T55" si="90">IFERROR(F48/F$45,"N/A")</f>
        <v>0</v>
      </c>
      <c r="G55" s="312">
        <f t="shared" si="90"/>
        <v>0</v>
      </c>
      <c r="H55" s="312">
        <f t="shared" si="90"/>
        <v>0</v>
      </c>
      <c r="I55" s="312">
        <f t="shared" si="90"/>
        <v>0</v>
      </c>
      <c r="J55" s="313">
        <f t="shared" si="90"/>
        <v>0</v>
      </c>
      <c r="K55" s="312">
        <f t="shared" si="90"/>
        <v>0</v>
      </c>
      <c r="L55" s="312">
        <f t="shared" si="90"/>
        <v>0</v>
      </c>
      <c r="M55" s="312">
        <f t="shared" si="90"/>
        <v>0</v>
      </c>
      <c r="N55" s="312">
        <f t="shared" si="90"/>
        <v>0</v>
      </c>
      <c r="O55" s="313">
        <f t="shared" si="90"/>
        <v>0</v>
      </c>
      <c r="P55" s="312">
        <f t="shared" si="90"/>
        <v>0</v>
      </c>
      <c r="Q55" s="312">
        <f t="shared" si="90"/>
        <v>0</v>
      </c>
      <c r="R55" s="312">
        <f t="shared" si="90"/>
        <v>0</v>
      </c>
      <c r="S55" s="312">
        <f t="shared" si="90"/>
        <v>0</v>
      </c>
      <c r="T55" s="313">
        <f t="shared" si="90"/>
        <v>0</v>
      </c>
      <c r="U55" s="312">
        <f t="shared" ref="U55" si="91">IFERROR(U48/U$45,"N/A")</f>
        <v>0</v>
      </c>
      <c r="V55" s="315">
        <f>Drivers!V85</f>
        <v>0</v>
      </c>
      <c r="W55" s="315">
        <f>Drivers!W85</f>
        <v>0</v>
      </c>
      <c r="X55" s="315">
        <f>Drivers!X85</f>
        <v>0</v>
      </c>
      <c r="Y55" s="426">
        <f>Y48/Y$45</f>
        <v>0</v>
      </c>
      <c r="Z55" s="315">
        <f>Drivers!Z85</f>
        <v>0</v>
      </c>
      <c r="AA55" s="315">
        <f>Drivers!AA85</f>
        <v>0</v>
      </c>
      <c r="AB55" s="315">
        <f>Drivers!AB85</f>
        <v>0</v>
      </c>
      <c r="AC55" s="315">
        <f>Drivers!AC85</f>
        <v>0</v>
      </c>
      <c r="AD55" s="426">
        <f>AD48/AD$45</f>
        <v>0</v>
      </c>
      <c r="AE55" s="316">
        <f>Drivers!AE85</f>
        <v>0</v>
      </c>
      <c r="AF55" s="316">
        <f>Drivers!AF85</f>
        <v>0</v>
      </c>
      <c r="AG55" s="316">
        <f>Drivers!AG85</f>
        <v>0</v>
      </c>
    </row>
    <row r="56" spans="3:33" ht="14.25" customHeight="1" x14ac:dyDescent="0.25">
      <c r="C56" s="9"/>
      <c r="D56" s="9"/>
      <c r="E56" s="9"/>
      <c r="F56" s="254"/>
      <c r="G56" s="254"/>
      <c r="H56" s="254"/>
      <c r="I56" s="254"/>
      <c r="J56" s="132"/>
      <c r="K56" s="254"/>
      <c r="L56" s="254"/>
      <c r="M56" s="254"/>
      <c r="N56" s="254"/>
      <c r="O56" s="132"/>
      <c r="P56" s="254"/>
      <c r="Q56" s="254"/>
      <c r="R56" s="254"/>
      <c r="S56" s="252"/>
      <c r="T56" s="313"/>
      <c r="U56" s="254"/>
      <c r="V56" s="226"/>
      <c r="W56" s="226"/>
      <c r="X56" s="314"/>
      <c r="Y56" s="132"/>
      <c r="Z56" s="226"/>
      <c r="AA56" s="226"/>
      <c r="AB56" s="226"/>
      <c r="AC56" s="314"/>
      <c r="AD56" s="313"/>
      <c r="AE56" s="313"/>
      <c r="AF56" s="313"/>
      <c r="AG56" s="313"/>
    </row>
    <row r="57" spans="3:33" ht="14.25" customHeight="1" x14ac:dyDescent="0.25">
      <c r="C57" s="9" t="s">
        <v>429</v>
      </c>
      <c r="D57" s="9"/>
      <c r="E57" s="9"/>
      <c r="F57" s="252">
        <f t="shared" ref="F57:AG57" si="92">F45+F33</f>
        <v>2361.75</v>
      </c>
      <c r="G57" s="252">
        <f t="shared" si="92"/>
        <v>2628.75</v>
      </c>
      <c r="H57" s="252">
        <f t="shared" si="92"/>
        <v>3235.75</v>
      </c>
      <c r="I57" s="252">
        <f t="shared" si="92"/>
        <v>2691.75</v>
      </c>
      <c r="J57" s="227">
        <f t="shared" si="92"/>
        <v>10918</v>
      </c>
      <c r="K57" s="252">
        <f t="shared" si="92"/>
        <v>3162</v>
      </c>
      <c r="L57" s="252">
        <f t="shared" si="92"/>
        <v>3174</v>
      </c>
      <c r="M57" s="252">
        <f t="shared" si="92"/>
        <v>3441</v>
      </c>
      <c r="N57" s="252">
        <f t="shared" si="92"/>
        <v>2812</v>
      </c>
      <c r="O57" s="227">
        <f t="shared" si="92"/>
        <v>12589</v>
      </c>
      <c r="P57" s="252">
        <f t="shared" si="92"/>
        <v>3393.25</v>
      </c>
      <c r="Q57" s="252">
        <f t="shared" si="92"/>
        <v>3490.25</v>
      </c>
      <c r="R57" s="252">
        <f t="shared" si="92"/>
        <v>3827.25</v>
      </c>
      <c r="S57" s="252">
        <f t="shared" si="92"/>
        <v>3147.25</v>
      </c>
      <c r="T57" s="227">
        <f t="shared" si="92"/>
        <v>13858</v>
      </c>
      <c r="U57" s="252">
        <f t="shared" ref="U57" si="93">U45+U33</f>
        <v>4246</v>
      </c>
      <c r="V57" s="427">
        <f t="shared" si="92"/>
        <v>7576.4497511410163</v>
      </c>
      <c r="W57" s="427">
        <f t="shared" si="92"/>
        <v>7942.2195830388391</v>
      </c>
      <c r="X57" s="427">
        <f t="shared" si="92"/>
        <v>8348.0063649242966</v>
      </c>
      <c r="Y57" s="227">
        <f t="shared" si="92"/>
        <v>28112.675699104155</v>
      </c>
      <c r="Z57" s="427">
        <f t="shared" si="92"/>
        <v>8591.2352272784628</v>
      </c>
      <c r="AA57" s="427">
        <f t="shared" si="92"/>
        <v>9190.4913905563317</v>
      </c>
      <c r="AB57" s="427">
        <f t="shared" si="92"/>
        <v>9388.0088384480659</v>
      </c>
      <c r="AC57" s="427">
        <f t="shared" si="92"/>
        <v>9996.4957882961007</v>
      </c>
      <c r="AD57" s="227">
        <f t="shared" si="92"/>
        <v>37166.231244578958</v>
      </c>
      <c r="AE57" s="227">
        <f t="shared" si="92"/>
        <v>40826.585398513693</v>
      </c>
      <c r="AF57" s="227">
        <f t="shared" si="92"/>
        <v>43649.990701292736</v>
      </c>
      <c r="AG57" s="227">
        <f t="shared" si="92"/>
        <v>46895.930450039639</v>
      </c>
    </row>
    <row r="58" spans="3:33" ht="14.25" customHeight="1" x14ac:dyDescent="0.25">
      <c r="C58" s="103" t="str">
        <f>C14&amp;" EBITDA"</f>
        <v>Discount EBITDA</v>
      </c>
      <c r="D58" s="9"/>
      <c r="E58" s="9"/>
      <c r="F58" s="252">
        <f t="shared" ref="F58:AG58" si="94">F46+F34</f>
        <v>1542.75</v>
      </c>
      <c r="G58" s="252">
        <f t="shared" si="94"/>
        <v>1662.75</v>
      </c>
      <c r="H58" s="252">
        <f t="shared" si="94"/>
        <v>1996.75</v>
      </c>
      <c r="I58" s="252">
        <f t="shared" si="94"/>
        <v>1881.75</v>
      </c>
      <c r="J58" s="428">
        <f t="shared" si="94"/>
        <v>7084</v>
      </c>
      <c r="K58" s="252">
        <f t="shared" si="94"/>
        <v>2032</v>
      </c>
      <c r="L58" s="252">
        <f t="shared" si="94"/>
        <v>1979</v>
      </c>
      <c r="M58" s="252">
        <f t="shared" si="94"/>
        <v>2078</v>
      </c>
      <c r="N58" s="252">
        <f t="shared" si="94"/>
        <v>1964</v>
      </c>
      <c r="O58" s="428">
        <f t="shared" si="94"/>
        <v>8053</v>
      </c>
      <c r="P58" s="252">
        <f t="shared" si="94"/>
        <v>2176.25</v>
      </c>
      <c r="Q58" s="252">
        <f t="shared" si="94"/>
        <v>2120.25</v>
      </c>
      <c r="R58" s="252">
        <f t="shared" si="94"/>
        <v>2296.25</v>
      </c>
      <c r="S58" s="252">
        <f t="shared" si="94"/>
        <v>1994.25</v>
      </c>
      <c r="T58" s="428">
        <f t="shared" si="94"/>
        <v>8587</v>
      </c>
      <c r="U58" s="252">
        <f t="shared" ref="U58" si="95">U46+U34</f>
        <v>2634</v>
      </c>
      <c r="V58" s="427">
        <f t="shared" si="94"/>
        <v>7576.4497511410163</v>
      </c>
      <c r="W58" s="427">
        <f t="shared" si="94"/>
        <v>7942.2195830388391</v>
      </c>
      <c r="X58" s="427">
        <f t="shared" si="94"/>
        <v>8348.0063649242966</v>
      </c>
      <c r="Y58" s="428">
        <f t="shared" si="94"/>
        <v>26500.675699104155</v>
      </c>
      <c r="Z58" s="427">
        <f t="shared" si="94"/>
        <v>8591.2352272784628</v>
      </c>
      <c r="AA58" s="427">
        <f t="shared" si="94"/>
        <v>9190.4913905563317</v>
      </c>
      <c r="AB58" s="427">
        <f t="shared" si="94"/>
        <v>9388.0088384480659</v>
      </c>
      <c r="AC58" s="427">
        <f t="shared" si="94"/>
        <v>9996.4957882961007</v>
      </c>
      <c r="AD58" s="428">
        <f t="shared" si="94"/>
        <v>37166.231244578958</v>
      </c>
      <c r="AE58" s="428">
        <f t="shared" si="94"/>
        <v>40826.585398513693</v>
      </c>
      <c r="AF58" s="428">
        <f t="shared" si="94"/>
        <v>43649.990701292736</v>
      </c>
      <c r="AG58" s="428">
        <f t="shared" si="94"/>
        <v>46895.930450039639</v>
      </c>
    </row>
    <row r="59" spans="3:33" ht="14.25" customHeight="1" x14ac:dyDescent="0.25">
      <c r="C59" s="103" t="str">
        <f>C15&amp;" EBITDA"</f>
        <v>Net Card Fees EBITDA</v>
      </c>
      <c r="D59" s="9"/>
      <c r="E59" s="9"/>
      <c r="F59" s="252">
        <f t="shared" ref="F59:AG59" si="96">F47+F35</f>
        <v>630</v>
      </c>
      <c r="G59" s="252">
        <f t="shared" si="96"/>
        <v>713</v>
      </c>
      <c r="H59" s="252">
        <f t="shared" si="96"/>
        <v>852</v>
      </c>
      <c r="I59" s="252">
        <f t="shared" si="96"/>
        <v>666</v>
      </c>
      <c r="J59" s="428">
        <f t="shared" si="96"/>
        <v>2861</v>
      </c>
      <c r="K59" s="252">
        <f t="shared" si="96"/>
        <v>878</v>
      </c>
      <c r="L59" s="252">
        <f t="shared" si="96"/>
        <v>905</v>
      </c>
      <c r="M59" s="252">
        <f t="shared" si="96"/>
        <v>908</v>
      </c>
      <c r="N59" s="252">
        <f t="shared" si="96"/>
        <v>814</v>
      </c>
      <c r="O59" s="428">
        <f t="shared" si="96"/>
        <v>3505</v>
      </c>
      <c r="P59" s="252">
        <f t="shared" si="96"/>
        <v>836</v>
      </c>
      <c r="Q59" s="252">
        <f t="shared" si="96"/>
        <v>905</v>
      </c>
      <c r="R59" s="252">
        <f t="shared" si="96"/>
        <v>1090</v>
      </c>
      <c r="S59" s="252">
        <f t="shared" si="96"/>
        <v>837</v>
      </c>
      <c r="T59" s="428">
        <f t="shared" si="96"/>
        <v>3668</v>
      </c>
      <c r="U59" s="252">
        <f t="shared" ref="U59" si="97">U47+U35</f>
        <v>1170</v>
      </c>
      <c r="V59" s="427">
        <f t="shared" si="96"/>
        <v>0</v>
      </c>
      <c r="W59" s="427">
        <f t="shared" si="96"/>
        <v>0</v>
      </c>
      <c r="X59" s="427">
        <f t="shared" si="96"/>
        <v>0</v>
      </c>
      <c r="Y59" s="428">
        <f t="shared" si="96"/>
        <v>1170</v>
      </c>
      <c r="Z59" s="427">
        <f t="shared" si="96"/>
        <v>0</v>
      </c>
      <c r="AA59" s="427">
        <f t="shared" si="96"/>
        <v>0</v>
      </c>
      <c r="AB59" s="427">
        <f t="shared" si="96"/>
        <v>0</v>
      </c>
      <c r="AC59" s="427">
        <f t="shared" si="96"/>
        <v>0</v>
      </c>
      <c r="AD59" s="428">
        <f t="shared" si="96"/>
        <v>0</v>
      </c>
      <c r="AE59" s="428">
        <f t="shared" si="96"/>
        <v>0</v>
      </c>
      <c r="AF59" s="428">
        <f t="shared" si="96"/>
        <v>0</v>
      </c>
      <c r="AG59" s="428">
        <f t="shared" si="96"/>
        <v>0</v>
      </c>
    </row>
    <row r="60" spans="3:33" ht="14.25" customHeight="1" x14ac:dyDescent="0.25">
      <c r="C60" s="103" t="str">
        <f>C16&amp;" EBITDA"</f>
        <v>Service Fees and Other EBITDA</v>
      </c>
      <c r="D60" s="9"/>
      <c r="E60" s="9"/>
      <c r="F60" s="252">
        <f t="shared" ref="F60:AG60" si="98">F48+F36</f>
        <v>189</v>
      </c>
      <c r="G60" s="252">
        <f t="shared" si="98"/>
        <v>253</v>
      </c>
      <c r="H60" s="252">
        <f t="shared" si="98"/>
        <v>387</v>
      </c>
      <c r="I60" s="252">
        <f t="shared" si="98"/>
        <v>144</v>
      </c>
      <c r="J60" s="428">
        <f t="shared" si="98"/>
        <v>973</v>
      </c>
      <c r="K60" s="252">
        <f t="shared" si="98"/>
        <v>252</v>
      </c>
      <c r="L60" s="252">
        <f t="shared" si="98"/>
        <v>290</v>
      </c>
      <c r="M60" s="252">
        <f t="shared" si="98"/>
        <v>455</v>
      </c>
      <c r="N60" s="252">
        <f t="shared" si="98"/>
        <v>34</v>
      </c>
      <c r="O60" s="428">
        <f t="shared" si="98"/>
        <v>1031</v>
      </c>
      <c r="P60" s="252">
        <f t="shared" si="98"/>
        <v>381</v>
      </c>
      <c r="Q60" s="252">
        <f t="shared" si="98"/>
        <v>465</v>
      </c>
      <c r="R60" s="252">
        <f t="shared" si="98"/>
        <v>441</v>
      </c>
      <c r="S60" s="252">
        <f t="shared" si="98"/>
        <v>316</v>
      </c>
      <c r="T60" s="428">
        <f t="shared" si="98"/>
        <v>1603</v>
      </c>
      <c r="U60" s="252">
        <f t="shared" ref="U60" si="99">U48+U36</f>
        <v>442</v>
      </c>
      <c r="V60" s="427">
        <f t="shared" si="98"/>
        <v>0</v>
      </c>
      <c r="W60" s="427">
        <f t="shared" si="98"/>
        <v>0</v>
      </c>
      <c r="X60" s="427">
        <f t="shared" si="98"/>
        <v>0</v>
      </c>
      <c r="Y60" s="428">
        <f t="shared" si="98"/>
        <v>442</v>
      </c>
      <c r="Z60" s="427">
        <f t="shared" si="98"/>
        <v>0</v>
      </c>
      <c r="AA60" s="427">
        <f t="shared" si="98"/>
        <v>0</v>
      </c>
      <c r="AB60" s="427">
        <f t="shared" si="98"/>
        <v>0</v>
      </c>
      <c r="AC60" s="427">
        <f t="shared" si="98"/>
        <v>0</v>
      </c>
      <c r="AD60" s="428">
        <f t="shared" si="98"/>
        <v>0</v>
      </c>
      <c r="AE60" s="428">
        <f t="shared" si="98"/>
        <v>0</v>
      </c>
      <c r="AF60" s="428">
        <f t="shared" si="98"/>
        <v>0</v>
      </c>
      <c r="AG60" s="428">
        <f t="shared" si="98"/>
        <v>0</v>
      </c>
    </row>
    <row r="61" spans="3:33" ht="14.25" customHeight="1" x14ac:dyDescent="0.25">
      <c r="C61" s="9"/>
      <c r="D61" s="9"/>
      <c r="E61" s="9"/>
      <c r="F61" s="254"/>
      <c r="G61" s="254"/>
      <c r="H61" s="254"/>
      <c r="I61" s="254"/>
      <c r="J61" s="132"/>
      <c r="K61" s="254"/>
      <c r="L61" s="254"/>
      <c r="M61" s="254"/>
      <c r="N61" s="254"/>
      <c r="O61" s="132"/>
      <c r="P61" s="254"/>
      <c r="Q61" s="254"/>
      <c r="R61" s="254"/>
      <c r="S61" s="408"/>
      <c r="T61" s="313"/>
      <c r="U61" s="254"/>
      <c r="V61" s="409"/>
      <c r="W61" s="409"/>
      <c r="X61" s="314"/>
      <c r="Y61" s="132"/>
      <c r="Z61" s="409"/>
      <c r="AA61" s="409"/>
      <c r="AB61" s="409"/>
      <c r="AC61" s="314"/>
      <c r="AD61" s="313"/>
      <c r="AE61" s="313"/>
      <c r="AF61" s="313"/>
      <c r="AG61" s="313"/>
    </row>
    <row r="62" spans="3:33" ht="14.25" customHeight="1" x14ac:dyDescent="0.25">
      <c r="C62" s="9" t="s">
        <v>430</v>
      </c>
      <c r="D62" s="9"/>
      <c r="E62" s="9"/>
      <c r="F62" s="408"/>
      <c r="G62" s="408"/>
      <c r="H62" s="408"/>
      <c r="I62" s="408"/>
      <c r="J62" s="132"/>
      <c r="K62" s="408"/>
      <c r="L62" s="408"/>
      <c r="M62" s="408"/>
      <c r="N62" s="408"/>
      <c r="O62" s="132"/>
      <c r="P62" s="408"/>
      <c r="Q62" s="408"/>
      <c r="R62" s="408"/>
      <c r="S62" s="312"/>
      <c r="T62" s="313"/>
      <c r="U62" s="408"/>
      <c r="V62" s="314"/>
      <c r="W62" s="314"/>
      <c r="X62" s="314"/>
      <c r="Y62" s="132"/>
      <c r="Z62" s="314"/>
      <c r="AA62" s="314"/>
      <c r="AB62" s="314"/>
      <c r="AC62" s="314"/>
      <c r="AD62" s="313"/>
      <c r="AE62" s="313"/>
      <c r="AF62" s="313"/>
      <c r="AG62" s="313"/>
    </row>
    <row r="63" spans="3:33" ht="14.25" customHeight="1" x14ac:dyDescent="0.25">
      <c r="C63" s="103" t="str">
        <f>C14</f>
        <v>Discount</v>
      </c>
      <c r="D63" s="9"/>
      <c r="E63" s="9"/>
      <c r="F63" s="312">
        <f t="shared" ref="F63:AG63" si="100">IFERROR(F58/F$57,"N/A")</f>
        <v>0.65322324547475386</v>
      </c>
      <c r="G63" s="312">
        <f t="shared" si="100"/>
        <v>0.63252496433666194</v>
      </c>
      <c r="H63" s="312">
        <f t="shared" si="100"/>
        <v>0.61709031909140077</v>
      </c>
      <c r="I63" s="312">
        <f t="shared" si="100"/>
        <v>0.69908052382279184</v>
      </c>
      <c r="J63" s="313">
        <f t="shared" si="100"/>
        <v>0.64883678329364347</v>
      </c>
      <c r="K63" s="312">
        <f t="shared" si="100"/>
        <v>0.64263124604680577</v>
      </c>
      <c r="L63" s="312">
        <f t="shared" si="100"/>
        <v>0.62350346565847514</v>
      </c>
      <c r="M63" s="312">
        <f t="shared" si="100"/>
        <v>0.6038942167974426</v>
      </c>
      <c r="N63" s="312">
        <f t="shared" si="100"/>
        <v>0.69843527738264577</v>
      </c>
      <c r="O63" s="313">
        <f t="shared" si="100"/>
        <v>0.63968543966955282</v>
      </c>
      <c r="P63" s="312">
        <f t="shared" si="100"/>
        <v>0.64134679142415085</v>
      </c>
      <c r="Q63" s="312">
        <f t="shared" si="100"/>
        <v>0.6074779743571378</v>
      </c>
      <c r="R63" s="312">
        <f t="shared" si="100"/>
        <v>0.59997387157880988</v>
      </c>
      <c r="S63" s="312">
        <f t="shared" si="100"/>
        <v>0.6336484232266264</v>
      </c>
      <c r="T63" s="313">
        <f t="shared" si="100"/>
        <v>0.61964208399480447</v>
      </c>
      <c r="U63" s="312">
        <f t="shared" ref="U63" si="101">IFERROR(U58/U$57,"N/A")</f>
        <v>0.62034856335374466</v>
      </c>
      <c r="V63" s="314">
        <f t="shared" si="100"/>
        <v>1</v>
      </c>
      <c r="W63" s="314">
        <f t="shared" si="100"/>
        <v>1</v>
      </c>
      <c r="X63" s="314">
        <f t="shared" si="100"/>
        <v>1</v>
      </c>
      <c r="Y63" s="313">
        <f t="shared" si="100"/>
        <v>0.94265931790863411</v>
      </c>
      <c r="Z63" s="314">
        <f t="shared" si="100"/>
        <v>1</v>
      </c>
      <c r="AA63" s="314">
        <f t="shared" si="100"/>
        <v>1</v>
      </c>
      <c r="AB63" s="314">
        <f t="shared" si="100"/>
        <v>1</v>
      </c>
      <c r="AC63" s="314">
        <f t="shared" si="100"/>
        <v>1</v>
      </c>
      <c r="AD63" s="313">
        <f t="shared" si="100"/>
        <v>1</v>
      </c>
      <c r="AE63" s="313">
        <f t="shared" si="100"/>
        <v>1</v>
      </c>
      <c r="AF63" s="313">
        <f t="shared" si="100"/>
        <v>1</v>
      </c>
      <c r="AG63" s="313">
        <f t="shared" si="100"/>
        <v>1</v>
      </c>
    </row>
    <row r="64" spans="3:33" ht="14.25" customHeight="1" x14ac:dyDescent="0.25">
      <c r="C64" s="103" t="str">
        <f>C15</f>
        <v>Net Card Fees</v>
      </c>
      <c r="D64" s="9"/>
      <c r="E64" s="9"/>
      <c r="F64" s="312">
        <f t="shared" ref="F64:AG64" si="102">IFERROR(F59/F$57,"N/A")</f>
        <v>0.26675134963480468</v>
      </c>
      <c r="G64" s="312">
        <f t="shared" si="102"/>
        <v>0.27123157394198766</v>
      </c>
      <c r="H64" s="312">
        <f t="shared" si="102"/>
        <v>0.26330835200494473</v>
      </c>
      <c r="I64" s="312">
        <f t="shared" si="102"/>
        <v>0.24742268041237114</v>
      </c>
      <c r="J64" s="313">
        <f t="shared" si="102"/>
        <v>0.26204433046345482</v>
      </c>
      <c r="K64" s="312">
        <f t="shared" si="102"/>
        <v>0.27767235926628714</v>
      </c>
      <c r="L64" s="312">
        <f t="shared" si="102"/>
        <v>0.28512917454316322</v>
      </c>
      <c r="M64" s="312">
        <f t="shared" si="102"/>
        <v>0.26387678000581227</v>
      </c>
      <c r="N64" s="312">
        <f t="shared" si="102"/>
        <v>0.28947368421052633</v>
      </c>
      <c r="O64" s="313">
        <f t="shared" si="102"/>
        <v>0.27841766621653824</v>
      </c>
      <c r="P64" s="312">
        <f t="shared" si="102"/>
        <v>0.24637147277683635</v>
      </c>
      <c r="Q64" s="312">
        <f t="shared" si="102"/>
        <v>0.25929374686627032</v>
      </c>
      <c r="R64" s="312">
        <f t="shared" si="102"/>
        <v>0.28479979097263047</v>
      </c>
      <c r="S64" s="312">
        <f t="shared" si="102"/>
        <v>0.26594646119628246</v>
      </c>
      <c r="T64" s="313">
        <f t="shared" si="102"/>
        <v>0.26468465868090635</v>
      </c>
      <c r="U64" s="312">
        <f t="shared" ref="U64" si="103">IFERROR(U59/U$57,"N/A")</f>
        <v>0.27555346208195947</v>
      </c>
      <c r="V64" s="314">
        <f t="shared" si="102"/>
        <v>0</v>
      </c>
      <c r="W64" s="314">
        <f t="shared" si="102"/>
        <v>0</v>
      </c>
      <c r="X64" s="314">
        <f t="shared" si="102"/>
        <v>0</v>
      </c>
      <c r="Y64" s="313">
        <f t="shared" si="102"/>
        <v>4.1618237001797856E-2</v>
      </c>
      <c r="Z64" s="314">
        <f t="shared" si="102"/>
        <v>0</v>
      </c>
      <c r="AA64" s="314">
        <f t="shared" si="102"/>
        <v>0</v>
      </c>
      <c r="AB64" s="314">
        <f t="shared" si="102"/>
        <v>0</v>
      </c>
      <c r="AC64" s="314">
        <f t="shared" si="102"/>
        <v>0</v>
      </c>
      <c r="AD64" s="313">
        <f t="shared" si="102"/>
        <v>0</v>
      </c>
      <c r="AE64" s="313">
        <f t="shared" si="102"/>
        <v>0</v>
      </c>
      <c r="AF64" s="313">
        <f t="shared" si="102"/>
        <v>0</v>
      </c>
      <c r="AG64" s="313">
        <f t="shared" si="102"/>
        <v>0</v>
      </c>
    </row>
    <row r="65" spans="3:33" ht="14.25" customHeight="1" x14ac:dyDescent="0.25">
      <c r="C65" s="103" t="str">
        <f>C16</f>
        <v>Service Fees and Other</v>
      </c>
      <c r="D65" s="9"/>
      <c r="E65" s="9"/>
      <c r="F65" s="312">
        <f t="shared" ref="F65:AG65" si="104">IFERROR(F60/F$57,"N/A")</f>
        <v>8.0025404890441409E-2</v>
      </c>
      <c r="G65" s="312">
        <f t="shared" si="104"/>
        <v>9.6243461721350454E-2</v>
      </c>
      <c r="H65" s="312">
        <f t="shared" si="104"/>
        <v>0.11960132890365449</v>
      </c>
      <c r="I65" s="312">
        <f t="shared" si="104"/>
        <v>5.3496795764836999E-2</v>
      </c>
      <c r="J65" s="313">
        <f t="shared" si="104"/>
        <v>8.9118886242901624E-2</v>
      </c>
      <c r="K65" s="312">
        <f t="shared" si="104"/>
        <v>7.9696394686907021E-2</v>
      </c>
      <c r="L65" s="312">
        <f t="shared" si="104"/>
        <v>9.1367359798361691E-2</v>
      </c>
      <c r="M65" s="312">
        <f t="shared" si="104"/>
        <v>0.13222900319674513</v>
      </c>
      <c r="N65" s="312">
        <f t="shared" si="104"/>
        <v>1.2091038406827881E-2</v>
      </c>
      <c r="O65" s="313">
        <f t="shared" si="104"/>
        <v>8.1896894113908963E-2</v>
      </c>
      <c r="P65" s="312">
        <f t="shared" si="104"/>
        <v>0.11228173579901275</v>
      </c>
      <c r="Q65" s="312">
        <f t="shared" si="104"/>
        <v>0.13322827877659194</v>
      </c>
      <c r="R65" s="312">
        <f t="shared" si="104"/>
        <v>0.11522633744855967</v>
      </c>
      <c r="S65" s="312">
        <f t="shared" si="104"/>
        <v>0.10040511557709111</v>
      </c>
      <c r="T65" s="313">
        <f t="shared" si="104"/>
        <v>0.11567325732428922</v>
      </c>
      <c r="U65" s="312">
        <f t="shared" ref="U65" si="105">IFERROR(U60/U$57,"N/A")</f>
        <v>0.10409797456429581</v>
      </c>
      <c r="V65" s="314">
        <f t="shared" si="104"/>
        <v>0</v>
      </c>
      <c r="W65" s="314">
        <f t="shared" si="104"/>
        <v>0</v>
      </c>
      <c r="X65" s="314">
        <f t="shared" si="104"/>
        <v>0</v>
      </c>
      <c r="Y65" s="313">
        <f t="shared" si="104"/>
        <v>1.572244508956808E-2</v>
      </c>
      <c r="Z65" s="314">
        <f t="shared" si="104"/>
        <v>0</v>
      </c>
      <c r="AA65" s="314">
        <f t="shared" si="104"/>
        <v>0</v>
      </c>
      <c r="AB65" s="314">
        <f t="shared" si="104"/>
        <v>0</v>
      </c>
      <c r="AC65" s="314">
        <f t="shared" si="104"/>
        <v>0</v>
      </c>
      <c r="AD65" s="313">
        <f t="shared" si="104"/>
        <v>0</v>
      </c>
      <c r="AE65" s="313">
        <f t="shared" si="104"/>
        <v>0</v>
      </c>
      <c r="AF65" s="313">
        <f t="shared" si="104"/>
        <v>0</v>
      </c>
      <c r="AG65" s="313">
        <f t="shared" si="104"/>
        <v>0</v>
      </c>
    </row>
    <row r="66" spans="3:33" ht="14.25" customHeight="1" x14ac:dyDescent="0.25">
      <c r="C66" s="103"/>
      <c r="D66" s="9"/>
      <c r="E66" s="9"/>
      <c r="F66" s="312"/>
      <c r="G66" s="312"/>
      <c r="H66" s="312"/>
      <c r="I66" s="312"/>
      <c r="J66" s="313"/>
      <c r="K66" s="312"/>
      <c r="L66" s="312"/>
      <c r="M66" s="312"/>
      <c r="N66" s="312"/>
      <c r="O66" s="313"/>
      <c r="P66" s="312"/>
      <c r="Q66" s="312"/>
      <c r="R66" s="312"/>
      <c r="S66" s="312"/>
      <c r="T66" s="313"/>
      <c r="U66" s="312"/>
      <c r="V66" s="314"/>
      <c r="W66" s="314"/>
      <c r="X66" s="314"/>
      <c r="Y66" s="313"/>
      <c r="Z66" s="314"/>
      <c r="AA66" s="314"/>
      <c r="AB66" s="314"/>
      <c r="AC66" s="314"/>
      <c r="AD66" s="313"/>
      <c r="AE66" s="313"/>
      <c r="AF66" s="313"/>
      <c r="AG66" s="313"/>
    </row>
    <row r="67" spans="3:33" ht="14.25" customHeight="1" x14ac:dyDescent="0.25">
      <c r="C67" s="9"/>
      <c r="D67" s="9"/>
      <c r="E67" s="9"/>
      <c r="F67" s="254"/>
      <c r="G67" s="254"/>
      <c r="H67" s="254"/>
      <c r="I67" s="254"/>
      <c r="J67" s="132"/>
      <c r="K67" s="254"/>
      <c r="L67" s="254"/>
      <c r="M67" s="254"/>
      <c r="N67" s="254"/>
      <c r="O67" s="132"/>
      <c r="P67" s="254"/>
      <c r="Q67" s="254"/>
      <c r="R67" s="254"/>
      <c r="S67" s="254"/>
      <c r="T67" s="132"/>
      <c r="U67" s="254"/>
      <c r="V67" s="257"/>
      <c r="W67" s="257"/>
      <c r="X67" s="257"/>
      <c r="Y67" s="132"/>
      <c r="Z67" s="257"/>
      <c r="AA67" s="257"/>
      <c r="AB67" s="257"/>
      <c r="AC67" s="257"/>
      <c r="AD67" s="132"/>
      <c r="AE67" s="132"/>
      <c r="AF67" s="132"/>
      <c r="AG67" s="132"/>
    </row>
    <row r="68" spans="3:33" ht="14.25" customHeight="1" x14ac:dyDescent="0.25">
      <c r="C68" s="33" t="s">
        <v>431</v>
      </c>
      <c r="D68" s="34"/>
      <c r="E68" s="34"/>
      <c r="F68" s="429"/>
      <c r="G68" s="429"/>
      <c r="H68" s="429"/>
      <c r="I68" s="429"/>
      <c r="J68" s="429"/>
      <c r="K68" s="429"/>
      <c r="L68" s="429"/>
      <c r="M68" s="429"/>
      <c r="N68" s="429"/>
      <c r="O68" s="429"/>
      <c r="P68" s="429"/>
      <c r="Q68" s="429"/>
      <c r="R68" s="429"/>
      <c r="S68" s="429"/>
      <c r="T68" s="429"/>
      <c r="U68" s="429"/>
      <c r="V68" s="429"/>
      <c r="W68" s="429"/>
      <c r="X68" s="429"/>
      <c r="Y68" s="429"/>
      <c r="Z68" s="429"/>
      <c r="AA68" s="429"/>
      <c r="AB68" s="429"/>
      <c r="AC68" s="429"/>
      <c r="AD68" s="429"/>
      <c r="AE68" s="429"/>
      <c r="AF68" s="429"/>
      <c r="AG68" s="430"/>
    </row>
    <row r="69" spans="3:33" ht="14.25" customHeight="1" x14ac:dyDescent="0.25">
      <c r="C69" s="9"/>
      <c r="D69" s="9"/>
      <c r="E69" s="9"/>
      <c r="F69" s="254"/>
      <c r="G69" s="254"/>
      <c r="H69" s="254"/>
      <c r="I69" s="254"/>
      <c r="J69" s="132"/>
      <c r="K69" s="254"/>
      <c r="L69" s="254"/>
      <c r="M69" s="254"/>
      <c r="N69" s="254"/>
      <c r="O69" s="132"/>
      <c r="P69" s="254"/>
      <c r="Q69" s="254"/>
      <c r="R69" s="254"/>
      <c r="S69" s="254"/>
      <c r="T69" s="132"/>
      <c r="U69" s="254"/>
      <c r="V69" s="257"/>
      <c r="W69" s="257"/>
      <c r="X69" s="257"/>
      <c r="Y69" s="132"/>
      <c r="Z69" s="257"/>
      <c r="AA69" s="257"/>
      <c r="AB69" s="257"/>
      <c r="AC69" s="257"/>
      <c r="AD69" s="132"/>
      <c r="AE69" s="132"/>
      <c r="AF69" s="132"/>
      <c r="AG69" s="132"/>
    </row>
    <row r="70" spans="3:33" ht="14.25" hidden="1" customHeight="1" outlineLevel="1" x14ac:dyDescent="0.25">
      <c r="C70" s="9" t="s">
        <v>242</v>
      </c>
      <c r="D70" s="9"/>
      <c r="E70" s="9"/>
      <c r="F70" s="431">
        <f t="shared" ref="F70:I70" si="106">SUM(F71:F75)</f>
        <v>0</v>
      </c>
      <c r="G70" s="431">
        <f t="shared" si="106"/>
        <v>0</v>
      </c>
      <c r="H70" s="431">
        <f t="shared" si="106"/>
        <v>0</v>
      </c>
      <c r="I70" s="431">
        <f t="shared" si="106"/>
        <v>0</v>
      </c>
      <c r="J70" s="227">
        <f t="shared" ref="J70:J75" si="107">SUM(F70:I70)</f>
        <v>0</v>
      </c>
      <c r="K70" s="431">
        <f t="shared" ref="K70:N70" si="108">SUM(K71:K75)</f>
        <v>0</v>
      </c>
      <c r="L70" s="431">
        <f t="shared" si="108"/>
        <v>0</v>
      </c>
      <c r="M70" s="431">
        <f t="shared" si="108"/>
        <v>0</v>
      </c>
      <c r="N70" s="431">
        <f t="shared" si="108"/>
        <v>0</v>
      </c>
      <c r="O70" s="227">
        <f t="shared" ref="O70:O75" si="109">SUM(K70:N70)</f>
        <v>0</v>
      </c>
      <c r="P70" s="431">
        <f t="shared" ref="P70:S70" si="110">SUM(P71:P75)</f>
        <v>0</v>
      </c>
      <c r="Q70" s="431">
        <f t="shared" si="110"/>
        <v>0</v>
      </c>
      <c r="R70" s="431">
        <f t="shared" si="110"/>
        <v>0</v>
      </c>
      <c r="S70" s="431">
        <f t="shared" si="110"/>
        <v>0</v>
      </c>
      <c r="T70" s="227">
        <f t="shared" ref="T70:T75" si="111">SUM(P70:S70)</f>
        <v>0</v>
      </c>
      <c r="U70" s="431">
        <f t="shared" ref="U70" si="112">SUM(U71:U75)</f>
        <v>0</v>
      </c>
      <c r="V70" s="432">
        <f t="shared" ref="V70:X70" si="113">SUM(V71:V75)</f>
        <v>0</v>
      </c>
      <c r="W70" s="432">
        <f t="shared" si="113"/>
        <v>0</v>
      </c>
      <c r="X70" s="432">
        <f t="shared" si="113"/>
        <v>0</v>
      </c>
      <c r="Y70" s="227">
        <f t="shared" ref="Y70:Y75" si="114">SUM(U70:X70)</f>
        <v>0</v>
      </c>
      <c r="Z70" s="432">
        <f t="shared" ref="Z70:AC70" si="115">SUM(Z71:Z75)</f>
        <v>0</v>
      </c>
      <c r="AA70" s="432">
        <f t="shared" si="115"/>
        <v>0</v>
      </c>
      <c r="AB70" s="432">
        <f t="shared" si="115"/>
        <v>0</v>
      </c>
      <c r="AC70" s="432">
        <f t="shared" si="115"/>
        <v>0</v>
      </c>
      <c r="AD70" s="227">
        <f t="shared" ref="AD70:AD75" si="116">SUM(Z70:AC70)</f>
        <v>0</v>
      </c>
      <c r="AE70" s="433">
        <f t="shared" ref="AE70:AG70" si="117">SUM(AE71:AE75)</f>
        <v>0</v>
      </c>
      <c r="AF70" s="433">
        <f t="shared" si="117"/>
        <v>0</v>
      </c>
      <c r="AG70" s="433">
        <f t="shared" si="117"/>
        <v>0</v>
      </c>
    </row>
    <row r="71" spans="3:33" ht="14.25" hidden="1" customHeight="1" outlineLevel="1" x14ac:dyDescent="0.25">
      <c r="C71" s="410" t="s">
        <v>432</v>
      </c>
      <c r="D71" s="9"/>
      <c r="E71" s="9"/>
      <c r="F71" s="403">
        <v>0</v>
      </c>
      <c r="G71" s="403">
        <v>0</v>
      </c>
      <c r="H71" s="403">
        <v>0</v>
      </c>
      <c r="I71" s="403">
        <v>0</v>
      </c>
      <c r="J71" s="404">
        <f t="shared" si="107"/>
        <v>0</v>
      </c>
      <c r="K71" s="403">
        <v>0</v>
      </c>
      <c r="L71" s="403">
        <v>0</v>
      </c>
      <c r="M71" s="403">
        <v>0</v>
      </c>
      <c r="N71" s="403">
        <v>0</v>
      </c>
      <c r="O71" s="404">
        <f t="shared" si="109"/>
        <v>0</v>
      </c>
      <c r="P71" s="403">
        <v>0</v>
      </c>
      <c r="Q71" s="403">
        <v>0</v>
      </c>
      <c r="R71" s="403">
        <v>0</v>
      </c>
      <c r="S71" s="403">
        <v>0</v>
      </c>
      <c r="T71" s="404">
        <f t="shared" si="111"/>
        <v>0</v>
      </c>
      <c r="U71" s="403">
        <v>0</v>
      </c>
      <c r="V71" s="411">
        <v>0</v>
      </c>
      <c r="W71" s="411">
        <v>0</v>
      </c>
      <c r="X71" s="411">
        <v>0</v>
      </c>
      <c r="Y71" s="404">
        <f t="shared" si="114"/>
        <v>0</v>
      </c>
      <c r="Z71" s="411">
        <v>0</v>
      </c>
      <c r="AA71" s="411">
        <v>0</v>
      </c>
      <c r="AB71" s="411">
        <v>0</v>
      </c>
      <c r="AC71" s="411">
        <v>0</v>
      </c>
      <c r="AD71" s="404">
        <f t="shared" si="116"/>
        <v>0</v>
      </c>
      <c r="AE71" s="412">
        <v>0</v>
      </c>
      <c r="AF71" s="412">
        <v>0</v>
      </c>
      <c r="AG71" s="412">
        <v>0</v>
      </c>
    </row>
    <row r="72" spans="3:33" ht="14.25" hidden="1" customHeight="1" outlineLevel="1" x14ac:dyDescent="0.25">
      <c r="C72" s="410" t="s">
        <v>433</v>
      </c>
      <c r="D72" s="9"/>
      <c r="E72" s="9"/>
      <c r="F72" s="403">
        <v>0</v>
      </c>
      <c r="G72" s="403">
        <v>0</v>
      </c>
      <c r="H72" s="403">
        <v>0</v>
      </c>
      <c r="I72" s="403">
        <v>0</v>
      </c>
      <c r="J72" s="404">
        <f t="shared" si="107"/>
        <v>0</v>
      </c>
      <c r="K72" s="403">
        <v>0</v>
      </c>
      <c r="L72" s="403">
        <v>0</v>
      </c>
      <c r="M72" s="403">
        <v>0</v>
      </c>
      <c r="N72" s="403">
        <v>0</v>
      </c>
      <c r="O72" s="404">
        <f t="shared" si="109"/>
        <v>0</v>
      </c>
      <c r="P72" s="403">
        <v>0</v>
      </c>
      <c r="Q72" s="403">
        <v>0</v>
      </c>
      <c r="R72" s="403">
        <v>0</v>
      </c>
      <c r="S72" s="403">
        <v>0</v>
      </c>
      <c r="T72" s="404">
        <f t="shared" si="111"/>
        <v>0</v>
      </c>
      <c r="U72" s="403">
        <v>0</v>
      </c>
      <c r="V72" s="411">
        <v>0</v>
      </c>
      <c r="W72" s="411">
        <v>0</v>
      </c>
      <c r="X72" s="411">
        <v>0</v>
      </c>
      <c r="Y72" s="404">
        <f t="shared" si="114"/>
        <v>0</v>
      </c>
      <c r="Z72" s="411">
        <v>0</v>
      </c>
      <c r="AA72" s="411">
        <v>0</v>
      </c>
      <c r="AB72" s="411">
        <v>0</v>
      </c>
      <c r="AC72" s="411">
        <v>0</v>
      </c>
      <c r="AD72" s="404">
        <f t="shared" si="116"/>
        <v>0</v>
      </c>
      <c r="AE72" s="412">
        <v>0</v>
      </c>
      <c r="AF72" s="412">
        <v>0</v>
      </c>
      <c r="AG72" s="412">
        <v>0</v>
      </c>
    </row>
    <row r="73" spans="3:33" ht="14.25" hidden="1" customHeight="1" outlineLevel="1" x14ac:dyDescent="0.25">
      <c r="C73" s="410" t="s">
        <v>434</v>
      </c>
      <c r="D73" s="9"/>
      <c r="E73" s="9"/>
      <c r="F73" s="403">
        <v>0</v>
      </c>
      <c r="G73" s="403">
        <v>0</v>
      </c>
      <c r="H73" s="403">
        <v>0</v>
      </c>
      <c r="I73" s="403">
        <v>0</v>
      </c>
      <c r="J73" s="404">
        <f t="shared" si="107"/>
        <v>0</v>
      </c>
      <c r="K73" s="403">
        <v>0</v>
      </c>
      <c r="L73" s="403">
        <v>0</v>
      </c>
      <c r="M73" s="403">
        <v>0</v>
      </c>
      <c r="N73" s="403">
        <v>0</v>
      </c>
      <c r="O73" s="404">
        <f t="shared" si="109"/>
        <v>0</v>
      </c>
      <c r="P73" s="403">
        <v>0</v>
      </c>
      <c r="Q73" s="403">
        <v>0</v>
      </c>
      <c r="R73" s="403">
        <v>0</v>
      </c>
      <c r="S73" s="403">
        <v>0</v>
      </c>
      <c r="T73" s="404">
        <f t="shared" si="111"/>
        <v>0</v>
      </c>
      <c r="U73" s="403">
        <v>0</v>
      </c>
      <c r="V73" s="411">
        <v>0</v>
      </c>
      <c r="W73" s="411">
        <v>0</v>
      </c>
      <c r="X73" s="411">
        <v>0</v>
      </c>
      <c r="Y73" s="404">
        <f t="shared" si="114"/>
        <v>0</v>
      </c>
      <c r="Z73" s="411">
        <v>0</v>
      </c>
      <c r="AA73" s="411">
        <v>0</v>
      </c>
      <c r="AB73" s="411">
        <v>0</v>
      </c>
      <c r="AC73" s="411">
        <v>0</v>
      </c>
      <c r="AD73" s="404">
        <f t="shared" si="116"/>
        <v>0</v>
      </c>
      <c r="AE73" s="412">
        <v>0</v>
      </c>
      <c r="AF73" s="412">
        <v>0</v>
      </c>
      <c r="AG73" s="412">
        <v>0</v>
      </c>
    </row>
    <row r="74" spans="3:33" ht="14.25" hidden="1" customHeight="1" outlineLevel="1" x14ac:dyDescent="0.25">
      <c r="C74" s="410" t="s">
        <v>435</v>
      </c>
      <c r="D74" s="9"/>
      <c r="E74" s="9"/>
      <c r="F74" s="403">
        <v>0</v>
      </c>
      <c r="G74" s="403">
        <v>0</v>
      </c>
      <c r="H74" s="403">
        <v>0</v>
      </c>
      <c r="I74" s="403">
        <v>0</v>
      </c>
      <c r="J74" s="404">
        <f t="shared" si="107"/>
        <v>0</v>
      </c>
      <c r="K74" s="403">
        <v>0</v>
      </c>
      <c r="L74" s="403">
        <v>0</v>
      </c>
      <c r="M74" s="403">
        <v>0</v>
      </c>
      <c r="N74" s="403">
        <v>0</v>
      </c>
      <c r="O74" s="404">
        <f t="shared" si="109"/>
        <v>0</v>
      </c>
      <c r="P74" s="403">
        <v>0</v>
      </c>
      <c r="Q74" s="403">
        <v>0</v>
      </c>
      <c r="R74" s="403">
        <v>0</v>
      </c>
      <c r="S74" s="403">
        <v>0</v>
      </c>
      <c r="T74" s="404">
        <f t="shared" si="111"/>
        <v>0</v>
      </c>
      <c r="U74" s="403">
        <v>0</v>
      </c>
      <c r="V74" s="411">
        <v>0</v>
      </c>
      <c r="W74" s="411">
        <v>0</v>
      </c>
      <c r="X74" s="411">
        <v>0</v>
      </c>
      <c r="Y74" s="404">
        <f t="shared" si="114"/>
        <v>0</v>
      </c>
      <c r="Z74" s="411">
        <v>0</v>
      </c>
      <c r="AA74" s="411">
        <v>0</v>
      </c>
      <c r="AB74" s="411">
        <v>0</v>
      </c>
      <c r="AC74" s="411">
        <v>0</v>
      </c>
      <c r="AD74" s="404">
        <f t="shared" si="116"/>
        <v>0</v>
      </c>
      <c r="AE74" s="412">
        <v>0</v>
      </c>
      <c r="AF74" s="412">
        <v>0</v>
      </c>
      <c r="AG74" s="412">
        <v>0</v>
      </c>
    </row>
    <row r="75" spans="3:33" ht="14.25" hidden="1" customHeight="1" outlineLevel="1" x14ac:dyDescent="0.25">
      <c r="C75" s="410" t="s">
        <v>436</v>
      </c>
      <c r="D75" s="9"/>
      <c r="E75" s="9"/>
      <c r="F75" s="403">
        <v>0</v>
      </c>
      <c r="G75" s="403">
        <v>0</v>
      </c>
      <c r="H75" s="403">
        <v>0</v>
      </c>
      <c r="I75" s="403">
        <v>0</v>
      </c>
      <c r="J75" s="404">
        <f t="shared" si="107"/>
        <v>0</v>
      </c>
      <c r="K75" s="403">
        <v>0</v>
      </c>
      <c r="L75" s="403">
        <v>0</v>
      </c>
      <c r="M75" s="403">
        <v>0</v>
      </c>
      <c r="N75" s="403">
        <v>0</v>
      </c>
      <c r="O75" s="404">
        <f t="shared" si="109"/>
        <v>0</v>
      </c>
      <c r="P75" s="403">
        <v>0</v>
      </c>
      <c r="Q75" s="403">
        <v>0</v>
      </c>
      <c r="R75" s="403">
        <v>0</v>
      </c>
      <c r="S75" s="403">
        <v>0</v>
      </c>
      <c r="T75" s="404">
        <f t="shared" si="111"/>
        <v>0</v>
      </c>
      <c r="U75" s="403">
        <v>0</v>
      </c>
      <c r="V75" s="411">
        <v>0</v>
      </c>
      <c r="W75" s="411">
        <v>0</v>
      </c>
      <c r="X75" s="411">
        <v>0</v>
      </c>
      <c r="Y75" s="404">
        <f t="shared" si="114"/>
        <v>0</v>
      </c>
      <c r="Z75" s="411">
        <v>0</v>
      </c>
      <c r="AA75" s="411">
        <v>0</v>
      </c>
      <c r="AB75" s="411">
        <v>0</v>
      </c>
      <c r="AC75" s="411">
        <v>0</v>
      </c>
      <c r="AD75" s="404">
        <f t="shared" si="116"/>
        <v>0</v>
      </c>
      <c r="AE75" s="412">
        <v>0</v>
      </c>
      <c r="AF75" s="412">
        <v>0</v>
      </c>
      <c r="AG75" s="412">
        <v>0</v>
      </c>
    </row>
    <row r="76" spans="3:33" ht="14.25" hidden="1" customHeight="1" outlineLevel="1" x14ac:dyDescent="0.25">
      <c r="C76" s="9"/>
      <c r="D76" s="9"/>
      <c r="E76" s="9"/>
      <c r="F76" s="434"/>
      <c r="G76" s="434"/>
      <c r="H76" s="434"/>
      <c r="I76" s="434"/>
      <c r="J76" s="428"/>
      <c r="K76" s="434"/>
      <c r="L76" s="434"/>
      <c r="M76" s="434"/>
      <c r="N76" s="434"/>
      <c r="O76" s="428"/>
      <c r="P76" s="434"/>
      <c r="Q76" s="434"/>
      <c r="R76" s="434"/>
      <c r="S76" s="434"/>
      <c r="T76" s="428"/>
      <c r="U76" s="434"/>
      <c r="V76" s="435"/>
      <c r="W76" s="435"/>
      <c r="X76" s="435"/>
      <c r="Y76" s="428"/>
      <c r="Z76" s="435"/>
      <c r="AA76" s="435"/>
      <c r="AB76" s="435"/>
      <c r="AC76" s="435"/>
      <c r="AD76" s="428"/>
      <c r="AE76" s="436"/>
      <c r="AF76" s="436"/>
      <c r="AG76" s="436"/>
    </row>
    <row r="77" spans="3:33" ht="14.25" hidden="1" customHeight="1" outlineLevel="1" x14ac:dyDescent="0.25">
      <c r="C77" s="9" t="s">
        <v>421</v>
      </c>
      <c r="D77" s="9"/>
      <c r="E77" s="9"/>
      <c r="F77" s="408"/>
      <c r="G77" s="408"/>
      <c r="H77" s="408"/>
      <c r="I77" s="408"/>
      <c r="J77" s="132"/>
      <c r="K77" s="408"/>
      <c r="L77" s="408"/>
      <c r="M77" s="408"/>
      <c r="N77" s="408"/>
      <c r="O77" s="132"/>
      <c r="P77" s="408"/>
      <c r="Q77" s="408"/>
      <c r="R77" s="408"/>
      <c r="S77" s="408"/>
      <c r="T77" s="132"/>
      <c r="U77" s="408"/>
      <c r="V77" s="409"/>
      <c r="W77" s="409"/>
      <c r="X77" s="409"/>
      <c r="Y77" s="132"/>
      <c r="Z77" s="409"/>
      <c r="AA77" s="409"/>
      <c r="AB77" s="409"/>
      <c r="AC77" s="409"/>
      <c r="AD77" s="132"/>
      <c r="AE77" s="413"/>
      <c r="AF77" s="413"/>
      <c r="AG77" s="413"/>
    </row>
    <row r="78" spans="3:33" ht="14.25" hidden="1" customHeight="1" outlineLevel="1" x14ac:dyDescent="0.25">
      <c r="C78" s="103" t="str">
        <f>C$71</f>
        <v>North America</v>
      </c>
      <c r="D78" s="9"/>
      <c r="E78" s="9"/>
      <c r="F78" s="254" t="str">
        <f t="shared" ref="F78:AG78" si="118">IFERROR(F71/F$70,"N/A")</f>
        <v>N/A</v>
      </c>
      <c r="G78" s="254" t="str">
        <f t="shared" si="118"/>
        <v>N/A</v>
      </c>
      <c r="H78" s="254" t="str">
        <f t="shared" si="118"/>
        <v>N/A</v>
      </c>
      <c r="I78" s="254" t="str">
        <f t="shared" si="118"/>
        <v>N/A</v>
      </c>
      <c r="J78" s="132" t="str">
        <f t="shared" si="118"/>
        <v>N/A</v>
      </c>
      <c r="K78" s="312" t="str">
        <f t="shared" si="118"/>
        <v>N/A</v>
      </c>
      <c r="L78" s="312" t="str">
        <f t="shared" si="118"/>
        <v>N/A</v>
      </c>
      <c r="M78" s="312" t="str">
        <f t="shared" si="118"/>
        <v>N/A</v>
      </c>
      <c r="N78" s="312" t="str">
        <f t="shared" si="118"/>
        <v>N/A</v>
      </c>
      <c r="O78" s="313" t="str">
        <f t="shared" si="118"/>
        <v>N/A</v>
      </c>
      <c r="P78" s="312" t="str">
        <f t="shared" si="118"/>
        <v>N/A</v>
      </c>
      <c r="Q78" s="312" t="str">
        <f t="shared" si="118"/>
        <v>N/A</v>
      </c>
      <c r="R78" s="312" t="str">
        <f t="shared" si="118"/>
        <v>N/A</v>
      </c>
      <c r="S78" s="312" t="str">
        <f t="shared" si="118"/>
        <v>N/A</v>
      </c>
      <c r="T78" s="313" t="str">
        <f t="shared" si="118"/>
        <v>N/A</v>
      </c>
      <c r="U78" s="312" t="str">
        <f t="shared" ref="U78" si="119">IFERROR(U71/U$70,"N/A")</f>
        <v>N/A</v>
      </c>
      <c r="V78" s="314" t="str">
        <f t="shared" ref="V78:X78" si="120">IFERROR(V71/V$70,"N/A")</f>
        <v>N/A</v>
      </c>
      <c r="W78" s="314" t="str">
        <f t="shared" si="120"/>
        <v>N/A</v>
      </c>
      <c r="X78" s="314" t="str">
        <f t="shared" si="120"/>
        <v>N/A</v>
      </c>
      <c r="Y78" s="313" t="str">
        <f t="shared" si="118"/>
        <v>N/A</v>
      </c>
      <c r="Z78" s="314" t="str">
        <f t="shared" si="118"/>
        <v>N/A</v>
      </c>
      <c r="AA78" s="314" t="str">
        <f t="shared" si="118"/>
        <v>N/A</v>
      </c>
      <c r="AB78" s="314" t="str">
        <f t="shared" si="118"/>
        <v>N/A</v>
      </c>
      <c r="AC78" s="314" t="str">
        <f t="shared" si="118"/>
        <v>N/A</v>
      </c>
      <c r="AD78" s="313" t="str">
        <f t="shared" si="118"/>
        <v>N/A</v>
      </c>
      <c r="AE78" s="313" t="str">
        <f t="shared" si="118"/>
        <v>N/A</v>
      </c>
      <c r="AF78" s="313" t="str">
        <f t="shared" si="118"/>
        <v>N/A</v>
      </c>
      <c r="AG78" s="313" t="str">
        <f t="shared" si="118"/>
        <v>N/A</v>
      </c>
    </row>
    <row r="79" spans="3:33" ht="14.25" hidden="1" customHeight="1" outlineLevel="1" x14ac:dyDescent="0.25">
      <c r="C79" s="103" t="str">
        <f>C$72</f>
        <v>Europe</v>
      </c>
      <c r="D79" s="9"/>
      <c r="E79" s="9"/>
      <c r="F79" s="254" t="str">
        <f t="shared" ref="F79:AG79" si="121">IFERROR(F72/F$70,"N/A")</f>
        <v>N/A</v>
      </c>
      <c r="G79" s="254" t="str">
        <f t="shared" si="121"/>
        <v>N/A</v>
      </c>
      <c r="H79" s="254" t="str">
        <f t="shared" si="121"/>
        <v>N/A</v>
      </c>
      <c r="I79" s="254" t="str">
        <f t="shared" si="121"/>
        <v>N/A</v>
      </c>
      <c r="J79" s="132" t="str">
        <f t="shared" si="121"/>
        <v>N/A</v>
      </c>
      <c r="K79" s="312" t="str">
        <f t="shared" si="121"/>
        <v>N/A</v>
      </c>
      <c r="L79" s="312" t="str">
        <f t="shared" si="121"/>
        <v>N/A</v>
      </c>
      <c r="M79" s="312" t="str">
        <f t="shared" si="121"/>
        <v>N/A</v>
      </c>
      <c r="N79" s="312" t="str">
        <f t="shared" si="121"/>
        <v>N/A</v>
      </c>
      <c r="O79" s="313" t="str">
        <f t="shared" si="121"/>
        <v>N/A</v>
      </c>
      <c r="P79" s="312" t="str">
        <f t="shared" si="121"/>
        <v>N/A</v>
      </c>
      <c r="Q79" s="312" t="str">
        <f t="shared" si="121"/>
        <v>N/A</v>
      </c>
      <c r="R79" s="312" t="str">
        <f t="shared" si="121"/>
        <v>N/A</v>
      </c>
      <c r="S79" s="312" t="str">
        <f t="shared" si="121"/>
        <v>N/A</v>
      </c>
      <c r="T79" s="313" t="str">
        <f t="shared" si="121"/>
        <v>N/A</v>
      </c>
      <c r="U79" s="312" t="str">
        <f t="shared" ref="U79" si="122">IFERROR(U72/U$70,"N/A")</f>
        <v>N/A</v>
      </c>
      <c r="V79" s="314" t="str">
        <f t="shared" ref="V79:X79" si="123">IFERROR(V72/V$70,"N/A")</f>
        <v>N/A</v>
      </c>
      <c r="W79" s="314" t="str">
        <f t="shared" si="123"/>
        <v>N/A</v>
      </c>
      <c r="X79" s="314" t="str">
        <f t="shared" si="123"/>
        <v>N/A</v>
      </c>
      <c r="Y79" s="313" t="str">
        <f t="shared" si="121"/>
        <v>N/A</v>
      </c>
      <c r="Z79" s="314" t="str">
        <f t="shared" si="121"/>
        <v>N/A</v>
      </c>
      <c r="AA79" s="314" t="str">
        <f t="shared" si="121"/>
        <v>N/A</v>
      </c>
      <c r="AB79" s="314" t="str">
        <f t="shared" si="121"/>
        <v>N/A</v>
      </c>
      <c r="AC79" s="314" t="str">
        <f t="shared" si="121"/>
        <v>N/A</v>
      </c>
      <c r="AD79" s="313" t="str">
        <f t="shared" si="121"/>
        <v>N/A</v>
      </c>
      <c r="AE79" s="313" t="str">
        <f t="shared" si="121"/>
        <v>N/A</v>
      </c>
      <c r="AF79" s="313" t="str">
        <f t="shared" si="121"/>
        <v>N/A</v>
      </c>
      <c r="AG79" s="313" t="str">
        <f t="shared" si="121"/>
        <v>N/A</v>
      </c>
    </row>
    <row r="80" spans="3:33" ht="14.25" hidden="1" customHeight="1" outlineLevel="1" x14ac:dyDescent="0.25">
      <c r="C80" s="103" t="str">
        <f>C$73</f>
        <v>South America</v>
      </c>
      <c r="D80" s="9"/>
      <c r="E80" s="9"/>
      <c r="F80" s="254" t="str">
        <f t="shared" ref="F80:AG80" si="124">IFERROR(F73/F$70,"N/A")</f>
        <v>N/A</v>
      </c>
      <c r="G80" s="254" t="str">
        <f t="shared" si="124"/>
        <v>N/A</v>
      </c>
      <c r="H80" s="254" t="str">
        <f t="shared" si="124"/>
        <v>N/A</v>
      </c>
      <c r="I80" s="254" t="str">
        <f t="shared" si="124"/>
        <v>N/A</v>
      </c>
      <c r="J80" s="132" t="str">
        <f t="shared" si="124"/>
        <v>N/A</v>
      </c>
      <c r="K80" s="312" t="str">
        <f t="shared" si="124"/>
        <v>N/A</v>
      </c>
      <c r="L80" s="312" t="str">
        <f t="shared" si="124"/>
        <v>N/A</v>
      </c>
      <c r="M80" s="312" t="str">
        <f t="shared" si="124"/>
        <v>N/A</v>
      </c>
      <c r="N80" s="312" t="str">
        <f t="shared" si="124"/>
        <v>N/A</v>
      </c>
      <c r="O80" s="313" t="str">
        <f t="shared" si="124"/>
        <v>N/A</v>
      </c>
      <c r="P80" s="312" t="str">
        <f t="shared" si="124"/>
        <v>N/A</v>
      </c>
      <c r="Q80" s="312" t="str">
        <f t="shared" si="124"/>
        <v>N/A</v>
      </c>
      <c r="R80" s="312" t="str">
        <f t="shared" si="124"/>
        <v>N/A</v>
      </c>
      <c r="S80" s="312" t="str">
        <f t="shared" si="124"/>
        <v>N/A</v>
      </c>
      <c r="T80" s="313" t="str">
        <f t="shared" si="124"/>
        <v>N/A</v>
      </c>
      <c r="U80" s="312" t="str">
        <f t="shared" ref="U80" si="125">IFERROR(U73/U$70,"N/A")</f>
        <v>N/A</v>
      </c>
      <c r="V80" s="314" t="str">
        <f t="shared" ref="V80:X80" si="126">IFERROR(V73/V$70,"N/A")</f>
        <v>N/A</v>
      </c>
      <c r="W80" s="314" t="str">
        <f t="shared" si="126"/>
        <v>N/A</v>
      </c>
      <c r="X80" s="314" t="str">
        <f t="shared" si="126"/>
        <v>N/A</v>
      </c>
      <c r="Y80" s="313" t="str">
        <f t="shared" si="124"/>
        <v>N/A</v>
      </c>
      <c r="Z80" s="314" t="str">
        <f t="shared" si="124"/>
        <v>N/A</v>
      </c>
      <c r="AA80" s="314" t="str">
        <f t="shared" si="124"/>
        <v>N/A</v>
      </c>
      <c r="AB80" s="314" t="str">
        <f t="shared" si="124"/>
        <v>N/A</v>
      </c>
      <c r="AC80" s="314" t="str">
        <f t="shared" si="124"/>
        <v>N/A</v>
      </c>
      <c r="AD80" s="313" t="str">
        <f t="shared" si="124"/>
        <v>N/A</v>
      </c>
      <c r="AE80" s="313" t="str">
        <f t="shared" si="124"/>
        <v>N/A</v>
      </c>
      <c r="AF80" s="313" t="str">
        <f t="shared" si="124"/>
        <v>N/A</v>
      </c>
      <c r="AG80" s="313" t="str">
        <f t="shared" si="124"/>
        <v>N/A</v>
      </c>
    </row>
    <row r="81" spans="3:33" ht="14.25" hidden="1" customHeight="1" outlineLevel="1" x14ac:dyDescent="0.25">
      <c r="C81" s="103" t="str">
        <f>C$74</f>
        <v>Middle East &amp; Africa</v>
      </c>
      <c r="D81" s="9"/>
      <c r="E81" s="9"/>
      <c r="F81" s="254" t="str">
        <f t="shared" ref="F81:AG81" si="127">IFERROR(F74/F$70,"N/A")</f>
        <v>N/A</v>
      </c>
      <c r="G81" s="254" t="str">
        <f t="shared" si="127"/>
        <v>N/A</v>
      </c>
      <c r="H81" s="254" t="str">
        <f t="shared" si="127"/>
        <v>N/A</v>
      </c>
      <c r="I81" s="254" t="str">
        <f t="shared" si="127"/>
        <v>N/A</v>
      </c>
      <c r="J81" s="132" t="str">
        <f t="shared" si="127"/>
        <v>N/A</v>
      </c>
      <c r="K81" s="312" t="str">
        <f t="shared" si="127"/>
        <v>N/A</v>
      </c>
      <c r="L81" s="312" t="str">
        <f t="shared" si="127"/>
        <v>N/A</v>
      </c>
      <c r="M81" s="312" t="str">
        <f t="shared" si="127"/>
        <v>N/A</v>
      </c>
      <c r="N81" s="312" t="str">
        <f t="shared" si="127"/>
        <v>N/A</v>
      </c>
      <c r="O81" s="313" t="str">
        <f t="shared" si="127"/>
        <v>N/A</v>
      </c>
      <c r="P81" s="312" t="str">
        <f t="shared" si="127"/>
        <v>N/A</v>
      </c>
      <c r="Q81" s="312" t="str">
        <f t="shared" si="127"/>
        <v>N/A</v>
      </c>
      <c r="R81" s="312" t="str">
        <f t="shared" si="127"/>
        <v>N/A</v>
      </c>
      <c r="S81" s="312" t="str">
        <f t="shared" si="127"/>
        <v>N/A</v>
      </c>
      <c r="T81" s="313" t="str">
        <f t="shared" si="127"/>
        <v>N/A</v>
      </c>
      <c r="U81" s="312" t="str">
        <f t="shared" ref="U81" si="128">IFERROR(U74/U$70,"N/A")</f>
        <v>N/A</v>
      </c>
      <c r="V81" s="314" t="str">
        <f t="shared" ref="V81:X81" si="129">IFERROR(V74/V$70,"N/A")</f>
        <v>N/A</v>
      </c>
      <c r="W81" s="314" t="str">
        <f t="shared" si="129"/>
        <v>N/A</v>
      </c>
      <c r="X81" s="314" t="str">
        <f t="shared" si="129"/>
        <v>N/A</v>
      </c>
      <c r="Y81" s="313" t="str">
        <f t="shared" si="127"/>
        <v>N/A</v>
      </c>
      <c r="Z81" s="314" t="str">
        <f t="shared" si="127"/>
        <v>N/A</v>
      </c>
      <c r="AA81" s="314" t="str">
        <f t="shared" si="127"/>
        <v>N/A</v>
      </c>
      <c r="AB81" s="314" t="str">
        <f t="shared" si="127"/>
        <v>N/A</v>
      </c>
      <c r="AC81" s="314" t="str">
        <f t="shared" si="127"/>
        <v>N/A</v>
      </c>
      <c r="AD81" s="313" t="str">
        <f t="shared" si="127"/>
        <v>N/A</v>
      </c>
      <c r="AE81" s="313" t="str">
        <f t="shared" si="127"/>
        <v>N/A</v>
      </c>
      <c r="AF81" s="313" t="str">
        <f t="shared" si="127"/>
        <v>N/A</v>
      </c>
      <c r="AG81" s="313" t="str">
        <f t="shared" si="127"/>
        <v>N/A</v>
      </c>
    </row>
    <row r="82" spans="3:33" ht="14.25" hidden="1" customHeight="1" outlineLevel="1" x14ac:dyDescent="0.25">
      <c r="C82" s="103" t="str">
        <f>C$75</f>
        <v>Asia Pacific</v>
      </c>
      <c r="D82" s="9"/>
      <c r="E82" s="9"/>
      <c r="F82" s="254" t="str">
        <f t="shared" ref="F82:AG82" si="130">IFERROR(F75/F$70,"N/A")</f>
        <v>N/A</v>
      </c>
      <c r="G82" s="254" t="str">
        <f t="shared" si="130"/>
        <v>N/A</v>
      </c>
      <c r="H82" s="254" t="str">
        <f t="shared" si="130"/>
        <v>N/A</v>
      </c>
      <c r="I82" s="254" t="str">
        <f t="shared" si="130"/>
        <v>N/A</v>
      </c>
      <c r="J82" s="132" t="str">
        <f t="shared" si="130"/>
        <v>N/A</v>
      </c>
      <c r="K82" s="312" t="str">
        <f t="shared" si="130"/>
        <v>N/A</v>
      </c>
      <c r="L82" s="312" t="str">
        <f t="shared" si="130"/>
        <v>N/A</v>
      </c>
      <c r="M82" s="312" t="str">
        <f t="shared" si="130"/>
        <v>N/A</v>
      </c>
      <c r="N82" s="312" t="str">
        <f t="shared" si="130"/>
        <v>N/A</v>
      </c>
      <c r="O82" s="313" t="str">
        <f t="shared" si="130"/>
        <v>N/A</v>
      </c>
      <c r="P82" s="312" t="str">
        <f t="shared" si="130"/>
        <v>N/A</v>
      </c>
      <c r="Q82" s="312" t="str">
        <f t="shared" si="130"/>
        <v>N/A</v>
      </c>
      <c r="R82" s="312" t="str">
        <f t="shared" si="130"/>
        <v>N/A</v>
      </c>
      <c r="S82" s="312" t="str">
        <f t="shared" si="130"/>
        <v>N/A</v>
      </c>
      <c r="T82" s="313" t="str">
        <f t="shared" si="130"/>
        <v>N/A</v>
      </c>
      <c r="U82" s="312" t="str">
        <f t="shared" ref="U82" si="131">IFERROR(U75/U$70,"N/A")</f>
        <v>N/A</v>
      </c>
      <c r="V82" s="314" t="str">
        <f t="shared" ref="V82:X82" si="132">IFERROR(V75/V$70,"N/A")</f>
        <v>N/A</v>
      </c>
      <c r="W82" s="314" t="str">
        <f t="shared" si="132"/>
        <v>N/A</v>
      </c>
      <c r="X82" s="314" t="str">
        <f t="shared" si="132"/>
        <v>N/A</v>
      </c>
      <c r="Y82" s="313" t="str">
        <f t="shared" si="130"/>
        <v>N/A</v>
      </c>
      <c r="Z82" s="314" t="str">
        <f t="shared" si="130"/>
        <v>N/A</v>
      </c>
      <c r="AA82" s="314" t="str">
        <f t="shared" si="130"/>
        <v>N/A</v>
      </c>
      <c r="AB82" s="314" t="str">
        <f t="shared" si="130"/>
        <v>N/A</v>
      </c>
      <c r="AC82" s="314" t="str">
        <f t="shared" si="130"/>
        <v>N/A</v>
      </c>
      <c r="AD82" s="313" t="str">
        <f t="shared" si="130"/>
        <v>N/A</v>
      </c>
      <c r="AE82" s="313" t="str">
        <f t="shared" si="130"/>
        <v>N/A</v>
      </c>
      <c r="AF82" s="313" t="str">
        <f t="shared" si="130"/>
        <v>N/A</v>
      </c>
      <c r="AG82" s="313" t="str">
        <f t="shared" si="130"/>
        <v>N/A</v>
      </c>
    </row>
    <row r="83" spans="3:33" ht="14.25" hidden="1" customHeight="1" outlineLevel="1" x14ac:dyDescent="0.25">
      <c r="C83" s="9"/>
      <c r="D83" s="9"/>
      <c r="E83" s="9"/>
      <c r="F83" s="408"/>
      <c r="G83" s="408"/>
      <c r="H83" s="408"/>
      <c r="I83" s="408"/>
      <c r="J83" s="132"/>
      <c r="K83" s="408"/>
      <c r="L83" s="408"/>
      <c r="M83" s="408"/>
      <c r="N83" s="408"/>
      <c r="O83" s="132"/>
      <c r="P83" s="408"/>
      <c r="Q83" s="408"/>
      <c r="R83" s="408"/>
      <c r="S83" s="408"/>
      <c r="T83" s="132"/>
      <c r="U83" s="408"/>
      <c r="V83" s="409"/>
      <c r="W83" s="409"/>
      <c r="X83" s="409"/>
      <c r="Y83" s="132"/>
      <c r="Z83" s="409"/>
      <c r="AA83" s="409"/>
      <c r="AB83" s="409"/>
      <c r="AC83" s="409"/>
      <c r="AD83" s="132"/>
      <c r="AE83" s="413"/>
      <c r="AF83" s="413"/>
      <c r="AG83" s="413"/>
    </row>
    <row r="84" spans="3:33" ht="14.25" hidden="1" customHeight="1" outlineLevel="1" x14ac:dyDescent="0.25">
      <c r="C84" s="9" t="str">
        <f>'Segment Analysis'!C9</f>
        <v>Net Card Fees Revenue</v>
      </c>
      <c r="D84" s="9"/>
      <c r="E84" s="9"/>
      <c r="F84" s="254"/>
      <c r="G84" s="254"/>
      <c r="H84" s="254"/>
      <c r="I84" s="254"/>
      <c r="J84" s="132"/>
      <c r="K84" s="254"/>
      <c r="L84" s="254"/>
      <c r="M84" s="254"/>
      <c r="N84" s="254"/>
      <c r="O84" s="132"/>
      <c r="P84" s="254"/>
      <c r="Q84" s="254"/>
      <c r="R84" s="254"/>
      <c r="S84" s="254"/>
      <c r="T84" s="132"/>
      <c r="U84" s="254"/>
      <c r="V84" s="257"/>
      <c r="W84" s="257"/>
      <c r="X84" s="257"/>
      <c r="Y84" s="132"/>
      <c r="Z84" s="257"/>
      <c r="AA84" s="257"/>
      <c r="AB84" s="257"/>
      <c r="AC84" s="257"/>
      <c r="AD84" s="132"/>
      <c r="AE84" s="132"/>
      <c r="AF84" s="132"/>
      <c r="AG84" s="132"/>
    </row>
    <row r="85" spans="3:33" ht="14.25" hidden="1" customHeight="1" outlineLevel="1" x14ac:dyDescent="0.25">
      <c r="C85" s="103" t="str">
        <f>C$71</f>
        <v>North America</v>
      </c>
      <c r="D85" s="9"/>
      <c r="E85" s="9"/>
      <c r="F85" s="403">
        <v>0</v>
      </c>
      <c r="G85" s="403">
        <v>0</v>
      </c>
      <c r="H85" s="403">
        <v>0</v>
      </c>
      <c r="I85" s="403">
        <v>0</v>
      </c>
      <c r="J85" s="404">
        <f t="shared" ref="J85:J89" si="133">SUM(F85:I85)</f>
        <v>0</v>
      </c>
      <c r="K85" s="403">
        <v>0</v>
      </c>
      <c r="L85" s="403">
        <v>0</v>
      </c>
      <c r="M85" s="403">
        <v>0</v>
      </c>
      <c r="N85" s="403">
        <v>0</v>
      </c>
      <c r="O85" s="404">
        <f t="shared" ref="O85:O89" si="134">SUM(K85:N85)</f>
        <v>0</v>
      </c>
      <c r="P85" s="403">
        <v>0</v>
      </c>
      <c r="Q85" s="403">
        <v>0</v>
      </c>
      <c r="R85" s="403">
        <v>0</v>
      </c>
      <c r="S85" s="403">
        <v>0</v>
      </c>
      <c r="T85" s="404">
        <f t="shared" ref="T85:T89" si="135">SUM(P85:S85)</f>
        <v>0</v>
      </c>
      <c r="U85" s="403">
        <v>0</v>
      </c>
      <c r="V85" s="411">
        <v>0</v>
      </c>
      <c r="W85" s="411">
        <v>0</v>
      </c>
      <c r="X85" s="411">
        <v>0</v>
      </c>
      <c r="Y85" s="404">
        <f t="shared" ref="Y85:Y89" si="136">SUM(U85:X85)</f>
        <v>0</v>
      </c>
      <c r="Z85" s="411">
        <v>0</v>
      </c>
      <c r="AA85" s="411">
        <v>0</v>
      </c>
      <c r="AB85" s="411">
        <v>0</v>
      </c>
      <c r="AC85" s="411">
        <v>0</v>
      </c>
      <c r="AD85" s="404">
        <f t="shared" ref="AD85:AD89" si="137">SUM(Z85:AC85)</f>
        <v>0</v>
      </c>
      <c r="AE85" s="412">
        <v>0</v>
      </c>
      <c r="AF85" s="412">
        <v>0</v>
      </c>
      <c r="AG85" s="412">
        <v>0</v>
      </c>
    </row>
    <row r="86" spans="3:33" ht="14.25" hidden="1" customHeight="1" outlineLevel="1" x14ac:dyDescent="0.25">
      <c r="C86" s="103" t="str">
        <f>C$72</f>
        <v>Europe</v>
      </c>
      <c r="D86" s="9"/>
      <c r="E86" s="9"/>
      <c r="F86" s="403">
        <v>0</v>
      </c>
      <c r="G86" s="403">
        <v>0</v>
      </c>
      <c r="H86" s="403">
        <v>0</v>
      </c>
      <c r="I86" s="403">
        <v>0</v>
      </c>
      <c r="J86" s="404">
        <f t="shared" si="133"/>
        <v>0</v>
      </c>
      <c r="K86" s="403">
        <v>0</v>
      </c>
      <c r="L86" s="403">
        <v>0</v>
      </c>
      <c r="M86" s="403">
        <v>0</v>
      </c>
      <c r="N86" s="403">
        <v>0</v>
      </c>
      <c r="O86" s="404">
        <f t="shared" si="134"/>
        <v>0</v>
      </c>
      <c r="P86" s="403">
        <v>0</v>
      </c>
      <c r="Q86" s="403">
        <v>0</v>
      </c>
      <c r="R86" s="403">
        <v>0</v>
      </c>
      <c r="S86" s="403">
        <v>0</v>
      </c>
      <c r="T86" s="404">
        <f t="shared" si="135"/>
        <v>0</v>
      </c>
      <c r="U86" s="403">
        <v>0</v>
      </c>
      <c r="V86" s="411">
        <v>0</v>
      </c>
      <c r="W86" s="411">
        <v>0</v>
      </c>
      <c r="X86" s="411">
        <v>0</v>
      </c>
      <c r="Y86" s="404">
        <f t="shared" si="136"/>
        <v>0</v>
      </c>
      <c r="Z86" s="411">
        <v>0</v>
      </c>
      <c r="AA86" s="411">
        <v>0</v>
      </c>
      <c r="AB86" s="411">
        <v>0</v>
      </c>
      <c r="AC86" s="411">
        <v>0</v>
      </c>
      <c r="AD86" s="404">
        <f t="shared" si="137"/>
        <v>0</v>
      </c>
      <c r="AE86" s="412">
        <v>0</v>
      </c>
      <c r="AF86" s="412">
        <v>0</v>
      </c>
      <c r="AG86" s="412">
        <v>0</v>
      </c>
    </row>
    <row r="87" spans="3:33" ht="14.25" hidden="1" customHeight="1" outlineLevel="1" x14ac:dyDescent="0.25">
      <c r="C87" s="103" t="str">
        <f>C$73</f>
        <v>South America</v>
      </c>
      <c r="D87" s="9"/>
      <c r="E87" s="9"/>
      <c r="F87" s="403">
        <v>0</v>
      </c>
      <c r="G87" s="403">
        <v>0</v>
      </c>
      <c r="H87" s="403">
        <v>0</v>
      </c>
      <c r="I87" s="403">
        <v>0</v>
      </c>
      <c r="J87" s="404">
        <f t="shared" si="133"/>
        <v>0</v>
      </c>
      <c r="K87" s="403">
        <v>0</v>
      </c>
      <c r="L87" s="403">
        <v>0</v>
      </c>
      <c r="M87" s="403">
        <v>0</v>
      </c>
      <c r="N87" s="403">
        <v>0</v>
      </c>
      <c r="O87" s="404">
        <f t="shared" si="134"/>
        <v>0</v>
      </c>
      <c r="P87" s="403">
        <v>0</v>
      </c>
      <c r="Q87" s="403">
        <v>0</v>
      </c>
      <c r="R87" s="403">
        <v>0</v>
      </c>
      <c r="S87" s="403">
        <v>0</v>
      </c>
      <c r="T87" s="404">
        <f t="shared" si="135"/>
        <v>0</v>
      </c>
      <c r="U87" s="403">
        <v>0</v>
      </c>
      <c r="V87" s="411">
        <v>0</v>
      </c>
      <c r="W87" s="411">
        <v>0</v>
      </c>
      <c r="X87" s="411">
        <v>0</v>
      </c>
      <c r="Y87" s="404">
        <f t="shared" si="136"/>
        <v>0</v>
      </c>
      <c r="Z87" s="411">
        <v>0</v>
      </c>
      <c r="AA87" s="411">
        <v>0</v>
      </c>
      <c r="AB87" s="411">
        <v>0</v>
      </c>
      <c r="AC87" s="411">
        <v>0</v>
      </c>
      <c r="AD87" s="404">
        <f t="shared" si="137"/>
        <v>0</v>
      </c>
      <c r="AE87" s="412">
        <v>0</v>
      </c>
      <c r="AF87" s="412">
        <v>0</v>
      </c>
      <c r="AG87" s="412">
        <v>0</v>
      </c>
    </row>
    <row r="88" spans="3:33" ht="14.25" hidden="1" customHeight="1" outlineLevel="1" x14ac:dyDescent="0.25">
      <c r="C88" s="103" t="str">
        <f>C$74</f>
        <v>Middle East &amp; Africa</v>
      </c>
      <c r="D88" s="9"/>
      <c r="E88" s="9"/>
      <c r="F88" s="403">
        <v>0</v>
      </c>
      <c r="G88" s="403">
        <v>0</v>
      </c>
      <c r="H88" s="403">
        <v>0</v>
      </c>
      <c r="I88" s="403">
        <v>0</v>
      </c>
      <c r="J88" s="404">
        <f t="shared" si="133"/>
        <v>0</v>
      </c>
      <c r="K88" s="403">
        <v>0</v>
      </c>
      <c r="L88" s="403">
        <v>0</v>
      </c>
      <c r="M88" s="403">
        <v>0</v>
      </c>
      <c r="N88" s="403">
        <v>0</v>
      </c>
      <c r="O88" s="404">
        <f t="shared" si="134"/>
        <v>0</v>
      </c>
      <c r="P88" s="403">
        <v>0</v>
      </c>
      <c r="Q88" s="403">
        <v>0</v>
      </c>
      <c r="R88" s="403">
        <v>0</v>
      </c>
      <c r="S88" s="403">
        <v>0</v>
      </c>
      <c r="T88" s="404">
        <f t="shared" si="135"/>
        <v>0</v>
      </c>
      <c r="U88" s="403">
        <v>0</v>
      </c>
      <c r="V88" s="411">
        <v>0</v>
      </c>
      <c r="W88" s="411">
        <v>0</v>
      </c>
      <c r="X88" s="411">
        <v>0</v>
      </c>
      <c r="Y88" s="404">
        <f t="shared" si="136"/>
        <v>0</v>
      </c>
      <c r="Z88" s="411">
        <v>0</v>
      </c>
      <c r="AA88" s="411">
        <v>0</v>
      </c>
      <c r="AB88" s="411">
        <v>0</v>
      </c>
      <c r="AC88" s="411">
        <v>0</v>
      </c>
      <c r="AD88" s="404">
        <f t="shared" si="137"/>
        <v>0</v>
      </c>
      <c r="AE88" s="412">
        <v>0</v>
      </c>
      <c r="AF88" s="412">
        <v>0</v>
      </c>
      <c r="AG88" s="412">
        <v>0</v>
      </c>
    </row>
    <row r="89" spans="3:33" ht="14.25" hidden="1" customHeight="1" outlineLevel="1" x14ac:dyDescent="0.25">
      <c r="C89" s="103" t="str">
        <f>C$75</f>
        <v>Asia Pacific</v>
      </c>
      <c r="D89" s="9"/>
      <c r="E89" s="9"/>
      <c r="F89" s="403">
        <v>0</v>
      </c>
      <c r="G89" s="403">
        <v>0</v>
      </c>
      <c r="H89" s="403">
        <v>0</v>
      </c>
      <c r="I89" s="403">
        <v>0</v>
      </c>
      <c r="J89" s="404">
        <f t="shared" si="133"/>
        <v>0</v>
      </c>
      <c r="K89" s="403">
        <v>0</v>
      </c>
      <c r="L89" s="403">
        <v>0</v>
      </c>
      <c r="M89" s="403">
        <v>0</v>
      </c>
      <c r="N89" s="403">
        <v>0</v>
      </c>
      <c r="O89" s="404">
        <f t="shared" si="134"/>
        <v>0</v>
      </c>
      <c r="P89" s="403">
        <v>0</v>
      </c>
      <c r="Q89" s="403">
        <v>0</v>
      </c>
      <c r="R89" s="403">
        <v>0</v>
      </c>
      <c r="S89" s="403">
        <v>0</v>
      </c>
      <c r="T89" s="404">
        <f t="shared" si="135"/>
        <v>0</v>
      </c>
      <c r="U89" s="403">
        <v>0</v>
      </c>
      <c r="V89" s="411">
        <v>0</v>
      </c>
      <c r="W89" s="411">
        <v>0</v>
      </c>
      <c r="X89" s="411">
        <v>0</v>
      </c>
      <c r="Y89" s="404">
        <f t="shared" si="136"/>
        <v>0</v>
      </c>
      <c r="Z89" s="411">
        <v>0</v>
      </c>
      <c r="AA89" s="411">
        <v>0</v>
      </c>
      <c r="AB89" s="411">
        <v>0</v>
      </c>
      <c r="AC89" s="411">
        <v>0</v>
      </c>
      <c r="AD89" s="404">
        <f t="shared" si="137"/>
        <v>0</v>
      </c>
      <c r="AE89" s="412">
        <v>0</v>
      </c>
      <c r="AF89" s="412">
        <v>0</v>
      </c>
      <c r="AG89" s="412">
        <v>0</v>
      </c>
    </row>
    <row r="90" spans="3:33" ht="14.25" hidden="1" customHeight="1" outlineLevel="1" x14ac:dyDescent="0.25">
      <c r="C90" s="9"/>
      <c r="D90" s="9"/>
      <c r="E90" s="9"/>
      <c r="F90" s="437"/>
      <c r="G90" s="437"/>
      <c r="H90" s="437"/>
      <c r="I90" s="437"/>
      <c r="J90" s="132"/>
      <c r="K90" s="437"/>
      <c r="L90" s="437"/>
      <c r="M90" s="437"/>
      <c r="N90" s="437"/>
      <c r="O90" s="132"/>
      <c r="P90" s="437"/>
      <c r="Q90" s="437"/>
      <c r="R90" s="437"/>
      <c r="S90" s="437"/>
      <c r="T90" s="132"/>
      <c r="U90" s="437"/>
      <c r="V90" s="438"/>
      <c r="W90" s="438"/>
      <c r="X90" s="438"/>
      <c r="Y90" s="132"/>
      <c r="Z90" s="438"/>
      <c r="AA90" s="438"/>
      <c r="AB90" s="438"/>
      <c r="AC90" s="438"/>
      <c r="AD90" s="132"/>
      <c r="AE90" s="439"/>
      <c r="AF90" s="439"/>
      <c r="AG90" s="439"/>
    </row>
    <row r="91" spans="3:33" ht="14.25" hidden="1" customHeight="1" outlineLevel="1" x14ac:dyDescent="0.25">
      <c r="C91" s="9" t="str">
        <f>'Segment Analysis'!C8</f>
        <v>Discount Revenue</v>
      </c>
      <c r="D91" s="9"/>
      <c r="E91" s="9"/>
      <c r="F91" s="437"/>
      <c r="G91" s="437"/>
      <c r="H91" s="437"/>
      <c r="I91" s="437"/>
      <c r="J91" s="132"/>
      <c r="K91" s="437"/>
      <c r="L91" s="437"/>
      <c r="M91" s="437"/>
      <c r="N91" s="437"/>
      <c r="O91" s="132"/>
      <c r="P91" s="437"/>
      <c r="Q91" s="437"/>
      <c r="R91" s="437"/>
      <c r="S91" s="437"/>
      <c r="T91" s="132"/>
      <c r="U91" s="437"/>
      <c r="V91" s="438"/>
      <c r="W91" s="438"/>
      <c r="X91" s="438"/>
      <c r="Y91" s="132"/>
      <c r="Z91" s="438"/>
      <c r="AA91" s="438"/>
      <c r="AB91" s="438"/>
      <c r="AC91" s="438"/>
      <c r="AD91" s="132"/>
      <c r="AE91" s="439"/>
      <c r="AF91" s="439"/>
      <c r="AG91" s="439"/>
    </row>
    <row r="92" spans="3:33" ht="14.25" hidden="1" customHeight="1" outlineLevel="1" x14ac:dyDescent="0.25">
      <c r="C92" s="103" t="str">
        <f>C$71</f>
        <v>North America</v>
      </c>
      <c r="D92" s="9"/>
      <c r="E92" s="9"/>
      <c r="F92" s="403">
        <v>0</v>
      </c>
      <c r="G92" s="403">
        <v>0</v>
      </c>
      <c r="H92" s="403">
        <v>0</v>
      </c>
      <c r="I92" s="403">
        <v>0</v>
      </c>
      <c r="J92" s="404">
        <f t="shared" ref="J92:J96" si="138">SUM(F92:I92)</f>
        <v>0</v>
      </c>
      <c r="K92" s="403">
        <v>0</v>
      </c>
      <c r="L92" s="403">
        <v>0</v>
      </c>
      <c r="M92" s="403">
        <v>0</v>
      </c>
      <c r="N92" s="403">
        <v>0</v>
      </c>
      <c r="O92" s="404">
        <f t="shared" ref="O92:O96" si="139">SUM(K92:N92)</f>
        <v>0</v>
      </c>
      <c r="P92" s="403">
        <v>0</v>
      </c>
      <c r="Q92" s="403">
        <v>0</v>
      </c>
      <c r="R92" s="403">
        <v>0</v>
      </c>
      <c r="S92" s="403">
        <v>0</v>
      </c>
      <c r="T92" s="404">
        <f t="shared" ref="T92:T96" si="140">SUM(P92:S92)</f>
        <v>0</v>
      </c>
      <c r="U92" s="403">
        <v>0</v>
      </c>
      <c r="V92" s="411">
        <v>0</v>
      </c>
      <c r="W92" s="411">
        <v>0</v>
      </c>
      <c r="X92" s="411">
        <v>0</v>
      </c>
      <c r="Y92" s="404">
        <f t="shared" ref="Y92:Y96" si="141">SUM(U92:X92)</f>
        <v>0</v>
      </c>
      <c r="Z92" s="411">
        <v>0</v>
      </c>
      <c r="AA92" s="411">
        <v>0</v>
      </c>
      <c r="AB92" s="411">
        <v>0</v>
      </c>
      <c r="AC92" s="411">
        <v>0</v>
      </c>
      <c r="AD92" s="404">
        <f t="shared" ref="AD92:AD96" si="142">SUM(Z92:AC92)</f>
        <v>0</v>
      </c>
      <c r="AE92" s="412">
        <v>0</v>
      </c>
      <c r="AF92" s="412">
        <v>0</v>
      </c>
      <c r="AG92" s="412">
        <v>0</v>
      </c>
    </row>
    <row r="93" spans="3:33" ht="14.25" hidden="1" customHeight="1" outlineLevel="1" x14ac:dyDescent="0.25">
      <c r="C93" s="103" t="str">
        <f>C$72</f>
        <v>Europe</v>
      </c>
      <c r="D93" s="9"/>
      <c r="E93" s="9"/>
      <c r="F93" s="403">
        <v>0</v>
      </c>
      <c r="G93" s="403">
        <v>0</v>
      </c>
      <c r="H93" s="403">
        <v>0</v>
      </c>
      <c r="I93" s="403">
        <v>0</v>
      </c>
      <c r="J93" s="404">
        <f t="shared" si="138"/>
        <v>0</v>
      </c>
      <c r="K93" s="403">
        <v>0</v>
      </c>
      <c r="L93" s="403">
        <v>0</v>
      </c>
      <c r="M93" s="403">
        <v>0</v>
      </c>
      <c r="N93" s="403">
        <v>0</v>
      </c>
      <c r="O93" s="404">
        <f t="shared" si="139"/>
        <v>0</v>
      </c>
      <c r="P93" s="403">
        <v>0</v>
      </c>
      <c r="Q93" s="403">
        <v>0</v>
      </c>
      <c r="R93" s="403">
        <v>0</v>
      </c>
      <c r="S93" s="403">
        <v>0</v>
      </c>
      <c r="T93" s="404">
        <f t="shared" si="140"/>
        <v>0</v>
      </c>
      <c r="U93" s="403">
        <v>0</v>
      </c>
      <c r="V93" s="411">
        <v>0</v>
      </c>
      <c r="W93" s="411">
        <v>0</v>
      </c>
      <c r="X93" s="411">
        <v>0</v>
      </c>
      <c r="Y93" s="404">
        <f t="shared" si="141"/>
        <v>0</v>
      </c>
      <c r="Z93" s="411">
        <v>0</v>
      </c>
      <c r="AA93" s="411">
        <v>0</v>
      </c>
      <c r="AB93" s="411">
        <v>0</v>
      </c>
      <c r="AC93" s="411">
        <v>0</v>
      </c>
      <c r="AD93" s="404">
        <f t="shared" si="142"/>
        <v>0</v>
      </c>
      <c r="AE93" s="412">
        <v>0</v>
      </c>
      <c r="AF93" s="412">
        <v>0</v>
      </c>
      <c r="AG93" s="412">
        <v>0</v>
      </c>
    </row>
    <row r="94" spans="3:33" ht="14.25" hidden="1" customHeight="1" outlineLevel="1" x14ac:dyDescent="0.25">
      <c r="C94" s="103" t="str">
        <f>C$73</f>
        <v>South America</v>
      </c>
      <c r="D94" s="9"/>
      <c r="E94" s="9"/>
      <c r="F94" s="403">
        <v>0</v>
      </c>
      <c r="G94" s="403">
        <v>0</v>
      </c>
      <c r="H94" s="403">
        <v>0</v>
      </c>
      <c r="I94" s="403">
        <v>0</v>
      </c>
      <c r="J94" s="404">
        <f t="shared" si="138"/>
        <v>0</v>
      </c>
      <c r="K94" s="403">
        <v>0</v>
      </c>
      <c r="L94" s="403">
        <v>0</v>
      </c>
      <c r="M94" s="403">
        <v>0</v>
      </c>
      <c r="N94" s="403">
        <v>0</v>
      </c>
      <c r="O94" s="404">
        <f t="shared" si="139"/>
        <v>0</v>
      </c>
      <c r="P94" s="403">
        <v>0</v>
      </c>
      <c r="Q94" s="403">
        <v>0</v>
      </c>
      <c r="R94" s="403">
        <v>0</v>
      </c>
      <c r="S94" s="403">
        <v>0</v>
      </c>
      <c r="T94" s="404">
        <f t="shared" si="140"/>
        <v>0</v>
      </c>
      <c r="U94" s="403">
        <v>0</v>
      </c>
      <c r="V94" s="411">
        <v>0</v>
      </c>
      <c r="W94" s="411">
        <v>0</v>
      </c>
      <c r="X94" s="411">
        <v>0</v>
      </c>
      <c r="Y94" s="404">
        <f t="shared" si="141"/>
        <v>0</v>
      </c>
      <c r="Z94" s="411">
        <v>0</v>
      </c>
      <c r="AA94" s="411">
        <v>0</v>
      </c>
      <c r="AB94" s="411">
        <v>0</v>
      </c>
      <c r="AC94" s="411">
        <v>0</v>
      </c>
      <c r="AD94" s="404">
        <f t="shared" si="142"/>
        <v>0</v>
      </c>
      <c r="AE94" s="412">
        <v>0</v>
      </c>
      <c r="AF94" s="412">
        <v>0</v>
      </c>
      <c r="AG94" s="412">
        <v>0</v>
      </c>
    </row>
    <row r="95" spans="3:33" ht="14.25" hidden="1" customHeight="1" outlineLevel="1" x14ac:dyDescent="0.25">
      <c r="C95" s="103" t="str">
        <f>C$74</f>
        <v>Middle East &amp; Africa</v>
      </c>
      <c r="D95" s="9"/>
      <c r="E95" s="9"/>
      <c r="F95" s="403">
        <v>0</v>
      </c>
      <c r="G95" s="403">
        <v>0</v>
      </c>
      <c r="H95" s="403">
        <v>0</v>
      </c>
      <c r="I95" s="403">
        <v>0</v>
      </c>
      <c r="J95" s="404">
        <f t="shared" si="138"/>
        <v>0</v>
      </c>
      <c r="K95" s="403">
        <v>0</v>
      </c>
      <c r="L95" s="403">
        <v>0</v>
      </c>
      <c r="M95" s="403">
        <v>0</v>
      </c>
      <c r="N95" s="403">
        <v>0</v>
      </c>
      <c r="O95" s="404">
        <f t="shared" si="139"/>
        <v>0</v>
      </c>
      <c r="P95" s="403">
        <v>0</v>
      </c>
      <c r="Q95" s="403">
        <v>0</v>
      </c>
      <c r="R95" s="403">
        <v>0</v>
      </c>
      <c r="S95" s="403">
        <v>0</v>
      </c>
      <c r="T95" s="404">
        <f t="shared" si="140"/>
        <v>0</v>
      </c>
      <c r="U95" s="403">
        <v>0</v>
      </c>
      <c r="V95" s="411">
        <v>0</v>
      </c>
      <c r="W95" s="411">
        <v>0</v>
      </c>
      <c r="X95" s="411">
        <v>0</v>
      </c>
      <c r="Y95" s="404">
        <f t="shared" si="141"/>
        <v>0</v>
      </c>
      <c r="Z95" s="411">
        <v>0</v>
      </c>
      <c r="AA95" s="411">
        <v>0</v>
      </c>
      <c r="AB95" s="411">
        <v>0</v>
      </c>
      <c r="AC95" s="411">
        <v>0</v>
      </c>
      <c r="AD95" s="404">
        <f t="shared" si="142"/>
        <v>0</v>
      </c>
      <c r="AE95" s="412">
        <v>0</v>
      </c>
      <c r="AF95" s="412">
        <v>0</v>
      </c>
      <c r="AG95" s="412">
        <v>0</v>
      </c>
    </row>
    <row r="96" spans="3:33" ht="14.25" hidden="1" customHeight="1" outlineLevel="1" x14ac:dyDescent="0.25">
      <c r="C96" s="103" t="str">
        <f>C$75</f>
        <v>Asia Pacific</v>
      </c>
      <c r="D96" s="9"/>
      <c r="E96" s="9"/>
      <c r="F96" s="403">
        <v>0</v>
      </c>
      <c r="G96" s="403">
        <v>0</v>
      </c>
      <c r="H96" s="403">
        <v>0</v>
      </c>
      <c r="I96" s="403">
        <v>0</v>
      </c>
      <c r="J96" s="404">
        <f t="shared" si="138"/>
        <v>0</v>
      </c>
      <c r="K96" s="403">
        <v>0</v>
      </c>
      <c r="L96" s="403">
        <v>0</v>
      </c>
      <c r="M96" s="403">
        <v>0</v>
      </c>
      <c r="N96" s="403">
        <v>0</v>
      </c>
      <c r="O96" s="404">
        <f t="shared" si="139"/>
        <v>0</v>
      </c>
      <c r="P96" s="403">
        <v>0</v>
      </c>
      <c r="Q96" s="403">
        <v>0</v>
      </c>
      <c r="R96" s="403">
        <v>0</v>
      </c>
      <c r="S96" s="403">
        <v>0</v>
      </c>
      <c r="T96" s="404">
        <f t="shared" si="140"/>
        <v>0</v>
      </c>
      <c r="U96" s="403">
        <v>0</v>
      </c>
      <c r="V96" s="411">
        <v>0</v>
      </c>
      <c r="W96" s="411">
        <v>0</v>
      </c>
      <c r="X96" s="411">
        <v>0</v>
      </c>
      <c r="Y96" s="404">
        <f t="shared" si="141"/>
        <v>0</v>
      </c>
      <c r="Z96" s="411">
        <v>0</v>
      </c>
      <c r="AA96" s="411">
        <v>0</v>
      </c>
      <c r="AB96" s="411">
        <v>0</v>
      </c>
      <c r="AC96" s="411">
        <v>0</v>
      </c>
      <c r="AD96" s="404">
        <f t="shared" si="142"/>
        <v>0</v>
      </c>
      <c r="AE96" s="412">
        <v>0</v>
      </c>
      <c r="AF96" s="412">
        <v>0</v>
      </c>
      <c r="AG96" s="412">
        <v>0</v>
      </c>
    </row>
    <row r="97" spans="3:33" ht="14.25" hidden="1" customHeight="1" outlineLevel="1" x14ac:dyDescent="0.25">
      <c r="C97" s="103"/>
      <c r="D97" s="9"/>
      <c r="E97" s="9"/>
      <c r="F97" s="437"/>
      <c r="G97" s="437"/>
      <c r="H97" s="437"/>
      <c r="I97" s="437"/>
      <c r="J97" s="132"/>
      <c r="K97" s="437"/>
      <c r="L97" s="437"/>
      <c r="M97" s="437"/>
      <c r="N97" s="437"/>
      <c r="O97" s="132"/>
      <c r="P97" s="437"/>
      <c r="Q97" s="437"/>
      <c r="R97" s="437"/>
      <c r="S97" s="437"/>
      <c r="T97" s="132"/>
      <c r="U97" s="437"/>
      <c r="V97" s="438"/>
      <c r="W97" s="438"/>
      <c r="X97" s="438"/>
      <c r="Y97" s="132"/>
      <c r="Z97" s="438"/>
      <c r="AA97" s="438"/>
      <c r="AB97" s="438"/>
      <c r="AC97" s="438"/>
      <c r="AD97" s="132"/>
      <c r="AE97" s="439"/>
      <c r="AF97" s="439"/>
      <c r="AG97" s="439"/>
    </row>
    <row r="98" spans="3:33" ht="14.25" hidden="1" customHeight="1" outlineLevel="1" x14ac:dyDescent="0.25">
      <c r="C98" s="9" t="str">
        <f>'Segment Analysis'!C10</f>
        <v>Service Fees and Other Revenue</v>
      </c>
      <c r="D98" s="9"/>
      <c r="E98" s="9"/>
      <c r="F98" s="437"/>
      <c r="G98" s="437"/>
      <c r="H98" s="437"/>
      <c r="I98" s="437"/>
      <c r="J98" s="132"/>
      <c r="K98" s="437"/>
      <c r="L98" s="437"/>
      <c r="M98" s="437"/>
      <c r="N98" s="437"/>
      <c r="O98" s="132"/>
      <c r="P98" s="437"/>
      <c r="Q98" s="437"/>
      <c r="R98" s="437"/>
      <c r="S98" s="437"/>
      <c r="T98" s="132"/>
      <c r="U98" s="437"/>
      <c r="V98" s="438"/>
      <c r="W98" s="438"/>
      <c r="X98" s="438"/>
      <c r="Y98" s="132"/>
      <c r="Z98" s="438"/>
      <c r="AA98" s="438"/>
      <c r="AB98" s="438"/>
      <c r="AC98" s="438"/>
      <c r="AD98" s="132"/>
      <c r="AE98" s="439"/>
      <c r="AF98" s="439"/>
      <c r="AG98" s="439"/>
    </row>
    <row r="99" spans="3:33" ht="14.25" hidden="1" customHeight="1" outlineLevel="1" x14ac:dyDescent="0.25">
      <c r="C99" s="103" t="str">
        <f>C$71</f>
        <v>North America</v>
      </c>
      <c r="D99" s="9"/>
      <c r="E99" s="9"/>
      <c r="F99" s="403">
        <v>0</v>
      </c>
      <c r="G99" s="403">
        <v>0</v>
      </c>
      <c r="H99" s="403">
        <v>0</v>
      </c>
      <c r="I99" s="403">
        <v>0</v>
      </c>
      <c r="J99" s="404">
        <f t="shared" ref="J99:J103" si="143">SUM(F99:I99)</f>
        <v>0</v>
      </c>
      <c r="K99" s="403">
        <v>0</v>
      </c>
      <c r="L99" s="403">
        <v>0</v>
      </c>
      <c r="M99" s="403">
        <v>0</v>
      </c>
      <c r="N99" s="403">
        <v>0</v>
      </c>
      <c r="O99" s="404">
        <f t="shared" ref="O99:O103" si="144">SUM(K99:N99)</f>
        <v>0</v>
      </c>
      <c r="P99" s="403">
        <v>0</v>
      </c>
      <c r="Q99" s="403">
        <v>0</v>
      </c>
      <c r="R99" s="403">
        <v>0</v>
      </c>
      <c r="S99" s="403">
        <v>0</v>
      </c>
      <c r="T99" s="404">
        <f t="shared" ref="T99:T103" si="145">SUM(P99:S99)</f>
        <v>0</v>
      </c>
      <c r="U99" s="403">
        <v>0</v>
      </c>
      <c r="V99" s="411">
        <v>0</v>
      </c>
      <c r="W99" s="411">
        <v>0</v>
      </c>
      <c r="X99" s="411">
        <v>0</v>
      </c>
      <c r="Y99" s="404">
        <f t="shared" ref="Y99:Y103" si="146">SUM(U99:X99)</f>
        <v>0</v>
      </c>
      <c r="Z99" s="411">
        <v>0</v>
      </c>
      <c r="AA99" s="411">
        <v>0</v>
      </c>
      <c r="AB99" s="411">
        <v>0</v>
      </c>
      <c r="AC99" s="411">
        <v>0</v>
      </c>
      <c r="AD99" s="404">
        <f t="shared" ref="AD99:AD103" si="147">SUM(Z99:AC99)</f>
        <v>0</v>
      </c>
      <c r="AE99" s="412">
        <v>0</v>
      </c>
      <c r="AF99" s="412">
        <v>0</v>
      </c>
      <c r="AG99" s="412">
        <v>0</v>
      </c>
    </row>
    <row r="100" spans="3:33" ht="14.25" hidden="1" customHeight="1" outlineLevel="1" x14ac:dyDescent="0.25">
      <c r="C100" s="103" t="str">
        <f>C$72</f>
        <v>Europe</v>
      </c>
      <c r="D100" s="9"/>
      <c r="E100" s="9"/>
      <c r="F100" s="403">
        <v>0</v>
      </c>
      <c r="G100" s="403">
        <v>0</v>
      </c>
      <c r="H100" s="403">
        <v>0</v>
      </c>
      <c r="I100" s="403">
        <v>0</v>
      </c>
      <c r="J100" s="404">
        <f t="shared" si="143"/>
        <v>0</v>
      </c>
      <c r="K100" s="403">
        <v>0</v>
      </c>
      <c r="L100" s="403">
        <v>0</v>
      </c>
      <c r="M100" s="403">
        <v>0</v>
      </c>
      <c r="N100" s="403">
        <v>0</v>
      </c>
      <c r="O100" s="404">
        <f t="shared" si="144"/>
        <v>0</v>
      </c>
      <c r="P100" s="403">
        <v>0</v>
      </c>
      <c r="Q100" s="403">
        <v>0</v>
      </c>
      <c r="R100" s="403">
        <v>0</v>
      </c>
      <c r="S100" s="403">
        <v>0</v>
      </c>
      <c r="T100" s="404">
        <f t="shared" si="145"/>
        <v>0</v>
      </c>
      <c r="U100" s="403">
        <v>0</v>
      </c>
      <c r="V100" s="411">
        <v>0</v>
      </c>
      <c r="W100" s="411">
        <v>0</v>
      </c>
      <c r="X100" s="411">
        <v>0</v>
      </c>
      <c r="Y100" s="404">
        <f t="shared" si="146"/>
        <v>0</v>
      </c>
      <c r="Z100" s="411">
        <v>0</v>
      </c>
      <c r="AA100" s="411">
        <v>0</v>
      </c>
      <c r="AB100" s="411">
        <v>0</v>
      </c>
      <c r="AC100" s="411">
        <v>0</v>
      </c>
      <c r="AD100" s="404">
        <f t="shared" si="147"/>
        <v>0</v>
      </c>
      <c r="AE100" s="412">
        <v>0</v>
      </c>
      <c r="AF100" s="412">
        <v>0</v>
      </c>
      <c r="AG100" s="412">
        <v>0</v>
      </c>
    </row>
    <row r="101" spans="3:33" ht="14.25" hidden="1" customHeight="1" outlineLevel="1" x14ac:dyDescent="0.25">
      <c r="C101" s="103" t="str">
        <f>C$73</f>
        <v>South America</v>
      </c>
      <c r="D101" s="9"/>
      <c r="E101" s="9"/>
      <c r="F101" s="403">
        <v>0</v>
      </c>
      <c r="G101" s="403">
        <v>0</v>
      </c>
      <c r="H101" s="403">
        <v>0</v>
      </c>
      <c r="I101" s="403">
        <v>0</v>
      </c>
      <c r="J101" s="404">
        <f t="shared" si="143"/>
        <v>0</v>
      </c>
      <c r="K101" s="403">
        <v>0</v>
      </c>
      <c r="L101" s="403">
        <v>0</v>
      </c>
      <c r="M101" s="403">
        <v>0</v>
      </c>
      <c r="N101" s="403">
        <v>0</v>
      </c>
      <c r="O101" s="404">
        <f t="shared" si="144"/>
        <v>0</v>
      </c>
      <c r="P101" s="403">
        <v>0</v>
      </c>
      <c r="Q101" s="403">
        <v>0</v>
      </c>
      <c r="R101" s="403">
        <v>0</v>
      </c>
      <c r="S101" s="403">
        <v>0</v>
      </c>
      <c r="T101" s="404">
        <f t="shared" si="145"/>
        <v>0</v>
      </c>
      <c r="U101" s="403">
        <v>0</v>
      </c>
      <c r="V101" s="411">
        <v>0</v>
      </c>
      <c r="W101" s="411">
        <v>0</v>
      </c>
      <c r="X101" s="411">
        <v>0</v>
      </c>
      <c r="Y101" s="404">
        <f t="shared" si="146"/>
        <v>0</v>
      </c>
      <c r="Z101" s="411">
        <v>0</v>
      </c>
      <c r="AA101" s="411">
        <v>0</v>
      </c>
      <c r="AB101" s="411">
        <v>0</v>
      </c>
      <c r="AC101" s="411">
        <v>0</v>
      </c>
      <c r="AD101" s="404">
        <f t="shared" si="147"/>
        <v>0</v>
      </c>
      <c r="AE101" s="412">
        <v>0</v>
      </c>
      <c r="AF101" s="412">
        <v>0</v>
      </c>
      <c r="AG101" s="412">
        <v>0</v>
      </c>
    </row>
    <row r="102" spans="3:33" ht="14.25" hidden="1" customHeight="1" outlineLevel="1" x14ac:dyDescent="0.25">
      <c r="C102" s="103" t="str">
        <f>C$74</f>
        <v>Middle East &amp; Africa</v>
      </c>
      <c r="D102" s="9"/>
      <c r="E102" s="9"/>
      <c r="F102" s="403">
        <v>0</v>
      </c>
      <c r="G102" s="403">
        <v>0</v>
      </c>
      <c r="H102" s="403">
        <v>0</v>
      </c>
      <c r="I102" s="403">
        <v>0</v>
      </c>
      <c r="J102" s="404">
        <f t="shared" si="143"/>
        <v>0</v>
      </c>
      <c r="K102" s="403">
        <v>0</v>
      </c>
      <c r="L102" s="403">
        <v>0</v>
      </c>
      <c r="M102" s="403">
        <v>0</v>
      </c>
      <c r="N102" s="403">
        <v>0</v>
      </c>
      <c r="O102" s="404">
        <f t="shared" si="144"/>
        <v>0</v>
      </c>
      <c r="P102" s="403">
        <v>0</v>
      </c>
      <c r="Q102" s="403">
        <v>0</v>
      </c>
      <c r="R102" s="403">
        <v>0</v>
      </c>
      <c r="S102" s="403">
        <v>0</v>
      </c>
      <c r="T102" s="404">
        <f t="shared" si="145"/>
        <v>0</v>
      </c>
      <c r="U102" s="403">
        <v>0</v>
      </c>
      <c r="V102" s="411">
        <v>0</v>
      </c>
      <c r="W102" s="411">
        <v>0</v>
      </c>
      <c r="X102" s="411">
        <v>0</v>
      </c>
      <c r="Y102" s="404">
        <f t="shared" si="146"/>
        <v>0</v>
      </c>
      <c r="Z102" s="411">
        <v>0</v>
      </c>
      <c r="AA102" s="411">
        <v>0</v>
      </c>
      <c r="AB102" s="411">
        <v>0</v>
      </c>
      <c r="AC102" s="411">
        <v>0</v>
      </c>
      <c r="AD102" s="404">
        <f t="shared" si="147"/>
        <v>0</v>
      </c>
      <c r="AE102" s="412">
        <v>0</v>
      </c>
      <c r="AF102" s="412">
        <v>0</v>
      </c>
      <c r="AG102" s="412">
        <v>0</v>
      </c>
    </row>
    <row r="103" spans="3:33" ht="14.25" hidden="1" customHeight="1" outlineLevel="1" x14ac:dyDescent="0.25">
      <c r="C103" s="103" t="str">
        <f>C$75</f>
        <v>Asia Pacific</v>
      </c>
      <c r="D103" s="9"/>
      <c r="E103" s="9"/>
      <c r="F103" s="403">
        <v>0</v>
      </c>
      <c r="G103" s="403">
        <v>0</v>
      </c>
      <c r="H103" s="403">
        <v>0</v>
      </c>
      <c r="I103" s="403">
        <v>0</v>
      </c>
      <c r="J103" s="404">
        <f t="shared" si="143"/>
        <v>0</v>
      </c>
      <c r="K103" s="403">
        <v>0</v>
      </c>
      <c r="L103" s="403">
        <v>0</v>
      </c>
      <c r="M103" s="403">
        <v>0</v>
      </c>
      <c r="N103" s="403">
        <v>0</v>
      </c>
      <c r="O103" s="404">
        <f t="shared" si="144"/>
        <v>0</v>
      </c>
      <c r="P103" s="403">
        <v>0</v>
      </c>
      <c r="Q103" s="403">
        <v>0</v>
      </c>
      <c r="R103" s="403">
        <v>0</v>
      </c>
      <c r="S103" s="403">
        <v>0</v>
      </c>
      <c r="T103" s="404">
        <f t="shared" si="145"/>
        <v>0</v>
      </c>
      <c r="U103" s="403">
        <v>0</v>
      </c>
      <c r="V103" s="411">
        <v>0</v>
      </c>
      <c r="W103" s="411">
        <v>0</v>
      </c>
      <c r="X103" s="411">
        <v>0</v>
      </c>
      <c r="Y103" s="404">
        <f t="shared" si="146"/>
        <v>0</v>
      </c>
      <c r="Z103" s="411">
        <v>0</v>
      </c>
      <c r="AA103" s="411">
        <v>0</v>
      </c>
      <c r="AB103" s="411">
        <v>0</v>
      </c>
      <c r="AC103" s="411">
        <v>0</v>
      </c>
      <c r="AD103" s="404">
        <f t="shared" si="147"/>
        <v>0</v>
      </c>
      <c r="AE103" s="412">
        <v>0</v>
      </c>
      <c r="AF103" s="412">
        <v>0</v>
      </c>
      <c r="AG103" s="412">
        <v>0</v>
      </c>
    </row>
    <row r="104" spans="3:33" ht="14.25" hidden="1" customHeight="1" outlineLevel="1" x14ac:dyDescent="0.25">
      <c r="C104" s="9"/>
      <c r="D104" s="9"/>
      <c r="E104" s="9"/>
      <c r="F104" s="437"/>
      <c r="G104" s="437"/>
      <c r="H104" s="437"/>
      <c r="I104" s="437"/>
      <c r="J104" s="132"/>
      <c r="K104" s="437"/>
      <c r="L104" s="437"/>
      <c r="M104" s="437"/>
      <c r="N104" s="437"/>
      <c r="O104" s="132"/>
      <c r="P104" s="437"/>
      <c r="Q104" s="437"/>
      <c r="R104" s="437"/>
      <c r="S104" s="437"/>
      <c r="T104" s="132"/>
      <c r="U104" s="437"/>
      <c r="V104" s="438"/>
      <c r="W104" s="438"/>
      <c r="X104" s="438"/>
      <c r="Y104" s="132"/>
      <c r="Z104" s="438"/>
      <c r="AA104" s="438"/>
      <c r="AB104" s="438"/>
      <c r="AC104" s="438"/>
      <c r="AD104" s="132"/>
      <c r="AE104" s="439"/>
      <c r="AF104" s="439"/>
      <c r="AG104" s="439"/>
    </row>
    <row r="105" spans="3:33" ht="14.25" hidden="1" customHeight="1" outlineLevel="1" x14ac:dyDescent="0.25">
      <c r="C105" s="9" t="e">
        <f>'Segment Analysis'!#REF!</f>
        <v>#REF!</v>
      </c>
      <c r="D105" s="9"/>
      <c r="E105" s="9"/>
      <c r="F105" s="437"/>
      <c r="G105" s="437"/>
      <c r="H105" s="437"/>
      <c r="I105" s="437"/>
      <c r="J105" s="132"/>
      <c r="K105" s="437"/>
      <c r="L105" s="437"/>
      <c r="M105" s="437"/>
      <c r="N105" s="437"/>
      <c r="O105" s="132"/>
      <c r="P105" s="437"/>
      <c r="Q105" s="437"/>
      <c r="R105" s="437"/>
      <c r="S105" s="437"/>
      <c r="T105" s="132"/>
      <c r="U105" s="437"/>
      <c r="V105" s="438"/>
      <c r="W105" s="438"/>
      <c r="X105" s="438"/>
      <c r="Y105" s="132"/>
      <c r="Z105" s="438"/>
      <c r="AA105" s="438"/>
      <c r="AB105" s="438"/>
      <c r="AC105" s="438"/>
      <c r="AD105" s="132"/>
      <c r="AE105" s="439"/>
      <c r="AF105" s="439"/>
      <c r="AG105" s="439"/>
    </row>
    <row r="106" spans="3:33" ht="14.25" hidden="1" customHeight="1" outlineLevel="1" x14ac:dyDescent="0.25">
      <c r="C106" s="103" t="str">
        <f>C$71</f>
        <v>North America</v>
      </c>
      <c r="D106" s="9"/>
      <c r="E106" s="9"/>
      <c r="F106" s="403">
        <v>0</v>
      </c>
      <c r="G106" s="403">
        <v>0</v>
      </c>
      <c r="H106" s="403">
        <v>0</v>
      </c>
      <c r="I106" s="403">
        <v>0</v>
      </c>
      <c r="J106" s="404">
        <f t="shared" ref="J106:J110" si="148">SUM(F106:I106)</f>
        <v>0</v>
      </c>
      <c r="K106" s="403">
        <v>0</v>
      </c>
      <c r="L106" s="403">
        <v>0</v>
      </c>
      <c r="M106" s="403">
        <v>0</v>
      </c>
      <c r="N106" s="403">
        <v>0</v>
      </c>
      <c r="O106" s="404">
        <f t="shared" ref="O106:O110" si="149">SUM(K106:N106)</f>
        <v>0</v>
      </c>
      <c r="P106" s="403">
        <v>0</v>
      </c>
      <c r="Q106" s="403">
        <v>0</v>
      </c>
      <c r="R106" s="403">
        <v>0</v>
      </c>
      <c r="S106" s="403">
        <v>0</v>
      </c>
      <c r="T106" s="404">
        <f t="shared" ref="T106:T110" si="150">SUM(P106:S106)</f>
        <v>0</v>
      </c>
      <c r="U106" s="403">
        <v>0</v>
      </c>
      <c r="V106" s="411">
        <v>0</v>
      </c>
      <c r="W106" s="411">
        <v>0</v>
      </c>
      <c r="X106" s="411">
        <v>0</v>
      </c>
      <c r="Y106" s="404">
        <f t="shared" ref="Y106:Y110" si="151">SUM(U106:X106)</f>
        <v>0</v>
      </c>
      <c r="Z106" s="411">
        <v>0</v>
      </c>
      <c r="AA106" s="411">
        <v>0</v>
      </c>
      <c r="AB106" s="411">
        <v>0</v>
      </c>
      <c r="AC106" s="411">
        <v>0</v>
      </c>
      <c r="AD106" s="404">
        <f t="shared" ref="AD106:AD110" si="152">SUM(Z106:AC106)</f>
        <v>0</v>
      </c>
      <c r="AE106" s="412">
        <v>0</v>
      </c>
      <c r="AF106" s="412">
        <v>0</v>
      </c>
      <c r="AG106" s="412">
        <v>0</v>
      </c>
    </row>
    <row r="107" spans="3:33" ht="14.25" hidden="1" customHeight="1" outlineLevel="1" x14ac:dyDescent="0.25">
      <c r="C107" s="103" t="str">
        <f>C$72</f>
        <v>Europe</v>
      </c>
      <c r="D107" s="9"/>
      <c r="E107" s="9"/>
      <c r="F107" s="403">
        <v>0</v>
      </c>
      <c r="G107" s="403">
        <v>0</v>
      </c>
      <c r="H107" s="403">
        <v>0</v>
      </c>
      <c r="I107" s="403">
        <v>0</v>
      </c>
      <c r="J107" s="404">
        <f t="shared" si="148"/>
        <v>0</v>
      </c>
      <c r="K107" s="403">
        <v>0</v>
      </c>
      <c r="L107" s="403">
        <v>0</v>
      </c>
      <c r="M107" s="403">
        <v>0</v>
      </c>
      <c r="N107" s="403">
        <v>0</v>
      </c>
      <c r="O107" s="404">
        <f t="shared" si="149"/>
        <v>0</v>
      </c>
      <c r="P107" s="403">
        <v>0</v>
      </c>
      <c r="Q107" s="403">
        <v>0</v>
      </c>
      <c r="R107" s="403">
        <v>0</v>
      </c>
      <c r="S107" s="403">
        <v>0</v>
      </c>
      <c r="T107" s="404">
        <f t="shared" si="150"/>
        <v>0</v>
      </c>
      <c r="U107" s="403">
        <v>0</v>
      </c>
      <c r="V107" s="411">
        <v>0</v>
      </c>
      <c r="W107" s="411">
        <v>0</v>
      </c>
      <c r="X107" s="411">
        <v>0</v>
      </c>
      <c r="Y107" s="404">
        <f t="shared" si="151"/>
        <v>0</v>
      </c>
      <c r="Z107" s="411">
        <v>0</v>
      </c>
      <c r="AA107" s="411">
        <v>0</v>
      </c>
      <c r="AB107" s="411">
        <v>0</v>
      </c>
      <c r="AC107" s="411">
        <v>0</v>
      </c>
      <c r="AD107" s="404">
        <f t="shared" si="152"/>
        <v>0</v>
      </c>
      <c r="AE107" s="412">
        <v>0</v>
      </c>
      <c r="AF107" s="412">
        <v>0</v>
      </c>
      <c r="AG107" s="412">
        <v>0</v>
      </c>
    </row>
    <row r="108" spans="3:33" ht="14.25" hidden="1" customHeight="1" outlineLevel="1" x14ac:dyDescent="0.25">
      <c r="C108" s="103" t="str">
        <f>C$73</f>
        <v>South America</v>
      </c>
      <c r="D108" s="9"/>
      <c r="E108" s="9"/>
      <c r="F108" s="403">
        <v>0</v>
      </c>
      <c r="G108" s="403">
        <v>0</v>
      </c>
      <c r="H108" s="403">
        <v>0</v>
      </c>
      <c r="I108" s="403">
        <v>0</v>
      </c>
      <c r="J108" s="404">
        <f t="shared" si="148"/>
        <v>0</v>
      </c>
      <c r="K108" s="403">
        <v>0</v>
      </c>
      <c r="L108" s="403">
        <v>0</v>
      </c>
      <c r="M108" s="403">
        <v>0</v>
      </c>
      <c r="N108" s="403">
        <v>0</v>
      </c>
      <c r="O108" s="404">
        <f t="shared" si="149"/>
        <v>0</v>
      </c>
      <c r="P108" s="403">
        <v>0</v>
      </c>
      <c r="Q108" s="403">
        <v>0</v>
      </c>
      <c r="R108" s="403">
        <v>0</v>
      </c>
      <c r="S108" s="403">
        <v>0</v>
      </c>
      <c r="T108" s="404">
        <f t="shared" si="150"/>
        <v>0</v>
      </c>
      <c r="U108" s="403">
        <v>0</v>
      </c>
      <c r="V108" s="411">
        <v>0</v>
      </c>
      <c r="W108" s="411">
        <v>0</v>
      </c>
      <c r="X108" s="411">
        <v>0</v>
      </c>
      <c r="Y108" s="404">
        <f t="shared" si="151"/>
        <v>0</v>
      </c>
      <c r="Z108" s="411">
        <v>0</v>
      </c>
      <c r="AA108" s="411">
        <v>0</v>
      </c>
      <c r="AB108" s="411">
        <v>0</v>
      </c>
      <c r="AC108" s="411">
        <v>0</v>
      </c>
      <c r="AD108" s="404">
        <f t="shared" si="152"/>
        <v>0</v>
      </c>
      <c r="AE108" s="412">
        <v>0</v>
      </c>
      <c r="AF108" s="412">
        <v>0</v>
      </c>
      <c r="AG108" s="412">
        <v>0</v>
      </c>
    </row>
    <row r="109" spans="3:33" ht="14.25" hidden="1" customHeight="1" outlineLevel="1" x14ac:dyDescent="0.25">
      <c r="C109" s="103" t="str">
        <f>C$74</f>
        <v>Middle East &amp; Africa</v>
      </c>
      <c r="D109" s="9"/>
      <c r="E109" s="9"/>
      <c r="F109" s="403">
        <v>0</v>
      </c>
      <c r="G109" s="403">
        <v>0</v>
      </c>
      <c r="H109" s="403">
        <v>0</v>
      </c>
      <c r="I109" s="403">
        <v>0</v>
      </c>
      <c r="J109" s="404">
        <f t="shared" si="148"/>
        <v>0</v>
      </c>
      <c r="K109" s="403">
        <v>0</v>
      </c>
      <c r="L109" s="403">
        <v>0</v>
      </c>
      <c r="M109" s="403">
        <v>0</v>
      </c>
      <c r="N109" s="403">
        <v>0</v>
      </c>
      <c r="O109" s="404">
        <f t="shared" si="149"/>
        <v>0</v>
      </c>
      <c r="P109" s="403">
        <v>0</v>
      </c>
      <c r="Q109" s="403">
        <v>0</v>
      </c>
      <c r="R109" s="403">
        <v>0</v>
      </c>
      <c r="S109" s="403">
        <v>0</v>
      </c>
      <c r="T109" s="404">
        <f t="shared" si="150"/>
        <v>0</v>
      </c>
      <c r="U109" s="403">
        <v>0</v>
      </c>
      <c r="V109" s="411">
        <v>0</v>
      </c>
      <c r="W109" s="411">
        <v>0</v>
      </c>
      <c r="X109" s="411">
        <v>0</v>
      </c>
      <c r="Y109" s="404">
        <f t="shared" si="151"/>
        <v>0</v>
      </c>
      <c r="Z109" s="411">
        <v>0</v>
      </c>
      <c r="AA109" s="411">
        <v>0</v>
      </c>
      <c r="AB109" s="411">
        <v>0</v>
      </c>
      <c r="AC109" s="411">
        <v>0</v>
      </c>
      <c r="AD109" s="404">
        <f t="shared" si="152"/>
        <v>0</v>
      </c>
      <c r="AE109" s="412">
        <v>0</v>
      </c>
      <c r="AF109" s="412">
        <v>0</v>
      </c>
      <c r="AG109" s="412">
        <v>0</v>
      </c>
    </row>
    <row r="110" spans="3:33" ht="14.25" hidden="1" customHeight="1" outlineLevel="1" x14ac:dyDescent="0.25">
      <c r="C110" s="103" t="str">
        <f>C$75</f>
        <v>Asia Pacific</v>
      </c>
      <c r="D110" s="9"/>
      <c r="E110" s="9"/>
      <c r="F110" s="403">
        <v>0</v>
      </c>
      <c r="G110" s="403">
        <v>0</v>
      </c>
      <c r="H110" s="403">
        <v>0</v>
      </c>
      <c r="I110" s="403">
        <v>0</v>
      </c>
      <c r="J110" s="404">
        <f t="shared" si="148"/>
        <v>0</v>
      </c>
      <c r="K110" s="403">
        <v>0</v>
      </c>
      <c r="L110" s="403">
        <v>0</v>
      </c>
      <c r="M110" s="403">
        <v>0</v>
      </c>
      <c r="N110" s="403">
        <v>0</v>
      </c>
      <c r="O110" s="404">
        <f t="shared" si="149"/>
        <v>0</v>
      </c>
      <c r="P110" s="403">
        <v>0</v>
      </c>
      <c r="Q110" s="403">
        <v>0</v>
      </c>
      <c r="R110" s="403">
        <v>0</v>
      </c>
      <c r="S110" s="403">
        <v>0</v>
      </c>
      <c r="T110" s="404">
        <f t="shared" si="150"/>
        <v>0</v>
      </c>
      <c r="U110" s="403">
        <v>0</v>
      </c>
      <c r="V110" s="411">
        <v>0</v>
      </c>
      <c r="W110" s="411">
        <v>0</v>
      </c>
      <c r="X110" s="411">
        <v>0</v>
      </c>
      <c r="Y110" s="404">
        <f t="shared" si="151"/>
        <v>0</v>
      </c>
      <c r="Z110" s="411">
        <v>0</v>
      </c>
      <c r="AA110" s="411">
        <v>0</v>
      </c>
      <c r="AB110" s="411">
        <v>0</v>
      </c>
      <c r="AC110" s="411">
        <v>0</v>
      </c>
      <c r="AD110" s="404">
        <f t="shared" si="152"/>
        <v>0</v>
      </c>
      <c r="AE110" s="412">
        <v>0</v>
      </c>
      <c r="AF110" s="412">
        <v>0</v>
      </c>
      <c r="AG110" s="412">
        <v>0</v>
      </c>
    </row>
    <row r="111" spans="3:33" ht="14.25" hidden="1" customHeight="1" outlineLevel="1" x14ac:dyDescent="0.25">
      <c r="C111" s="9"/>
      <c r="D111" s="9"/>
      <c r="E111" s="9"/>
      <c r="F111" s="437"/>
      <c r="G111" s="437"/>
      <c r="H111" s="437"/>
      <c r="I111" s="437"/>
      <c r="J111" s="132"/>
      <c r="K111" s="437"/>
      <c r="L111" s="437"/>
      <c r="M111" s="437"/>
      <c r="N111" s="437"/>
      <c r="O111" s="132"/>
      <c r="P111" s="437"/>
      <c r="Q111" s="437"/>
      <c r="R111" s="437"/>
      <c r="S111" s="437"/>
      <c r="T111" s="132"/>
      <c r="U111" s="437"/>
      <c r="V111" s="438"/>
      <c r="W111" s="438"/>
      <c r="X111" s="438"/>
      <c r="Y111" s="132"/>
      <c r="Z111" s="438"/>
      <c r="AA111" s="438"/>
      <c r="AB111" s="438"/>
      <c r="AC111" s="438"/>
      <c r="AD111" s="132"/>
      <c r="AE111" s="439"/>
      <c r="AF111" s="439"/>
      <c r="AG111" s="439"/>
    </row>
    <row r="112" spans="3:33" ht="14.25" hidden="1" customHeight="1" outlineLevel="1" x14ac:dyDescent="0.25">
      <c r="C112" s="9" t="e">
        <f>'Segment Analysis'!#REF!</f>
        <v>#REF!</v>
      </c>
      <c r="D112" s="9"/>
      <c r="E112" s="9"/>
      <c r="F112" s="437"/>
      <c r="G112" s="437"/>
      <c r="H112" s="437"/>
      <c r="I112" s="437"/>
      <c r="J112" s="132"/>
      <c r="K112" s="437"/>
      <c r="L112" s="437"/>
      <c r="M112" s="437"/>
      <c r="N112" s="437"/>
      <c r="O112" s="132"/>
      <c r="P112" s="437"/>
      <c r="Q112" s="437"/>
      <c r="R112" s="437"/>
      <c r="S112" s="437"/>
      <c r="T112" s="132"/>
      <c r="U112" s="437"/>
      <c r="V112" s="438"/>
      <c r="W112" s="438"/>
      <c r="X112" s="438"/>
      <c r="Y112" s="132"/>
      <c r="Z112" s="438"/>
      <c r="AA112" s="438"/>
      <c r="AB112" s="438"/>
      <c r="AC112" s="438"/>
      <c r="AD112" s="132"/>
      <c r="AE112" s="439"/>
      <c r="AF112" s="439"/>
      <c r="AG112" s="439"/>
    </row>
    <row r="113" spans="3:33" ht="14.25" hidden="1" customHeight="1" outlineLevel="1" x14ac:dyDescent="0.25">
      <c r="C113" s="103" t="str">
        <f>C$71</f>
        <v>North America</v>
      </c>
      <c r="D113" s="9"/>
      <c r="E113" s="9"/>
      <c r="F113" s="403">
        <v>0</v>
      </c>
      <c r="G113" s="403">
        <v>0</v>
      </c>
      <c r="H113" s="403">
        <v>0</v>
      </c>
      <c r="I113" s="403">
        <v>0</v>
      </c>
      <c r="J113" s="404">
        <f t="shared" ref="J113:J117" si="153">SUM(F113:I113)</f>
        <v>0</v>
      </c>
      <c r="K113" s="403">
        <v>0</v>
      </c>
      <c r="L113" s="403">
        <v>0</v>
      </c>
      <c r="M113" s="403">
        <v>0</v>
      </c>
      <c r="N113" s="403">
        <v>0</v>
      </c>
      <c r="O113" s="404">
        <f t="shared" ref="O113:O117" si="154">SUM(K113:N113)</f>
        <v>0</v>
      </c>
      <c r="P113" s="403">
        <v>0</v>
      </c>
      <c r="Q113" s="403">
        <v>0</v>
      </c>
      <c r="R113" s="403">
        <v>0</v>
      </c>
      <c r="S113" s="403">
        <v>0</v>
      </c>
      <c r="T113" s="404">
        <f t="shared" ref="T113:T117" si="155">SUM(P113:S113)</f>
        <v>0</v>
      </c>
      <c r="U113" s="403">
        <v>0</v>
      </c>
      <c r="V113" s="411">
        <v>0</v>
      </c>
      <c r="W113" s="411">
        <v>0</v>
      </c>
      <c r="X113" s="411">
        <v>0</v>
      </c>
      <c r="Y113" s="404">
        <f t="shared" ref="Y113:Y117" si="156">SUM(U113:X113)</f>
        <v>0</v>
      </c>
      <c r="Z113" s="411">
        <v>0</v>
      </c>
      <c r="AA113" s="411">
        <v>0</v>
      </c>
      <c r="AB113" s="411">
        <v>0</v>
      </c>
      <c r="AC113" s="411">
        <v>0</v>
      </c>
      <c r="AD113" s="404">
        <f t="shared" ref="AD113:AD117" si="157">SUM(Z113:AC113)</f>
        <v>0</v>
      </c>
      <c r="AE113" s="412">
        <v>0</v>
      </c>
      <c r="AF113" s="412">
        <v>0</v>
      </c>
      <c r="AG113" s="412">
        <v>0</v>
      </c>
    </row>
    <row r="114" spans="3:33" ht="14.25" hidden="1" customHeight="1" outlineLevel="1" x14ac:dyDescent="0.25">
      <c r="C114" s="103" t="str">
        <f>C$72</f>
        <v>Europe</v>
      </c>
      <c r="D114" s="9"/>
      <c r="E114" s="9"/>
      <c r="F114" s="403">
        <v>0</v>
      </c>
      <c r="G114" s="403">
        <v>0</v>
      </c>
      <c r="H114" s="403">
        <v>0</v>
      </c>
      <c r="I114" s="403">
        <v>0</v>
      </c>
      <c r="J114" s="404">
        <f t="shared" si="153"/>
        <v>0</v>
      </c>
      <c r="K114" s="403">
        <v>0</v>
      </c>
      <c r="L114" s="403">
        <v>0</v>
      </c>
      <c r="M114" s="403">
        <v>0</v>
      </c>
      <c r="N114" s="403">
        <v>0</v>
      </c>
      <c r="O114" s="404">
        <f t="shared" si="154"/>
        <v>0</v>
      </c>
      <c r="P114" s="403">
        <v>0</v>
      </c>
      <c r="Q114" s="403">
        <v>0</v>
      </c>
      <c r="R114" s="403">
        <v>0</v>
      </c>
      <c r="S114" s="403">
        <v>0</v>
      </c>
      <c r="T114" s="404">
        <f t="shared" si="155"/>
        <v>0</v>
      </c>
      <c r="U114" s="403">
        <v>0</v>
      </c>
      <c r="V114" s="411">
        <v>0</v>
      </c>
      <c r="W114" s="411">
        <v>0</v>
      </c>
      <c r="X114" s="411">
        <v>0</v>
      </c>
      <c r="Y114" s="404">
        <f t="shared" si="156"/>
        <v>0</v>
      </c>
      <c r="Z114" s="411">
        <v>0</v>
      </c>
      <c r="AA114" s="411">
        <v>0</v>
      </c>
      <c r="AB114" s="411">
        <v>0</v>
      </c>
      <c r="AC114" s="411">
        <v>0</v>
      </c>
      <c r="AD114" s="404">
        <f t="shared" si="157"/>
        <v>0</v>
      </c>
      <c r="AE114" s="412">
        <v>0</v>
      </c>
      <c r="AF114" s="412">
        <v>0</v>
      </c>
      <c r="AG114" s="412">
        <v>0</v>
      </c>
    </row>
    <row r="115" spans="3:33" ht="14.25" hidden="1" customHeight="1" outlineLevel="1" x14ac:dyDescent="0.25">
      <c r="C115" s="103" t="str">
        <f>C$73</f>
        <v>South America</v>
      </c>
      <c r="D115" s="9"/>
      <c r="E115" s="9"/>
      <c r="F115" s="403">
        <v>0</v>
      </c>
      <c r="G115" s="403">
        <v>0</v>
      </c>
      <c r="H115" s="403">
        <v>0</v>
      </c>
      <c r="I115" s="403">
        <v>0</v>
      </c>
      <c r="J115" s="404">
        <f t="shared" si="153"/>
        <v>0</v>
      </c>
      <c r="K115" s="403">
        <v>0</v>
      </c>
      <c r="L115" s="403">
        <v>0</v>
      </c>
      <c r="M115" s="403">
        <v>0</v>
      </c>
      <c r="N115" s="403">
        <v>0</v>
      </c>
      <c r="O115" s="404">
        <f t="shared" si="154"/>
        <v>0</v>
      </c>
      <c r="P115" s="403">
        <v>0</v>
      </c>
      <c r="Q115" s="403">
        <v>0</v>
      </c>
      <c r="R115" s="403">
        <v>0</v>
      </c>
      <c r="S115" s="403">
        <v>0</v>
      </c>
      <c r="T115" s="404">
        <f t="shared" si="155"/>
        <v>0</v>
      </c>
      <c r="U115" s="403">
        <v>0</v>
      </c>
      <c r="V115" s="411">
        <v>0</v>
      </c>
      <c r="W115" s="411">
        <v>0</v>
      </c>
      <c r="X115" s="411">
        <v>0</v>
      </c>
      <c r="Y115" s="404">
        <f t="shared" si="156"/>
        <v>0</v>
      </c>
      <c r="Z115" s="411">
        <v>0</v>
      </c>
      <c r="AA115" s="411">
        <v>0</v>
      </c>
      <c r="AB115" s="411">
        <v>0</v>
      </c>
      <c r="AC115" s="411">
        <v>0</v>
      </c>
      <c r="AD115" s="404">
        <f t="shared" si="157"/>
        <v>0</v>
      </c>
      <c r="AE115" s="412">
        <v>0</v>
      </c>
      <c r="AF115" s="412">
        <v>0</v>
      </c>
      <c r="AG115" s="412">
        <v>0</v>
      </c>
    </row>
    <row r="116" spans="3:33" ht="14.25" hidden="1" customHeight="1" outlineLevel="1" x14ac:dyDescent="0.25">
      <c r="C116" s="103" t="str">
        <f>C$74</f>
        <v>Middle East &amp; Africa</v>
      </c>
      <c r="D116" s="9"/>
      <c r="E116" s="9"/>
      <c r="F116" s="403">
        <v>0</v>
      </c>
      <c r="G116" s="403">
        <v>0</v>
      </c>
      <c r="H116" s="403">
        <v>0</v>
      </c>
      <c r="I116" s="403">
        <v>0</v>
      </c>
      <c r="J116" s="404">
        <f t="shared" si="153"/>
        <v>0</v>
      </c>
      <c r="K116" s="403">
        <v>0</v>
      </c>
      <c r="L116" s="403">
        <v>0</v>
      </c>
      <c r="M116" s="403">
        <v>0</v>
      </c>
      <c r="N116" s="403">
        <v>0</v>
      </c>
      <c r="O116" s="404">
        <f t="shared" si="154"/>
        <v>0</v>
      </c>
      <c r="P116" s="403">
        <v>0</v>
      </c>
      <c r="Q116" s="403">
        <v>0</v>
      </c>
      <c r="R116" s="403">
        <v>0</v>
      </c>
      <c r="S116" s="403">
        <v>0</v>
      </c>
      <c r="T116" s="404">
        <f t="shared" si="155"/>
        <v>0</v>
      </c>
      <c r="U116" s="403">
        <v>0</v>
      </c>
      <c r="V116" s="411">
        <v>0</v>
      </c>
      <c r="W116" s="411">
        <v>0</v>
      </c>
      <c r="X116" s="411">
        <v>0</v>
      </c>
      <c r="Y116" s="404">
        <f t="shared" si="156"/>
        <v>0</v>
      </c>
      <c r="Z116" s="411">
        <v>0</v>
      </c>
      <c r="AA116" s="411">
        <v>0</v>
      </c>
      <c r="AB116" s="411">
        <v>0</v>
      </c>
      <c r="AC116" s="411">
        <v>0</v>
      </c>
      <c r="AD116" s="404">
        <f t="shared" si="157"/>
        <v>0</v>
      </c>
      <c r="AE116" s="412">
        <v>0</v>
      </c>
      <c r="AF116" s="412">
        <v>0</v>
      </c>
      <c r="AG116" s="412">
        <v>0</v>
      </c>
    </row>
    <row r="117" spans="3:33" ht="14.25" hidden="1" customHeight="1" outlineLevel="1" x14ac:dyDescent="0.25">
      <c r="C117" s="103" t="str">
        <f>C$75</f>
        <v>Asia Pacific</v>
      </c>
      <c r="D117" s="9"/>
      <c r="E117" s="9"/>
      <c r="F117" s="403">
        <v>0</v>
      </c>
      <c r="G117" s="403">
        <v>0</v>
      </c>
      <c r="H117" s="403">
        <v>0</v>
      </c>
      <c r="I117" s="403">
        <v>0</v>
      </c>
      <c r="J117" s="404">
        <f t="shared" si="153"/>
        <v>0</v>
      </c>
      <c r="K117" s="403">
        <v>0</v>
      </c>
      <c r="L117" s="403">
        <v>0</v>
      </c>
      <c r="M117" s="403">
        <v>0</v>
      </c>
      <c r="N117" s="403">
        <v>0</v>
      </c>
      <c r="O117" s="404">
        <f t="shared" si="154"/>
        <v>0</v>
      </c>
      <c r="P117" s="403">
        <v>0</v>
      </c>
      <c r="Q117" s="403">
        <v>0</v>
      </c>
      <c r="R117" s="403">
        <v>0</v>
      </c>
      <c r="S117" s="403">
        <v>0</v>
      </c>
      <c r="T117" s="404">
        <f t="shared" si="155"/>
        <v>0</v>
      </c>
      <c r="U117" s="403">
        <v>0</v>
      </c>
      <c r="V117" s="411">
        <v>0</v>
      </c>
      <c r="W117" s="411">
        <v>0</v>
      </c>
      <c r="X117" s="411">
        <v>0</v>
      </c>
      <c r="Y117" s="404">
        <f t="shared" si="156"/>
        <v>0</v>
      </c>
      <c r="Z117" s="411">
        <v>0</v>
      </c>
      <c r="AA117" s="411">
        <v>0</v>
      </c>
      <c r="AB117" s="411">
        <v>0</v>
      </c>
      <c r="AC117" s="411">
        <v>0</v>
      </c>
      <c r="AD117" s="404">
        <f t="shared" si="157"/>
        <v>0</v>
      </c>
      <c r="AE117" s="412">
        <v>0</v>
      </c>
      <c r="AF117" s="412">
        <v>0</v>
      </c>
      <c r="AG117" s="412">
        <v>0</v>
      </c>
    </row>
    <row r="118" spans="3:33" ht="14.25" hidden="1" customHeight="1" outlineLevel="1" x14ac:dyDescent="0.25">
      <c r="C118" s="9"/>
      <c r="D118" s="9"/>
      <c r="E118" s="9"/>
      <c r="F118" s="437"/>
      <c r="G118" s="437"/>
      <c r="H118" s="437"/>
      <c r="I118" s="437"/>
      <c r="J118" s="132"/>
      <c r="K118" s="437"/>
      <c r="L118" s="437"/>
      <c r="M118" s="437"/>
      <c r="N118" s="437"/>
      <c r="O118" s="132"/>
      <c r="P118" s="437"/>
      <c r="Q118" s="437"/>
      <c r="R118" s="437"/>
      <c r="S118" s="437"/>
      <c r="T118" s="132"/>
      <c r="U118" s="437"/>
      <c r="V118" s="438"/>
      <c r="W118" s="438"/>
      <c r="X118" s="438"/>
      <c r="Y118" s="132"/>
      <c r="Z118" s="438"/>
      <c r="AA118" s="438"/>
      <c r="AB118" s="438"/>
      <c r="AC118" s="438"/>
      <c r="AD118" s="132"/>
      <c r="AE118" s="439"/>
      <c r="AF118" s="439"/>
      <c r="AG118" s="439"/>
    </row>
    <row r="119" spans="3:33" ht="14.25" hidden="1" customHeight="1" outlineLevel="1" x14ac:dyDescent="0.25">
      <c r="C119" s="9" t="e">
        <f>'Segment Analysis'!#REF!</f>
        <v>#REF!</v>
      </c>
      <c r="D119" s="9"/>
      <c r="E119" s="9"/>
      <c r="F119" s="437"/>
      <c r="G119" s="437"/>
      <c r="H119" s="437"/>
      <c r="I119" s="437"/>
      <c r="J119" s="132"/>
      <c r="K119" s="437"/>
      <c r="L119" s="437"/>
      <c r="M119" s="437"/>
      <c r="N119" s="437"/>
      <c r="O119" s="132"/>
      <c r="P119" s="437"/>
      <c r="Q119" s="437"/>
      <c r="R119" s="437"/>
      <c r="S119" s="437"/>
      <c r="T119" s="132"/>
      <c r="U119" s="437"/>
      <c r="V119" s="438"/>
      <c r="W119" s="438"/>
      <c r="X119" s="438"/>
      <c r="Y119" s="132"/>
      <c r="Z119" s="438"/>
      <c r="AA119" s="438"/>
      <c r="AB119" s="438"/>
      <c r="AC119" s="438"/>
      <c r="AD119" s="132"/>
      <c r="AE119" s="439"/>
      <c r="AF119" s="439"/>
      <c r="AG119" s="439"/>
    </row>
    <row r="120" spans="3:33" ht="14.25" hidden="1" customHeight="1" outlineLevel="1" x14ac:dyDescent="0.25">
      <c r="C120" s="103" t="str">
        <f>C$71</f>
        <v>North America</v>
      </c>
      <c r="D120" s="9"/>
      <c r="E120" s="9"/>
      <c r="F120" s="403">
        <v>0</v>
      </c>
      <c r="G120" s="403">
        <v>0</v>
      </c>
      <c r="H120" s="403">
        <v>0</v>
      </c>
      <c r="I120" s="403">
        <v>0</v>
      </c>
      <c r="J120" s="404">
        <f t="shared" ref="J120:J124" si="158">SUM(F120:I120)</f>
        <v>0</v>
      </c>
      <c r="K120" s="403">
        <v>0</v>
      </c>
      <c r="L120" s="403">
        <v>0</v>
      </c>
      <c r="M120" s="403">
        <v>0</v>
      </c>
      <c r="N120" s="403">
        <v>0</v>
      </c>
      <c r="O120" s="404">
        <f t="shared" ref="O120:O124" si="159">SUM(K120:N120)</f>
        <v>0</v>
      </c>
      <c r="P120" s="403">
        <v>0</v>
      </c>
      <c r="Q120" s="403">
        <v>0</v>
      </c>
      <c r="R120" s="403">
        <v>0</v>
      </c>
      <c r="S120" s="403">
        <v>0</v>
      </c>
      <c r="T120" s="404">
        <f t="shared" ref="T120:T124" si="160">SUM(P120:S120)</f>
        <v>0</v>
      </c>
      <c r="U120" s="403">
        <v>0</v>
      </c>
      <c r="V120" s="411">
        <v>0</v>
      </c>
      <c r="W120" s="411">
        <v>0</v>
      </c>
      <c r="X120" s="411">
        <v>0</v>
      </c>
      <c r="Y120" s="404">
        <f t="shared" ref="Y120:Y124" si="161">SUM(U120:X120)</f>
        <v>0</v>
      </c>
      <c r="Z120" s="411">
        <v>0</v>
      </c>
      <c r="AA120" s="411">
        <v>0</v>
      </c>
      <c r="AB120" s="411">
        <v>0</v>
      </c>
      <c r="AC120" s="411">
        <v>0</v>
      </c>
      <c r="AD120" s="404">
        <f t="shared" ref="AD120:AD124" si="162">SUM(Z120:AC120)</f>
        <v>0</v>
      </c>
      <c r="AE120" s="412">
        <v>0</v>
      </c>
      <c r="AF120" s="412">
        <v>0</v>
      </c>
      <c r="AG120" s="412">
        <v>0</v>
      </c>
    </row>
    <row r="121" spans="3:33" ht="14.25" hidden="1" customHeight="1" outlineLevel="1" x14ac:dyDescent="0.25">
      <c r="C121" s="103" t="str">
        <f>C$72</f>
        <v>Europe</v>
      </c>
      <c r="D121" s="9"/>
      <c r="E121" s="9"/>
      <c r="F121" s="403">
        <v>0</v>
      </c>
      <c r="G121" s="403">
        <v>0</v>
      </c>
      <c r="H121" s="403">
        <v>0</v>
      </c>
      <c r="I121" s="403">
        <v>0</v>
      </c>
      <c r="J121" s="404">
        <f t="shared" si="158"/>
        <v>0</v>
      </c>
      <c r="K121" s="403">
        <v>0</v>
      </c>
      <c r="L121" s="403">
        <v>0</v>
      </c>
      <c r="M121" s="403">
        <v>0</v>
      </c>
      <c r="N121" s="403">
        <v>0</v>
      </c>
      <c r="O121" s="404">
        <f t="shared" si="159"/>
        <v>0</v>
      </c>
      <c r="P121" s="403">
        <v>0</v>
      </c>
      <c r="Q121" s="403">
        <v>0</v>
      </c>
      <c r="R121" s="403">
        <v>0</v>
      </c>
      <c r="S121" s="403">
        <v>0</v>
      </c>
      <c r="T121" s="404">
        <f t="shared" si="160"/>
        <v>0</v>
      </c>
      <c r="U121" s="403">
        <v>0</v>
      </c>
      <c r="V121" s="411">
        <v>0</v>
      </c>
      <c r="W121" s="411">
        <v>0</v>
      </c>
      <c r="X121" s="411">
        <v>0</v>
      </c>
      <c r="Y121" s="404">
        <f t="shared" si="161"/>
        <v>0</v>
      </c>
      <c r="Z121" s="411">
        <v>0</v>
      </c>
      <c r="AA121" s="411">
        <v>0</v>
      </c>
      <c r="AB121" s="411">
        <v>0</v>
      </c>
      <c r="AC121" s="411">
        <v>0</v>
      </c>
      <c r="AD121" s="404">
        <f t="shared" si="162"/>
        <v>0</v>
      </c>
      <c r="AE121" s="412">
        <v>0</v>
      </c>
      <c r="AF121" s="412">
        <v>0</v>
      </c>
      <c r="AG121" s="412">
        <v>0</v>
      </c>
    </row>
    <row r="122" spans="3:33" ht="14.25" hidden="1" customHeight="1" outlineLevel="1" x14ac:dyDescent="0.25">
      <c r="C122" s="103" t="str">
        <f>C$73</f>
        <v>South America</v>
      </c>
      <c r="D122" s="9"/>
      <c r="E122" s="9"/>
      <c r="F122" s="403">
        <v>0</v>
      </c>
      <c r="G122" s="403">
        <v>0</v>
      </c>
      <c r="H122" s="403">
        <v>0</v>
      </c>
      <c r="I122" s="403">
        <v>0</v>
      </c>
      <c r="J122" s="404">
        <f t="shared" si="158"/>
        <v>0</v>
      </c>
      <c r="K122" s="403">
        <v>0</v>
      </c>
      <c r="L122" s="403">
        <v>0</v>
      </c>
      <c r="M122" s="403">
        <v>0</v>
      </c>
      <c r="N122" s="403">
        <v>0</v>
      </c>
      <c r="O122" s="404">
        <f t="shared" si="159"/>
        <v>0</v>
      </c>
      <c r="P122" s="403">
        <v>0</v>
      </c>
      <c r="Q122" s="403">
        <v>0</v>
      </c>
      <c r="R122" s="403">
        <v>0</v>
      </c>
      <c r="S122" s="403">
        <v>0</v>
      </c>
      <c r="T122" s="404">
        <f t="shared" si="160"/>
        <v>0</v>
      </c>
      <c r="U122" s="403">
        <v>0</v>
      </c>
      <c r="V122" s="411">
        <v>0</v>
      </c>
      <c r="W122" s="411">
        <v>0</v>
      </c>
      <c r="X122" s="411">
        <v>0</v>
      </c>
      <c r="Y122" s="404">
        <f t="shared" si="161"/>
        <v>0</v>
      </c>
      <c r="Z122" s="411">
        <v>0</v>
      </c>
      <c r="AA122" s="411">
        <v>0</v>
      </c>
      <c r="AB122" s="411">
        <v>0</v>
      </c>
      <c r="AC122" s="411">
        <v>0</v>
      </c>
      <c r="AD122" s="404">
        <f t="shared" si="162"/>
        <v>0</v>
      </c>
      <c r="AE122" s="412">
        <v>0</v>
      </c>
      <c r="AF122" s="412">
        <v>0</v>
      </c>
      <c r="AG122" s="412">
        <v>0</v>
      </c>
    </row>
    <row r="123" spans="3:33" ht="14.25" hidden="1" customHeight="1" outlineLevel="1" x14ac:dyDescent="0.25">
      <c r="C123" s="103" t="str">
        <f>C$74</f>
        <v>Middle East &amp; Africa</v>
      </c>
      <c r="D123" s="9"/>
      <c r="E123" s="9"/>
      <c r="F123" s="403">
        <v>0</v>
      </c>
      <c r="G123" s="403">
        <v>0</v>
      </c>
      <c r="H123" s="403">
        <v>0</v>
      </c>
      <c r="I123" s="403">
        <v>0</v>
      </c>
      <c r="J123" s="404">
        <f t="shared" si="158"/>
        <v>0</v>
      </c>
      <c r="K123" s="403">
        <v>0</v>
      </c>
      <c r="L123" s="403">
        <v>0</v>
      </c>
      <c r="M123" s="403">
        <v>0</v>
      </c>
      <c r="N123" s="403">
        <v>0</v>
      </c>
      <c r="O123" s="404">
        <f t="shared" si="159"/>
        <v>0</v>
      </c>
      <c r="P123" s="403">
        <v>0</v>
      </c>
      <c r="Q123" s="403">
        <v>0</v>
      </c>
      <c r="R123" s="403">
        <v>0</v>
      </c>
      <c r="S123" s="403">
        <v>0</v>
      </c>
      <c r="T123" s="404">
        <f t="shared" si="160"/>
        <v>0</v>
      </c>
      <c r="U123" s="403">
        <v>0</v>
      </c>
      <c r="V123" s="411">
        <v>0</v>
      </c>
      <c r="W123" s="411">
        <v>0</v>
      </c>
      <c r="X123" s="411">
        <v>0</v>
      </c>
      <c r="Y123" s="404">
        <f t="shared" si="161"/>
        <v>0</v>
      </c>
      <c r="Z123" s="411">
        <v>0</v>
      </c>
      <c r="AA123" s="411">
        <v>0</v>
      </c>
      <c r="AB123" s="411">
        <v>0</v>
      </c>
      <c r="AC123" s="411">
        <v>0</v>
      </c>
      <c r="AD123" s="404">
        <f t="shared" si="162"/>
        <v>0</v>
      </c>
      <c r="AE123" s="412">
        <v>0</v>
      </c>
      <c r="AF123" s="412">
        <v>0</v>
      </c>
      <c r="AG123" s="412">
        <v>0</v>
      </c>
    </row>
    <row r="124" spans="3:33" ht="14.25" hidden="1" customHeight="1" outlineLevel="1" x14ac:dyDescent="0.25">
      <c r="C124" s="103" t="str">
        <f>C$75</f>
        <v>Asia Pacific</v>
      </c>
      <c r="D124" s="9"/>
      <c r="E124" s="9"/>
      <c r="F124" s="403">
        <v>0</v>
      </c>
      <c r="G124" s="403">
        <v>0</v>
      </c>
      <c r="H124" s="403">
        <v>0</v>
      </c>
      <c r="I124" s="403">
        <v>0</v>
      </c>
      <c r="J124" s="404">
        <f t="shared" si="158"/>
        <v>0</v>
      </c>
      <c r="K124" s="403">
        <v>0</v>
      </c>
      <c r="L124" s="403">
        <v>0</v>
      </c>
      <c r="M124" s="403">
        <v>0</v>
      </c>
      <c r="N124" s="403">
        <v>0</v>
      </c>
      <c r="O124" s="404">
        <f t="shared" si="159"/>
        <v>0</v>
      </c>
      <c r="P124" s="403">
        <v>0</v>
      </c>
      <c r="Q124" s="403">
        <v>0</v>
      </c>
      <c r="R124" s="403">
        <v>0</v>
      </c>
      <c r="S124" s="403">
        <v>0</v>
      </c>
      <c r="T124" s="404">
        <f t="shared" si="160"/>
        <v>0</v>
      </c>
      <c r="U124" s="403">
        <v>0</v>
      </c>
      <c r="V124" s="411">
        <v>0</v>
      </c>
      <c r="W124" s="411">
        <v>0</v>
      </c>
      <c r="X124" s="411">
        <v>0</v>
      </c>
      <c r="Y124" s="404">
        <f t="shared" si="161"/>
        <v>0</v>
      </c>
      <c r="Z124" s="411">
        <v>0</v>
      </c>
      <c r="AA124" s="411">
        <v>0</v>
      </c>
      <c r="AB124" s="411">
        <v>0</v>
      </c>
      <c r="AC124" s="411">
        <v>0</v>
      </c>
      <c r="AD124" s="404">
        <f t="shared" si="162"/>
        <v>0</v>
      </c>
      <c r="AE124" s="412">
        <v>0</v>
      </c>
      <c r="AF124" s="412">
        <v>0</v>
      </c>
      <c r="AG124" s="412">
        <v>0</v>
      </c>
    </row>
    <row r="125" spans="3:33" ht="14.25" customHeight="1" collapsed="1" x14ac:dyDescent="0.25">
      <c r="C125" s="9"/>
      <c r="D125" s="9"/>
      <c r="E125" s="9"/>
      <c r="F125" s="437"/>
      <c r="G125" s="437"/>
      <c r="H125" s="437"/>
      <c r="I125" s="437"/>
      <c r="J125" s="132"/>
      <c r="K125" s="437"/>
      <c r="L125" s="437"/>
      <c r="M125" s="437"/>
      <c r="N125" s="437"/>
      <c r="O125" s="132"/>
      <c r="P125" s="437"/>
      <c r="Q125" s="437"/>
      <c r="R125" s="437"/>
      <c r="S125" s="437"/>
      <c r="T125" s="132"/>
      <c r="U125" s="437"/>
      <c r="V125" s="438"/>
      <c r="W125" s="438"/>
      <c r="X125" s="438"/>
      <c r="Y125" s="132"/>
      <c r="Z125" s="438"/>
      <c r="AA125" s="438"/>
      <c r="AB125" s="438"/>
      <c r="AC125" s="438"/>
      <c r="AD125" s="132"/>
      <c r="AE125" s="439"/>
      <c r="AF125" s="439"/>
      <c r="AG125" s="439"/>
    </row>
    <row r="126" spans="3:33" ht="14.25" customHeight="1" x14ac:dyDescent="0.25">
      <c r="C126" s="33" t="s">
        <v>437</v>
      </c>
      <c r="D126" s="34"/>
      <c r="E126" s="34"/>
      <c r="F126" s="429"/>
      <c r="G126" s="429"/>
      <c r="H126" s="429"/>
      <c r="I126" s="429"/>
      <c r="J126" s="429"/>
      <c r="K126" s="429"/>
      <c r="L126" s="429"/>
      <c r="M126" s="429"/>
      <c r="N126" s="429"/>
      <c r="O126" s="429"/>
      <c r="P126" s="429"/>
      <c r="Q126" s="429"/>
      <c r="R126" s="429"/>
      <c r="S126" s="429"/>
      <c r="T126" s="429"/>
      <c r="U126" s="429"/>
      <c r="V126" s="429"/>
      <c r="W126" s="429"/>
      <c r="X126" s="429"/>
      <c r="Y126" s="429"/>
      <c r="Z126" s="429"/>
      <c r="AA126" s="429"/>
      <c r="AB126" s="429"/>
      <c r="AC126" s="429"/>
      <c r="AD126" s="429"/>
      <c r="AE126" s="429"/>
      <c r="AF126" s="429"/>
      <c r="AG126" s="430"/>
    </row>
    <row r="127" spans="3:33" ht="14.25" customHeight="1" x14ac:dyDescent="0.25">
      <c r="C127" s="9"/>
      <c r="D127" s="9"/>
      <c r="E127" s="9"/>
      <c r="F127" s="254"/>
      <c r="G127" s="254"/>
      <c r="H127" s="254"/>
      <c r="I127" s="254"/>
      <c r="J127" s="132"/>
      <c r="K127" s="254"/>
      <c r="L127" s="254"/>
      <c r="M127" s="254"/>
      <c r="N127" s="254"/>
      <c r="O127" s="132"/>
      <c r="P127" s="254"/>
      <c r="Q127" s="254"/>
      <c r="R127" s="254"/>
      <c r="S127" s="254"/>
      <c r="T127" s="132"/>
      <c r="U127" s="254"/>
      <c r="V127" s="257"/>
      <c r="W127" s="257"/>
      <c r="X127" s="257"/>
      <c r="Y127" s="132"/>
      <c r="Z127" s="257"/>
      <c r="AA127" s="257"/>
      <c r="AB127" s="257"/>
      <c r="AC127" s="257"/>
      <c r="AD127" s="132"/>
      <c r="AE127" s="132"/>
      <c r="AF127" s="132"/>
      <c r="AG127" s="132"/>
    </row>
    <row r="128" spans="3:33" ht="14.25" hidden="1" customHeight="1" outlineLevel="1" x14ac:dyDescent="0.25">
      <c r="C128" s="9" t="s">
        <v>108</v>
      </c>
      <c r="D128" s="9"/>
      <c r="E128" s="9"/>
      <c r="F128" s="312">
        <f>IFERROR(Model!F61/Model!F28,"N/A")</f>
        <v>0.16416889397989054</v>
      </c>
      <c r="G128" s="312">
        <f>IFERROR(Model!G61/Model!G28,"N/A")</f>
        <v>0.18815773738340111</v>
      </c>
      <c r="H128" s="312">
        <f>IFERROR(Model!H61/Model!H28,"N/A")</f>
        <v>0.20447930612957682</v>
      </c>
      <c r="I128" s="312">
        <f>IFERROR(Model!I61/Model!I28,"N/A")</f>
        <v>0.16480250183129544</v>
      </c>
      <c r="J128" s="313">
        <f>IFERROR(Model!J61/Model!J28,"N/A")</f>
        <v>0.18057122498663974</v>
      </c>
      <c r="K128" s="312">
        <f>IFERROR(Model!K61/Model!K28,"N/A")</f>
        <v>0.20014600999606896</v>
      </c>
      <c r="L128" s="312">
        <f>IFERROR(Model!L61/Model!L28,"N/A")</f>
        <v>0.22878730227754526</v>
      </c>
      <c r="M128" s="312">
        <f>IFERROR(Model!M61/Model!M28,"N/A")</f>
        <v>0.19292827094094467</v>
      </c>
      <c r="N128" s="312">
        <f>IFERROR(Model!N61/Model!N28,"N/A")</f>
        <v>0.16520969924029555</v>
      </c>
      <c r="O128" s="313">
        <f>IFERROR(Model!O61/Model!O28,"N/A")</f>
        <v>0.19637201654964218</v>
      </c>
      <c r="P128" s="312">
        <f>IFERROR(Model!P61/Model!P28,"N/A")</f>
        <v>0.19934769978344688</v>
      </c>
      <c r="Q128" s="312">
        <f>IFERROR(Model!Q61/Model!Q28,"N/A")</f>
        <v>0.20038378568203483</v>
      </c>
      <c r="R128" s="312">
        <f>IFERROR(Model!R61/Model!R28,"N/A")</f>
        <v>0.2076786496084059</v>
      </c>
      <c r="S128" s="312">
        <f>IFERROR(Model!S61/Model!S28,"N/A")</f>
        <v>0.16797766159695818</v>
      </c>
      <c r="T128" s="313">
        <f>IFERROR(Model!T61/Model!T28,"N/A")</f>
        <v>0.1935299454407616</v>
      </c>
      <c r="U128" s="312">
        <f>IFERROR(Model!U61/Model!U28,"N/A")</f>
        <v>0.20335249042145595</v>
      </c>
      <c r="V128" s="314">
        <f>IFERROR(Model!V61/Model!V28,"N/A")</f>
        <v>0.19910533083707729</v>
      </c>
      <c r="W128" s="314">
        <f>IFERROR(Model!W61/Model!W28,"N/A")</f>
        <v>0.21117831405805151</v>
      </c>
      <c r="X128" s="314">
        <f>IFERROR(Model!X61/Model!X28,"N/A")</f>
        <v>0.21583786215765938</v>
      </c>
      <c r="Y128" s="313">
        <f>IFERROR(Model!Y61/Model!Y28,"N/A")</f>
        <v>0.2075671293475092</v>
      </c>
      <c r="Z128" s="314">
        <f>IFERROR(Model!Z61/Model!Z28,"N/A")</f>
        <v>0.21979109300058716</v>
      </c>
      <c r="AA128" s="314">
        <f>IFERROR(Model!AA61/Model!AA28,"N/A")</f>
        <v>0.22330925505624319</v>
      </c>
      <c r="AB128" s="314">
        <f>IFERROR(Model!AB61/Model!AB28,"N/A")</f>
        <v>0.23233936481387824</v>
      </c>
      <c r="AC128" s="314">
        <f>IFERROR(Model!AC61/Model!AC28,"N/A")</f>
        <v>0.2343044501235077</v>
      </c>
      <c r="AD128" s="313">
        <f>IFERROR(Model!AD61/Model!AD28,"N/A")</f>
        <v>0.22765646392338629</v>
      </c>
      <c r="AE128" s="313">
        <f>IFERROR(Model!AE61/Model!AE28,"N/A")</f>
        <v>0.23995514965794679</v>
      </c>
      <c r="AF128" s="313">
        <f>IFERROR(Model!AF61/Model!AF28,"N/A")</f>
        <v>0.24331402127130586</v>
      </c>
      <c r="AG128" s="313">
        <f>IFERROR(Model!AG61/Model!AG28,"N/A")</f>
        <v>0.24702293143349346</v>
      </c>
    </row>
    <row r="129" spans="3:33" ht="14.25" hidden="1" customHeight="1" outlineLevel="1" x14ac:dyDescent="0.25">
      <c r="C129" s="9" t="str">
        <f>C14</f>
        <v>Discount</v>
      </c>
      <c r="D129" s="9"/>
      <c r="E129" s="9"/>
      <c r="F129" s="312"/>
      <c r="G129" s="312"/>
      <c r="H129" s="312"/>
      <c r="I129" s="312"/>
      <c r="J129" s="313"/>
      <c r="K129" s="312"/>
      <c r="L129" s="312"/>
      <c r="M129" s="312"/>
      <c r="N129" s="312"/>
      <c r="O129" s="313"/>
      <c r="P129" s="312"/>
      <c r="Q129" s="312"/>
      <c r="R129" s="312"/>
      <c r="S129" s="312"/>
      <c r="T129" s="313"/>
      <c r="U129" s="312"/>
      <c r="V129" s="314"/>
      <c r="W129" s="314"/>
      <c r="X129" s="314"/>
      <c r="Y129" s="313"/>
      <c r="Z129" s="314"/>
      <c r="AA129" s="314"/>
      <c r="AB129" s="314"/>
      <c r="AC129" s="314"/>
      <c r="AD129" s="313"/>
      <c r="AE129" s="313"/>
      <c r="AF129" s="313"/>
      <c r="AG129" s="313"/>
    </row>
    <row r="130" spans="3:33" ht="14.25" hidden="1" customHeight="1" outlineLevel="1" x14ac:dyDescent="0.25">
      <c r="C130" s="9" t="str">
        <f>C15</f>
        <v>Net Card Fees</v>
      </c>
      <c r="D130" s="9"/>
      <c r="E130" s="9"/>
      <c r="F130" s="312"/>
      <c r="G130" s="312"/>
      <c r="H130" s="312"/>
      <c r="I130" s="312"/>
      <c r="J130" s="313"/>
      <c r="K130" s="312"/>
      <c r="L130" s="312"/>
      <c r="M130" s="312"/>
      <c r="N130" s="312"/>
      <c r="O130" s="313"/>
      <c r="P130" s="312"/>
      <c r="Q130" s="312"/>
      <c r="R130" s="312"/>
      <c r="S130" s="312"/>
      <c r="T130" s="313"/>
      <c r="U130" s="312"/>
      <c r="V130" s="314"/>
      <c r="W130" s="314"/>
      <c r="X130" s="314"/>
      <c r="Y130" s="313"/>
      <c r="Z130" s="314"/>
      <c r="AA130" s="314"/>
      <c r="AB130" s="314"/>
      <c r="AC130" s="314"/>
      <c r="AD130" s="313"/>
      <c r="AE130" s="313"/>
      <c r="AF130" s="313"/>
      <c r="AG130" s="313"/>
    </row>
    <row r="131" spans="3:33" ht="14.25" hidden="1" customHeight="1" outlineLevel="1" x14ac:dyDescent="0.25">
      <c r="C131" s="9" t="str">
        <f>C16</f>
        <v>Service Fees and Other</v>
      </c>
      <c r="D131" s="9"/>
      <c r="E131" s="9"/>
      <c r="F131" s="312"/>
      <c r="G131" s="312"/>
      <c r="H131" s="312"/>
      <c r="I131" s="312"/>
      <c r="J131" s="313"/>
      <c r="K131" s="312"/>
      <c r="L131" s="312"/>
      <c r="M131" s="312"/>
      <c r="N131" s="312"/>
      <c r="O131" s="313"/>
      <c r="P131" s="312"/>
      <c r="Q131" s="312"/>
      <c r="R131" s="312"/>
      <c r="S131" s="312"/>
      <c r="T131" s="313"/>
      <c r="U131" s="312"/>
      <c r="V131" s="314"/>
      <c r="W131" s="314"/>
      <c r="X131" s="314"/>
      <c r="Y131" s="313"/>
      <c r="Z131" s="314"/>
      <c r="AA131" s="314"/>
      <c r="AB131" s="314"/>
      <c r="AC131" s="314"/>
      <c r="AD131" s="313"/>
      <c r="AE131" s="313"/>
      <c r="AF131" s="313"/>
      <c r="AG131" s="313"/>
    </row>
    <row r="132" spans="3:33" ht="14.25" hidden="1" customHeight="1" outlineLevel="1" x14ac:dyDescent="0.25">
      <c r="C132" s="9"/>
      <c r="D132" s="9"/>
      <c r="E132" s="9"/>
      <c r="F132" s="254"/>
      <c r="G132" s="254"/>
      <c r="H132" s="254"/>
      <c r="I132" s="254"/>
      <c r="J132" s="132"/>
      <c r="K132" s="254"/>
      <c r="L132" s="254"/>
      <c r="M132" s="254"/>
      <c r="N132" s="254"/>
      <c r="O132" s="132"/>
      <c r="P132" s="254"/>
      <c r="Q132" s="254"/>
      <c r="R132" s="254"/>
      <c r="S132" s="254"/>
      <c r="T132" s="132"/>
      <c r="U132" s="254"/>
      <c r="V132" s="257"/>
      <c r="W132" s="257"/>
      <c r="X132" s="257"/>
      <c r="Y132" s="132"/>
      <c r="Z132" s="257"/>
      <c r="AA132" s="257"/>
      <c r="AB132" s="257"/>
      <c r="AC132" s="257"/>
      <c r="AD132" s="132"/>
      <c r="AE132" s="132"/>
      <c r="AF132" s="132"/>
      <c r="AG132" s="132"/>
    </row>
    <row r="133" spans="3:33" ht="14.25" customHeight="1" collapsed="1" x14ac:dyDescent="0.25">
      <c r="C133" s="9" t="s">
        <v>109</v>
      </c>
      <c r="D133" s="9"/>
      <c r="E133" s="9"/>
      <c r="F133" s="312">
        <f>IFERROR(Model!F39/Model!F28,"N/A")</f>
        <v>0.13790250731831488</v>
      </c>
      <c r="G133" s="312">
        <f>IFERROR(Model!G39/Model!G28,"N/A")</f>
        <v>0.16347763692896436</v>
      </c>
      <c r="H133" s="312">
        <f>IFERROR(Model!H39/Model!H28,"N/A")</f>
        <v>0.18045287851446534</v>
      </c>
      <c r="I133" s="312">
        <f>IFERROR(Model!I39/Model!I28,"N/A")</f>
        <v>0.14154504986758326</v>
      </c>
      <c r="J133" s="313">
        <f>IFERROR(Model!J39/Model!J28,"N/A")</f>
        <v>0.15606258535716405</v>
      </c>
      <c r="K133" s="312">
        <f>IFERROR(Model!K39/Model!K28,"N/A")</f>
        <v>0.17661593755264784</v>
      </c>
      <c r="L133" s="312">
        <f>IFERROR(Model!L39/Model!L28,"N/A")</f>
        <v>0.20601184975811274</v>
      </c>
      <c r="M133" s="312">
        <f>IFERROR(Model!M39/Model!M28,"N/A")</f>
        <v>0.17061611374407584</v>
      </c>
      <c r="N133" s="312">
        <f>IFERROR(Model!N39/Model!N28,"N/A")</f>
        <v>0.14340722239567072</v>
      </c>
      <c r="O133" s="313">
        <f>IFERROR(Model!O39/Model!O28,"N/A")</f>
        <v>0.17378471988248137</v>
      </c>
      <c r="P133" s="312">
        <f>IFERROR(Model!P39/Model!P28,"N/A")</f>
        <v>0.17588337822848993</v>
      </c>
      <c r="Q133" s="312">
        <f>IFERROR(Model!Q39/Model!Q28,"N/A")</f>
        <v>0.17809662368935936</v>
      </c>
      <c r="R133" s="312">
        <f>IFERROR(Model!R39/Model!R28,"N/A")</f>
        <v>0.18606800603200857</v>
      </c>
      <c r="S133" s="312">
        <f>IFERROR(Model!S39/Model!S28,"N/A")</f>
        <v>0.14686311787072243</v>
      </c>
      <c r="T133" s="313">
        <f>IFERROR(Model!T39/Model!T28,"N/A")</f>
        <v>0.1714452605545406</v>
      </c>
      <c r="U133" s="312">
        <f>IFERROR(Model!U39/Model!U28,"N/A")</f>
        <v>0.18093869731800766</v>
      </c>
      <c r="V133" s="314">
        <f>IFERROR(Model!V39/Model!V28,"N/A")</f>
        <v>0.17292124340685652</v>
      </c>
      <c r="W133" s="314">
        <f>IFERROR(Model!W39/Model!W28,"N/A")</f>
        <v>0.18547583119580241</v>
      </c>
      <c r="X133" s="314">
        <f>IFERROR(Model!X39/Model!X28,"N/A")</f>
        <v>0.19100306722992322</v>
      </c>
      <c r="Y133" s="313">
        <f>IFERROR(Model!Y39/Model!Y28,"N/A")</f>
        <v>0.18275347626959298</v>
      </c>
      <c r="Z133" s="314">
        <f>IFERROR(Model!Z39/Model!Z28,"N/A")</f>
        <v>0.19487661368690992</v>
      </c>
      <c r="AA133" s="314">
        <f>IFERROR(Model!AA39/Model!AA28,"N/A")</f>
        <v>0.19933435015361312</v>
      </c>
      <c r="AB133" s="314">
        <f>IFERROR(Model!AB39/Model!AB28,"N/A")</f>
        <v>0.20884892577261549</v>
      </c>
      <c r="AC133" s="314">
        <f>IFERROR(Model!AC39/Model!AC28,"N/A")</f>
        <v>0.21164938570069633</v>
      </c>
      <c r="AD133" s="313">
        <f>IFERROR(Model!AD39/Model!AD28,"N/A")</f>
        <v>0.20392927922726287</v>
      </c>
      <c r="AE133" s="313">
        <f>IFERROR(Model!AE39/Model!AE28,"N/A")</f>
        <v>0.21747604978061744</v>
      </c>
      <c r="AF133" s="313">
        <f>IFERROR(Model!AF39/Model!AF28,"N/A")</f>
        <v>0.2223764309824906</v>
      </c>
      <c r="AG133" s="313">
        <f>IFERROR(Model!AG39/Model!AG28,"N/A")</f>
        <v>0.22550126609720156</v>
      </c>
    </row>
    <row r="134" spans="3:33" ht="14.25" hidden="1" customHeight="1" outlineLevel="1" x14ac:dyDescent="0.25">
      <c r="C134" s="9" t="str">
        <f>C14</f>
        <v>Discount</v>
      </c>
      <c r="D134" s="9"/>
      <c r="E134" s="9"/>
      <c r="F134" s="312">
        <f t="shared" ref="F134:AG134" si="163">IFERROR(F34/F8,"N/A")</f>
        <v>0.14219202214672202</v>
      </c>
      <c r="G134" s="312">
        <f t="shared" si="163"/>
        <v>0.14738827968399953</v>
      </c>
      <c r="H134" s="312">
        <f t="shared" si="163"/>
        <v>0.18839200761179828</v>
      </c>
      <c r="I134" s="312">
        <f t="shared" si="163"/>
        <v>0.1712121212121212</v>
      </c>
      <c r="J134" s="313">
        <f t="shared" si="163"/>
        <v>0.16258678477376107</v>
      </c>
      <c r="K134" s="312">
        <f t="shared" si="163"/>
        <v>0.19248210023866349</v>
      </c>
      <c r="L134" s="312">
        <f t="shared" si="163"/>
        <v>0.176171654432524</v>
      </c>
      <c r="M134" s="312">
        <f t="shared" si="163"/>
        <v>0.18895216400911161</v>
      </c>
      <c r="N134" s="312">
        <f t="shared" si="163"/>
        <v>0.16835567178816607</v>
      </c>
      <c r="O134" s="313">
        <f t="shared" si="163"/>
        <v>0.18120595589906796</v>
      </c>
      <c r="P134" s="312">
        <f t="shared" si="163"/>
        <v>0.19810133821342787</v>
      </c>
      <c r="Q134" s="312">
        <f t="shared" si="163"/>
        <v>0.17904070077983122</v>
      </c>
      <c r="R134" s="312">
        <f t="shared" si="163"/>
        <v>0.19674917667056199</v>
      </c>
      <c r="S134" s="312">
        <f t="shared" si="163"/>
        <v>0.15681910157830839</v>
      </c>
      <c r="T134" s="313">
        <f t="shared" si="163"/>
        <v>0.18208069302959815</v>
      </c>
      <c r="U134" s="312">
        <f t="shared" ref="U134" si="164">IFERROR(U34/U8,"N/A")</f>
        <v>0.22771236333052985</v>
      </c>
      <c r="V134" s="314">
        <f t="shared" si="163"/>
        <v>0.69499999999999995</v>
      </c>
      <c r="W134" s="314">
        <f t="shared" si="163"/>
        <v>0.72</v>
      </c>
      <c r="X134" s="314">
        <f t="shared" si="163"/>
        <v>0.72</v>
      </c>
      <c r="Y134" s="313">
        <f t="shared" si="163"/>
        <v>0.59853178784619987</v>
      </c>
      <c r="Z134" s="314">
        <f t="shared" si="163"/>
        <v>0.75</v>
      </c>
      <c r="AA134" s="314">
        <f t="shared" si="163"/>
        <v>0.753</v>
      </c>
      <c r="AB134" s="314">
        <f t="shared" si="163"/>
        <v>0.755</v>
      </c>
      <c r="AC134" s="314">
        <f t="shared" si="163"/>
        <v>0.76500000000000001</v>
      </c>
      <c r="AD134" s="313">
        <f t="shared" si="163"/>
        <v>0.75601424657191185</v>
      </c>
      <c r="AE134" s="313">
        <f t="shared" si="163"/>
        <v>0.78</v>
      </c>
      <c r="AF134" s="313">
        <f t="shared" si="163"/>
        <v>0.79</v>
      </c>
      <c r="AG134" s="313">
        <f t="shared" si="163"/>
        <v>0.8</v>
      </c>
    </row>
    <row r="135" spans="3:33" ht="14.25" hidden="1" customHeight="1" outlineLevel="1" x14ac:dyDescent="0.25">
      <c r="C135" s="9" t="str">
        <f>C15</f>
        <v>Net Card Fees</v>
      </c>
      <c r="D135" s="9"/>
      <c r="E135" s="9"/>
      <c r="F135" s="312">
        <f t="shared" ref="F135:AG135" si="165">IFERROR(F35/F9,"N/A")</f>
        <v>0.36777583187390545</v>
      </c>
      <c r="G135" s="312">
        <f t="shared" si="165"/>
        <v>0.39854667411961991</v>
      </c>
      <c r="H135" s="312">
        <f t="shared" si="165"/>
        <v>0.46153846153846156</v>
      </c>
      <c r="I135" s="312">
        <f t="shared" si="165"/>
        <v>0.34923964341898267</v>
      </c>
      <c r="J135" s="313">
        <f t="shared" si="165"/>
        <v>0.39434872501722951</v>
      </c>
      <c r="K135" s="312">
        <f t="shared" si="165"/>
        <v>0.44478216818642352</v>
      </c>
      <c r="L135" s="312">
        <f t="shared" si="165"/>
        <v>0.43932038834951459</v>
      </c>
      <c r="M135" s="312">
        <f t="shared" si="165"/>
        <v>0.4184331797235023</v>
      </c>
      <c r="N135" s="312">
        <f t="shared" si="165"/>
        <v>0.36258351893095769</v>
      </c>
      <c r="O135" s="313">
        <f t="shared" si="165"/>
        <v>0.41484199313528231</v>
      </c>
      <c r="P135" s="312">
        <f t="shared" si="165"/>
        <v>0.35833690527218176</v>
      </c>
      <c r="Q135" s="312">
        <f t="shared" si="165"/>
        <v>0.36491935483870969</v>
      </c>
      <c r="R135" s="312">
        <f t="shared" si="165"/>
        <v>0.42728341826734612</v>
      </c>
      <c r="S135" s="312">
        <f t="shared" si="165"/>
        <v>0.31837200456447318</v>
      </c>
      <c r="T135" s="313">
        <f t="shared" si="165"/>
        <v>0.36705693985790055</v>
      </c>
      <c r="U135" s="312">
        <f t="shared" ref="U135" si="166">IFERROR(U35/U9,"N/A")</f>
        <v>0.42514534883720928</v>
      </c>
      <c r="V135" s="314">
        <f t="shared" si="165"/>
        <v>0</v>
      </c>
      <c r="W135" s="314">
        <f t="shared" si="165"/>
        <v>0</v>
      </c>
      <c r="X135" s="314">
        <f t="shared" si="165"/>
        <v>0</v>
      </c>
      <c r="Y135" s="313">
        <f t="shared" si="165"/>
        <v>9.8387084187591109E-2</v>
      </c>
      <c r="Z135" s="314">
        <f t="shared" si="165"/>
        <v>0</v>
      </c>
      <c r="AA135" s="314">
        <f t="shared" si="165"/>
        <v>0</v>
      </c>
      <c r="AB135" s="314">
        <f t="shared" si="165"/>
        <v>0</v>
      </c>
      <c r="AC135" s="314">
        <f t="shared" si="165"/>
        <v>0</v>
      </c>
      <c r="AD135" s="313">
        <f t="shared" si="165"/>
        <v>0</v>
      </c>
      <c r="AE135" s="313">
        <f t="shared" si="165"/>
        <v>0</v>
      </c>
      <c r="AF135" s="313">
        <f t="shared" si="165"/>
        <v>0</v>
      </c>
      <c r="AG135" s="313">
        <f t="shared" si="165"/>
        <v>0</v>
      </c>
    </row>
    <row r="136" spans="3:33" ht="14.25" hidden="1" customHeight="1" outlineLevel="1" x14ac:dyDescent="0.25">
      <c r="C136" s="9" t="str">
        <f>C16</f>
        <v>Service Fees and Other</v>
      </c>
      <c r="D136" s="9"/>
      <c r="E136" s="9"/>
      <c r="F136" s="312">
        <f t="shared" ref="F136:AG136" si="167">IFERROR(F36/F10,"N/A")</f>
        <v>0.11538461538461539</v>
      </c>
      <c r="G136" s="312">
        <f t="shared" si="167"/>
        <v>0.15068493150684931</v>
      </c>
      <c r="H136" s="312">
        <f t="shared" si="167"/>
        <v>0.22967359050445105</v>
      </c>
      <c r="I136" s="312">
        <f t="shared" si="167"/>
        <v>8.4309133489461355E-2</v>
      </c>
      <c r="J136" s="313">
        <f t="shared" si="167"/>
        <v>0.14500745156482861</v>
      </c>
      <c r="K136" s="312">
        <f t="shared" si="167"/>
        <v>0.1501787842669845</v>
      </c>
      <c r="L136" s="312">
        <f t="shared" si="167"/>
        <v>0.17180094786729858</v>
      </c>
      <c r="M136" s="312">
        <f t="shared" si="167"/>
        <v>0.27083333333333331</v>
      </c>
      <c r="N136" s="312">
        <f t="shared" si="167"/>
        <v>1.977894124490983E-2</v>
      </c>
      <c r="O136" s="313">
        <f t="shared" si="167"/>
        <v>0.15240206947524021</v>
      </c>
      <c r="P136" s="312">
        <f t="shared" si="167"/>
        <v>0.22125435540069685</v>
      </c>
      <c r="Q136" s="312">
        <f t="shared" si="167"/>
        <v>0.25437636761487964</v>
      </c>
      <c r="R136" s="312">
        <f t="shared" si="167"/>
        <v>0.22317813765182187</v>
      </c>
      <c r="S136" s="312">
        <f t="shared" si="167"/>
        <v>0.16246786632390744</v>
      </c>
      <c r="T136" s="313">
        <f t="shared" si="167"/>
        <v>0.21456297684379602</v>
      </c>
      <c r="U136" s="312">
        <f t="shared" ref="U136" si="168">IFERROR(U36/U10,"N/A")</f>
        <v>0.22655048692977961</v>
      </c>
      <c r="V136" s="314">
        <f t="shared" si="167"/>
        <v>0</v>
      </c>
      <c r="W136" s="314">
        <f t="shared" si="167"/>
        <v>0</v>
      </c>
      <c r="X136" s="314">
        <f t="shared" si="167"/>
        <v>0</v>
      </c>
      <c r="Y136" s="313">
        <f t="shared" si="167"/>
        <v>5.3017268622133323E-2</v>
      </c>
      <c r="Z136" s="314">
        <f t="shared" si="167"/>
        <v>0</v>
      </c>
      <c r="AA136" s="314">
        <f t="shared" si="167"/>
        <v>0</v>
      </c>
      <c r="AB136" s="314">
        <f t="shared" si="167"/>
        <v>0</v>
      </c>
      <c r="AC136" s="314">
        <f t="shared" si="167"/>
        <v>0</v>
      </c>
      <c r="AD136" s="313">
        <f t="shared" si="167"/>
        <v>0</v>
      </c>
      <c r="AE136" s="313">
        <f t="shared" si="167"/>
        <v>0</v>
      </c>
      <c r="AF136" s="313">
        <f t="shared" si="167"/>
        <v>0</v>
      </c>
      <c r="AG136" s="313">
        <f t="shared" si="167"/>
        <v>0</v>
      </c>
    </row>
    <row r="137" spans="3:33" ht="14.25" hidden="1" customHeight="1" outlineLevel="1" x14ac:dyDescent="0.25">
      <c r="C137" s="9"/>
      <c r="D137" s="9"/>
      <c r="E137" s="9"/>
      <c r="F137" s="254"/>
      <c r="G137" s="254"/>
      <c r="H137" s="254"/>
      <c r="I137" s="254"/>
      <c r="J137" s="132"/>
      <c r="K137" s="254"/>
      <c r="L137" s="254"/>
      <c r="M137" s="254"/>
      <c r="N137" s="254"/>
      <c r="O137" s="132"/>
      <c r="P137" s="254"/>
      <c r="Q137" s="254"/>
      <c r="R137" s="254"/>
      <c r="S137" s="254"/>
      <c r="T137" s="132"/>
      <c r="U137" s="254"/>
      <c r="V137" s="257"/>
      <c r="W137" s="257"/>
      <c r="X137" s="257"/>
      <c r="Y137" s="132"/>
      <c r="Z137" s="257"/>
      <c r="AA137" s="257"/>
      <c r="AB137" s="257"/>
      <c r="AC137" s="257"/>
      <c r="AD137" s="132"/>
      <c r="AE137" s="132"/>
      <c r="AF137" s="132"/>
      <c r="AG137" s="132"/>
    </row>
    <row r="138" spans="3:33" ht="14.25" hidden="1" customHeight="1" outlineLevel="1" x14ac:dyDescent="0.25">
      <c r="C138" s="9" t="s">
        <v>438</v>
      </c>
      <c r="D138" s="9"/>
      <c r="E138" s="9"/>
      <c r="F138" s="254"/>
      <c r="G138" s="312">
        <f>IFERROR((Model!G39-Model!F39)/('Segment Analysis'!G7-'Segment Analysis'!F7),"N/A")</f>
        <v>0.56138613861386144</v>
      </c>
      <c r="H138" s="312">
        <f>IFERROR((Model!H39-Model!G39)/('Segment Analysis'!H7-'Segment Analysis'!G7),"N/A")</f>
        <v>0.80439560439560442</v>
      </c>
      <c r="I138" s="312">
        <f>IFERROR((Model!I39-Model!H39)/('Segment Analysis'!I7-'Segment Analysis'!H7),"N/A")</f>
        <v>-1.0352112676056338</v>
      </c>
      <c r="J138" s="313"/>
      <c r="K138" s="312">
        <f>IFERROR((Model!K39-Model!I39)/('Segment Analysis'!K7-'Segment Analysis'!I7),"N/A")</f>
        <v>10.55</v>
      </c>
      <c r="L138" s="312">
        <f>IFERROR((Model!L39-Model!K39)/('Segment Analysis'!L7-'Segment Analysis'!K7),"N/A")</f>
        <v>1.0932203389830508</v>
      </c>
      <c r="M138" s="312">
        <f>IFERROR((Model!M39-Model!L39)/('Segment Analysis'!M7-'Segment Analysis'!L7),"N/A")</f>
        <v>-1.5340314136125655</v>
      </c>
      <c r="N138" s="312">
        <f>IFERROR((Model!N39-Model!M39)/('Segment Analysis'!N7-'Segment Analysis'!M7),"N/A")</f>
        <v>-1.0205011389521641</v>
      </c>
      <c r="O138" s="313"/>
      <c r="P138" s="312">
        <f>IFERROR((Model!P39-Model!N39)/('Segment Analysis'!P7-'Segment Analysis'!N7),"N/A")</f>
        <v>-2.0140350877192983</v>
      </c>
      <c r="Q138" s="312">
        <f>IFERROR((Model!Q39-Model!P39)/('Segment Analysis'!Q7-'Segment Analysis'!P7),"N/A")</f>
        <v>0.22</v>
      </c>
      <c r="R138" s="312">
        <f>IFERROR((Model!R39-Model!Q39)/('Segment Analysis'!R7-'Segment Analysis'!Q7),"N/A")</f>
        <v>0.44070512820512819</v>
      </c>
      <c r="S138" s="312">
        <f>IFERROR((Model!S39-Model!R39)/('Segment Analysis'!S7-'Segment Analysis'!R7),"N/A")</f>
        <v>-1.5217391304347827</v>
      </c>
      <c r="T138" s="313"/>
      <c r="U138" s="312">
        <f>IFERROR((Model!U39-Model!S39)/('Segment Analysis'!U7-'Segment Analysis'!S7),"N/A")</f>
        <v>-4.3</v>
      </c>
      <c r="V138" s="314">
        <f>IFERROR((Model!V39-Model!U39)/('Segment Analysis'!V7-'Segment Analysis'!U7),"N/A")</f>
        <v>-2.4209993370257709E-2</v>
      </c>
      <c r="W138" s="314">
        <f>IFERROR((Model!W39-Model!V39)/('Segment Analysis'!W7-'Segment Analysis'!V7),"N/A")</f>
        <v>0.64455473183674694</v>
      </c>
      <c r="X138" s="314">
        <f>IFERROR((Model!X39-Model!W39)/('Segment Analysis'!X7-'Segment Analysis'!W7),"N/A")</f>
        <v>0.34505157902052824</v>
      </c>
      <c r="Y138" s="313"/>
      <c r="Z138" s="314">
        <f>IFERROR((Model!Z39-Model!X39)/('Segment Analysis'!Z7-'Segment Analysis'!X7),"N/A")</f>
        <v>-1.2519749346708913</v>
      </c>
      <c r="AA138" s="314">
        <f>IFERROR((Model!AA39-Model!Z39)/('Segment Analysis'!AA7-'Segment Analysis'!Z7),"N/A")</f>
        <v>0.29618716595634365</v>
      </c>
      <c r="AB138" s="314">
        <f>IFERROR((Model!AB39-Model!AA39)/('Segment Analysis'!AB7-'Segment Analysis'!AA7),"N/A")</f>
        <v>0.60441043968353336</v>
      </c>
      <c r="AC138" s="314">
        <f>IFERROR((Model!AC39-Model!AB39)/('Segment Analysis'!AC7-'Segment Analysis'!AB7),"N/A")</f>
        <v>0.28412281682631546</v>
      </c>
      <c r="AD138" s="313"/>
      <c r="AE138" s="313">
        <f>IFERROR((Model!AE39-Model!AD39)/('Segment Analysis'!AE7-'Segment Analysis'!AD7),"N/A")</f>
        <v>0.40387829860924251</v>
      </c>
      <c r="AF138" s="313">
        <f>IFERROR((Model!AF39-Model!AE39)/('Segment Analysis'!AF7-'Segment Analysis'!AE7),"N/A")</f>
        <v>0.29237087044217847</v>
      </c>
      <c r="AG138" s="313">
        <f>IFERROR((Model!AG39-Model!AF39)/('Segment Analysis'!AG7-'Segment Analysis'!AF7),"N/A")</f>
        <v>0.27638796124994858</v>
      </c>
    </row>
    <row r="139" spans="3:33" ht="14.25" hidden="1" customHeight="1" outlineLevel="1" x14ac:dyDescent="0.25">
      <c r="C139" s="9" t="str">
        <f>C14</f>
        <v>Discount</v>
      </c>
      <c r="D139" s="9"/>
      <c r="E139" s="9"/>
      <c r="F139" s="254"/>
      <c r="G139" s="312"/>
      <c r="H139" s="312"/>
      <c r="I139" s="312"/>
      <c r="J139" s="313"/>
      <c r="K139" s="312"/>
      <c r="L139" s="312"/>
      <c r="M139" s="312"/>
      <c r="N139" s="312"/>
      <c r="O139" s="313"/>
      <c r="P139" s="312"/>
      <c r="Q139" s="312"/>
      <c r="R139" s="312"/>
      <c r="S139" s="312"/>
      <c r="T139" s="313"/>
      <c r="U139" s="312"/>
      <c r="V139" s="314"/>
      <c r="W139" s="314"/>
      <c r="X139" s="314"/>
      <c r="Y139" s="313"/>
      <c r="Z139" s="314"/>
      <c r="AA139" s="314"/>
      <c r="AB139" s="314"/>
      <c r="AC139" s="314"/>
      <c r="AD139" s="313"/>
      <c r="AE139" s="313"/>
      <c r="AF139" s="313"/>
      <c r="AG139" s="313"/>
    </row>
    <row r="140" spans="3:33" ht="14.25" hidden="1" customHeight="1" outlineLevel="1" x14ac:dyDescent="0.25">
      <c r="C140" s="9" t="str">
        <f>C15</f>
        <v>Net Card Fees</v>
      </c>
      <c r="D140" s="9"/>
      <c r="E140" s="9"/>
      <c r="F140" s="254"/>
      <c r="G140" s="312"/>
      <c r="H140" s="312"/>
      <c r="I140" s="312"/>
      <c r="J140" s="313"/>
      <c r="K140" s="312"/>
      <c r="L140" s="312"/>
      <c r="M140" s="312"/>
      <c r="N140" s="312"/>
      <c r="O140" s="313"/>
      <c r="P140" s="312"/>
      <c r="Q140" s="312"/>
      <c r="R140" s="312"/>
      <c r="S140" s="312"/>
      <c r="T140" s="313"/>
      <c r="U140" s="312"/>
      <c r="V140" s="314"/>
      <c r="W140" s="314"/>
      <c r="X140" s="314"/>
      <c r="Y140" s="313"/>
      <c r="Z140" s="314"/>
      <c r="AA140" s="314"/>
      <c r="AB140" s="314"/>
      <c r="AC140" s="314"/>
      <c r="AD140" s="313"/>
      <c r="AE140" s="313"/>
      <c r="AF140" s="313"/>
      <c r="AG140" s="313"/>
    </row>
    <row r="141" spans="3:33" ht="14.25" hidden="1" customHeight="1" outlineLevel="1" x14ac:dyDescent="0.25">
      <c r="C141" s="9" t="str">
        <f>C16</f>
        <v>Service Fees and Other</v>
      </c>
      <c r="D141" s="9"/>
      <c r="E141" s="9"/>
      <c r="F141" s="254"/>
      <c r="G141" s="312"/>
      <c r="H141" s="312"/>
      <c r="I141" s="312"/>
      <c r="J141" s="313"/>
      <c r="K141" s="312"/>
      <c r="L141" s="312"/>
      <c r="M141" s="312"/>
      <c r="N141" s="312"/>
      <c r="O141" s="313"/>
      <c r="P141" s="312"/>
      <c r="Q141" s="312"/>
      <c r="R141" s="312"/>
      <c r="S141" s="312"/>
      <c r="T141" s="313"/>
      <c r="U141" s="312"/>
      <c r="V141" s="314"/>
      <c r="W141" s="314"/>
      <c r="X141" s="314"/>
      <c r="Y141" s="313"/>
      <c r="Z141" s="314"/>
      <c r="AA141" s="314"/>
      <c r="AB141" s="314"/>
      <c r="AC141" s="314"/>
      <c r="AD141" s="313"/>
      <c r="AE141" s="313"/>
      <c r="AF141" s="313"/>
      <c r="AG141" s="313"/>
    </row>
    <row r="142" spans="3:33" ht="14.25" customHeight="1" collapsed="1" x14ac:dyDescent="0.25">
      <c r="C142" s="9"/>
      <c r="D142" s="9"/>
      <c r="E142" s="9"/>
      <c r="F142" s="254"/>
      <c r="G142" s="254"/>
      <c r="H142" s="254"/>
      <c r="I142" s="254"/>
      <c r="J142" s="132"/>
      <c r="K142" s="254"/>
      <c r="L142" s="254"/>
      <c r="M142" s="254"/>
      <c r="N142" s="254"/>
      <c r="O142" s="132"/>
      <c r="P142" s="254"/>
      <c r="Q142" s="254"/>
      <c r="R142" s="254"/>
      <c r="S142" s="254"/>
      <c r="T142" s="132"/>
      <c r="U142" s="254"/>
      <c r="V142" s="257"/>
      <c r="W142" s="257"/>
      <c r="X142" s="257"/>
      <c r="Y142" s="132"/>
      <c r="Z142" s="257"/>
      <c r="AA142" s="257"/>
      <c r="AB142" s="257"/>
      <c r="AC142" s="257"/>
      <c r="AD142" s="132"/>
      <c r="AE142" s="132"/>
      <c r="AF142" s="132"/>
      <c r="AG142" s="132"/>
    </row>
    <row r="143" spans="3:33" ht="14.25" customHeight="1" x14ac:dyDescent="0.25">
      <c r="C143" s="33" t="s">
        <v>439</v>
      </c>
      <c r="D143" s="34"/>
      <c r="E143" s="34"/>
      <c r="F143" s="429"/>
      <c r="G143" s="429"/>
      <c r="H143" s="429"/>
      <c r="I143" s="429"/>
      <c r="J143" s="429"/>
      <c r="K143" s="429"/>
      <c r="L143" s="429"/>
      <c r="M143" s="429"/>
      <c r="N143" s="429"/>
      <c r="O143" s="429"/>
      <c r="P143" s="429"/>
      <c r="Q143" s="429"/>
      <c r="R143" s="429"/>
      <c r="S143" s="429"/>
      <c r="T143" s="429"/>
      <c r="U143" s="429"/>
      <c r="V143" s="429"/>
      <c r="W143" s="429"/>
      <c r="X143" s="429"/>
      <c r="Y143" s="429"/>
      <c r="Z143" s="429"/>
      <c r="AA143" s="429"/>
      <c r="AB143" s="429"/>
      <c r="AC143" s="429"/>
      <c r="AD143" s="429"/>
      <c r="AE143" s="429"/>
      <c r="AF143" s="429"/>
      <c r="AG143" s="430"/>
    </row>
    <row r="144" spans="3:33" ht="14.25" customHeight="1" x14ac:dyDescent="0.25">
      <c r="C144" s="9"/>
      <c r="D144" s="9"/>
      <c r="E144" s="9"/>
      <c r="F144" s="254"/>
      <c r="G144" s="254"/>
      <c r="H144" s="254"/>
      <c r="I144" s="254"/>
      <c r="J144" s="132"/>
      <c r="K144" s="254"/>
      <c r="L144" s="254"/>
      <c r="M144" s="254"/>
      <c r="N144" s="254"/>
      <c r="O144" s="132"/>
      <c r="P144" s="254"/>
      <c r="Q144" s="254"/>
      <c r="R144" s="254"/>
      <c r="S144" s="254"/>
      <c r="T144" s="132"/>
      <c r="U144" s="254"/>
      <c r="V144" s="257"/>
      <c r="W144" s="257"/>
      <c r="X144" s="257"/>
      <c r="Y144" s="132"/>
      <c r="Z144" s="257"/>
      <c r="AA144" s="257"/>
      <c r="AB144" s="257"/>
      <c r="AC144" s="257"/>
      <c r="AD144" s="132"/>
      <c r="AE144" s="132"/>
      <c r="AF144" s="132"/>
      <c r="AG144" s="132"/>
    </row>
    <row r="145" spans="3:33" ht="14.25" customHeight="1" x14ac:dyDescent="0.25">
      <c r="C145" s="9" t="s">
        <v>440</v>
      </c>
      <c r="D145" s="9"/>
      <c r="E145" s="9"/>
      <c r="F145" s="408"/>
      <c r="G145" s="312"/>
      <c r="H145" s="312"/>
      <c r="I145" s="312"/>
      <c r="J145" s="313"/>
      <c r="K145" s="312">
        <f>IFERROR('Segment Analysis'!K7/'Segment Analysis'!F7-1,"N/A")</f>
        <v>0.13319333078783258</v>
      </c>
      <c r="L145" s="312">
        <f>IFERROR('Segment Analysis'!L7/'Segment Analysis'!G7-1,"N/A")</f>
        <v>0.10003587658454904</v>
      </c>
      <c r="M145" s="312">
        <f>IFERROR('Segment Analysis'!M7/'Segment Analysis'!H7-1,"N/A")</f>
        <v>9.3136969555853044E-2</v>
      </c>
      <c r="N145" s="312">
        <f>IFERROR('Segment Analysis'!N7/'Segment Analysis'!I7-1,"N/A")</f>
        <v>8.2887248549050607E-2</v>
      </c>
      <c r="O145" s="313">
        <f>IFERROR('Segment Analysis'!O7/'Segment Analysis'!J7-1,"N/A")</f>
        <v>0.10149337925301349</v>
      </c>
      <c r="P145" s="312">
        <f>IFERROR('Segment Analysis'!P7/'Segment Analysis'!K7-1,"N/A")</f>
        <v>6.3233559836019637E-2</v>
      </c>
      <c r="Q145" s="312">
        <f>IFERROR('Segment Analysis'!Q7/'Segment Analysis'!L7-1,"N/A")</f>
        <v>8.3491873675055617E-2</v>
      </c>
      <c r="R145" s="312">
        <f>IFERROR('Segment Analysis'!R7/'Segment Analysis'!M7-1,"N/A")</f>
        <v>9.4680227914159421E-2</v>
      </c>
      <c r="S145" s="312">
        <f>IFERROR('Segment Analysis'!S7/'Segment Analysis'!N7-1,"N/A")</f>
        <v>9.4806951816005736E-2</v>
      </c>
      <c r="T145" s="313">
        <f>IFERROR('Segment Analysis'!T7/'Segment Analysis'!O7-1,"N/A")</f>
        <v>8.4392393633508922E-2</v>
      </c>
      <c r="U145" s="312">
        <f>IFERROR('Segment Analysis'!U7/'Segment Analysis'!P7-1,"N/A")</f>
        <v>0.1028363175408018</v>
      </c>
      <c r="V145" s="314">
        <f>IFERROR('Segment Analysis'!V7/'Segment Analysis'!Q7-1,"N/A")</f>
        <v>9.0112025284703856E-2</v>
      </c>
      <c r="W145" s="314">
        <f>IFERROR('Segment Analysis'!W7/'Segment Analysis'!R7-1,"N/A")</f>
        <v>8.5928829595758094E-2</v>
      </c>
      <c r="X145" s="314">
        <f>IFERROR('Segment Analysis'!X7/'Segment Analysis'!S7-1,"N/A")</f>
        <v>9.9068459087452432E-2</v>
      </c>
      <c r="Y145" s="313">
        <f>IFERROR('Segment Analysis'!Y7/'Segment Analysis'!T7-1,"N/A")</f>
        <v>9.4379308864944278E-2</v>
      </c>
      <c r="Z145" s="314">
        <f>IFERROR('Segment Analysis'!Z7/'Segment Analysis'!U7-1,"N/A")</f>
        <v>0.10452543904482736</v>
      </c>
      <c r="AA145" s="314">
        <f>IFERROR('Segment Analysis'!AA7/'Segment Analysis'!V7-1,"N/A")</f>
        <v>0.11020927508600931</v>
      </c>
      <c r="AB145" s="314">
        <f>IFERROR('Segment Analysis'!AB7/'Segment Analysis'!W7-1,"N/A")</f>
        <v>0.10664959128666918</v>
      </c>
      <c r="AC145" s="314">
        <f>IFERROR('Segment Analysis'!AC7/'Segment Analysis'!X7-1,"N/A")</f>
        <v>0.10959959652438811</v>
      </c>
      <c r="AD145" s="313">
        <f>IFERROR('Segment Analysis'!AD7/'Segment Analysis'!Y7-1,"N/A")</f>
        <v>0.10779900412910126</v>
      </c>
      <c r="AE145" s="313">
        <f>IFERROR('Segment Analysis'!AE7/'Segment Analysis'!Z7-1,"N/A")</f>
        <v>3.537190127811761</v>
      </c>
      <c r="AF145" s="313">
        <f>IFERROR('Segment Analysis'!AF7/'Segment Analysis'!AA7-1,"N/A")</f>
        <v>3.6412268114058568</v>
      </c>
      <c r="AG145" s="313">
        <f>IFERROR('Segment Analysis'!AG7/'Segment Analysis'!AB7-1,"N/A")</f>
        <v>3.8105247069812123</v>
      </c>
    </row>
    <row r="146" spans="3:33" ht="14.25" customHeight="1" x14ac:dyDescent="0.25">
      <c r="C146" s="103" t="str">
        <f>'Segment Analysis'!C14</f>
        <v>Discount</v>
      </c>
      <c r="D146" s="9"/>
      <c r="E146" s="9"/>
      <c r="F146" s="408"/>
      <c r="G146" s="312"/>
      <c r="H146" s="312"/>
      <c r="I146" s="312"/>
      <c r="J146" s="313"/>
      <c r="K146" s="312">
        <f>IFERROR('Segment Analysis'!K8/'Segment Analysis'!F8-1,"N/A")</f>
        <v>5.4485969548257129E-2</v>
      </c>
      <c r="L146" s="312">
        <f>IFERROR('Segment Analysis'!L8/'Segment Analysis'!G8-1,"N/A")</f>
        <v>4.4098573281452724E-2</v>
      </c>
      <c r="M146" s="312">
        <f>IFERROR('Segment Analysis'!M8/'Segment Analysis'!H8-1,"N/A")</f>
        <v>4.4243577545195034E-2</v>
      </c>
      <c r="N146" s="312">
        <f>IFERROR('Segment Analysis'!N8/'Segment Analysis'!I8-1,"N/A")</f>
        <v>6.9580419580419495E-2</v>
      </c>
      <c r="O146" s="313">
        <f>IFERROR('Segment Analysis'!O8/'Segment Analysis'!J8-1,"N/A")</f>
        <v>5.3148192482643131E-2</v>
      </c>
      <c r="P146" s="312">
        <f>IFERROR('Segment Analysis'!P8/'Segment Analysis'!K8-1,"N/A")</f>
        <v>4.3317422434367536E-2</v>
      </c>
      <c r="Q146" s="312">
        <f>IFERROR('Segment Analysis'!Q8/'Segment Analysis'!L8-1,"N/A")</f>
        <v>5.7142857142857162E-2</v>
      </c>
      <c r="R146" s="312">
        <f>IFERROR('Segment Analysis'!R8/'Segment Analysis'!M8-1,"N/A")</f>
        <v>7.2095671981776688E-2</v>
      </c>
      <c r="S146" s="312">
        <f>IFERROR('Segment Analysis'!S8/'Segment Analysis'!N8-1,"N/A")</f>
        <v>7.7040427154843716E-2</v>
      </c>
      <c r="T146" s="313">
        <f>IFERROR('Segment Analysis'!T8/'Segment Analysis'!O8-1,"N/A")</f>
        <v>6.2769947715389796E-2</v>
      </c>
      <c r="U146" s="312">
        <f>IFERROR('Segment Analysis'!U8/'Segment Analysis'!P8-1,"N/A")</f>
        <v>8.7956079149033473E-2</v>
      </c>
      <c r="V146" s="314">
        <f>IFERROR('Segment Analysis'!V8/'Segment Analysis'!Q8-1,"N/A")</f>
        <v>7.7098600576861465E-2</v>
      </c>
      <c r="W146" s="314">
        <f>IFERROR('Segment Analysis'!W8/'Segment Analysis'!R8-1,"N/A")</f>
        <v>8.721563794751952E-2</v>
      </c>
      <c r="X146" s="314">
        <f>IFERROR('Segment Analysis'!X8/'Segment Analysis'!S8-1,"N/A")</f>
        <v>9.2354172804532508E-2</v>
      </c>
      <c r="Y146" s="313">
        <f>IFERROR('Segment Analysis'!Y8/'Segment Analysis'!T8-1,"N/A")</f>
        <v>8.6214524852276764E-2</v>
      </c>
      <c r="Z146" s="314">
        <f>IFERROR('Segment Analysis'!Z8/'Segment Analysis'!U8-1,"N/A")</f>
        <v>0.12372375499999988</v>
      </c>
      <c r="AA146" s="314">
        <f>IFERROR('Segment Analysis'!AA8/'Segment Analysis'!V8-1,"N/A")</f>
        <v>0.13432492249999983</v>
      </c>
      <c r="AB146" s="314">
        <f>IFERROR('Segment Analysis'!AB8/'Segment Analysis'!W8-1,"N/A")</f>
        <v>0.13991272999999982</v>
      </c>
      <c r="AC146" s="314">
        <f>IFERROR('Segment Analysis'!AC8/'Segment Analysis'!X8-1,"N/A")</f>
        <v>0.13991273000000004</v>
      </c>
      <c r="AD146" s="313">
        <f>IFERROR('Segment Analysis'!AD8/'Segment Analysis'!Y8-1,"N/A")</f>
        <v>0.13473544529600567</v>
      </c>
      <c r="AE146" s="313">
        <f>IFERROR('Segment Analysis'!AE8/'Segment Analysis'!Z8-1,"N/A")</f>
        <v>3.6147248900000015</v>
      </c>
      <c r="AF146" s="313">
        <f>IFERROR('Segment Analysis'!AF8/'Segment Analysis'!AA8-1,"N/A")</f>
        <v>3.5715966200000011</v>
      </c>
      <c r="AG146" s="313">
        <f>IFERROR('Segment Analysis'!AG8/'Segment Analysis'!AB8-1,"N/A")</f>
        <v>3.7508749188235315</v>
      </c>
    </row>
    <row r="147" spans="3:33" ht="14.25" customHeight="1" x14ac:dyDescent="0.25">
      <c r="C147" s="103" t="str">
        <f>'Segment Analysis'!C15</f>
        <v>Net Card Fees</v>
      </c>
      <c r="D147" s="9"/>
      <c r="E147" s="9"/>
      <c r="F147" s="408"/>
      <c r="G147" s="312"/>
      <c r="H147" s="312"/>
      <c r="I147" s="312"/>
      <c r="J147" s="313"/>
      <c r="K147" s="312">
        <f>IFERROR('Segment Analysis'!K9/'Segment Analysis'!F9-1,"N/A")</f>
        <v>0.15236427320490376</v>
      </c>
      <c r="L147" s="312">
        <f>IFERROR('Segment Analysis'!L9/'Segment Analysis'!G9-1,"N/A")</f>
        <v>0.1514812744550027</v>
      </c>
      <c r="M147" s="312">
        <f>IFERROR('Segment Analysis'!M9/'Segment Analysis'!H9-1,"N/A")</f>
        <v>0.17551462621885161</v>
      </c>
      <c r="N147" s="312">
        <f>IFERROR('Segment Analysis'!N9/'Segment Analysis'!I9-1,"N/A")</f>
        <v>0.1772417409543785</v>
      </c>
      <c r="O147" s="313">
        <f>IFERROR('Segment Analysis'!O9/'Segment Analysis'!J9-1,"N/A")</f>
        <v>0.16457615437629225</v>
      </c>
      <c r="P147" s="312">
        <f>IFERROR('Segment Analysis'!P9/'Segment Analysis'!K9-1,"N/A")</f>
        <v>0.18186423505572447</v>
      </c>
      <c r="Q147" s="312">
        <f>IFERROR('Segment Analysis'!Q9/'Segment Analysis'!L9-1,"N/A")</f>
        <v>0.20388349514563098</v>
      </c>
      <c r="R147" s="312">
        <f>IFERROR('Segment Analysis'!R9/'Segment Analysis'!M9-1,"N/A")</f>
        <v>0.17557603686635948</v>
      </c>
      <c r="S147" s="312">
        <f>IFERROR('Segment Analysis'!S9/'Segment Analysis'!N9-1,"N/A")</f>
        <v>0.17104677060133633</v>
      </c>
      <c r="T147" s="313">
        <f>IFERROR('Segment Analysis'!T9/'Segment Analysis'!O9-1,"N/A")</f>
        <v>0.1827435199431886</v>
      </c>
      <c r="U147" s="312">
        <f>IFERROR('Segment Analysis'!U9/'Segment Analysis'!P9-1,"N/A")</f>
        <v>0.17959708529789964</v>
      </c>
      <c r="V147" s="314">
        <f>IFERROR('Segment Analysis'!V9/'Segment Analysis'!Q9-1,"N/A")</f>
        <v>0.16516129032258053</v>
      </c>
      <c r="W147" s="314">
        <f>IFERROR('Segment Analysis'!W9/'Segment Analysis'!R9-1,"N/A")</f>
        <v>0.18936887495099963</v>
      </c>
      <c r="X147" s="314">
        <f>IFERROR('Segment Analysis'!X9/'Segment Analysis'!S9-1,"N/A")</f>
        <v>0.22332628375808294</v>
      </c>
      <c r="Y147" s="313">
        <f>IFERROR('Segment Analysis'!Y9/'Segment Analysis'!T9-1,"N/A")</f>
        <v>0.19001348944260976</v>
      </c>
      <c r="Z147" s="314">
        <f>IFERROR('Segment Analysis'!Z9/'Segment Analysis'!U9-1,"N/A")</f>
        <v>0.20370949999999999</v>
      </c>
      <c r="AA147" s="314">
        <f>IFERROR('Segment Analysis'!AA9/'Segment Analysis'!V9-1,"N/A")</f>
        <v>0.19224560000000013</v>
      </c>
      <c r="AB147" s="314">
        <f>IFERROR('Segment Analysis'!AB9/'Segment Analysis'!W9-1,"N/A")</f>
        <v>0.15818144000000012</v>
      </c>
      <c r="AC147" s="314">
        <f>IFERROR('Segment Analysis'!AC9/'Segment Analysis'!X9-1,"N/A")</f>
        <v>0.12540272000000008</v>
      </c>
      <c r="AD147" s="313">
        <f>IFERROR('Segment Analysis'!AD9/'Segment Analysis'!Y9-1,"N/A")</f>
        <v>0.16812985115721513</v>
      </c>
      <c r="AE147" s="313">
        <f>IFERROR('Segment Analysis'!AE9/'Segment Analysis'!Z9-1,"N/A")</f>
        <v>3.7805033600000009</v>
      </c>
      <c r="AF147" s="313">
        <f>IFERROR('Segment Analysis'!AF9/'Segment Analysis'!AA9-1,"N/A")</f>
        <v>4.1482343876923089</v>
      </c>
      <c r="AG147" s="313">
        <f>IFERROR('Segment Analysis'!AG9/'Segment Analysis'!AB9-1,"N/A")</f>
        <v>4.3501259323076944</v>
      </c>
    </row>
    <row r="148" spans="3:33" ht="14.25" customHeight="1" x14ac:dyDescent="0.25">
      <c r="C148" s="103" t="str">
        <f>'Segment Analysis'!C16</f>
        <v>Service Fees and Other</v>
      </c>
      <c r="D148" s="9"/>
      <c r="E148" s="9"/>
      <c r="F148" s="408"/>
      <c r="G148" s="312"/>
      <c r="H148" s="312"/>
      <c r="I148" s="312"/>
      <c r="J148" s="313"/>
      <c r="K148" s="312">
        <f>IFERROR('Segment Analysis'!K10/'Segment Analysis'!F10-1,"N/A")</f>
        <v>2.4420024420024333E-2</v>
      </c>
      <c r="L148" s="312">
        <f>IFERROR('Segment Analysis'!L10/'Segment Analysis'!G10-1,"N/A")</f>
        <v>5.3603335318641587E-3</v>
      </c>
      <c r="M148" s="312">
        <f>IFERROR('Segment Analysis'!M10/'Segment Analysis'!H10-1,"N/A")</f>
        <v>-2.9673590504450953E-3</v>
      </c>
      <c r="N148" s="312">
        <f>IFERROR('Segment Analysis'!N10/'Segment Analysis'!I10-1,"N/A")</f>
        <v>6.4402810304449165E-3</v>
      </c>
      <c r="O148" s="313">
        <f>IFERROR('Segment Analysis'!O10/'Segment Analysis'!J10-1,"N/A")</f>
        <v>8.1967213114753079E-3</v>
      </c>
      <c r="P148" s="312">
        <f>IFERROR('Segment Analysis'!P10/'Segment Analysis'!K10-1,"N/A")</f>
        <v>2.6221692491060766E-2</v>
      </c>
      <c r="Q148" s="312">
        <f>IFERROR('Segment Analysis'!Q10/'Segment Analysis'!L10-1,"N/A")</f>
        <v>8.293838862559233E-2</v>
      </c>
      <c r="R148" s="312">
        <f>IFERROR('Segment Analysis'!R10/'Segment Analysis'!M10-1,"N/A")</f>
        <v>0.17619047619047623</v>
      </c>
      <c r="S148" s="312">
        <f>IFERROR('Segment Analysis'!S10/'Segment Analysis'!N10-1,"N/A")</f>
        <v>0.13147178592204778</v>
      </c>
      <c r="T148" s="313">
        <f>IFERROR('Segment Analysis'!T10/'Segment Analysis'!O10-1,"N/A")</f>
        <v>0.10436067997043597</v>
      </c>
      <c r="U148" s="312">
        <f>IFERROR('Segment Analysis'!U10/'Segment Analysis'!P10-1,"N/A")</f>
        <v>0.13298490127758411</v>
      </c>
      <c r="V148" s="314">
        <f>IFERROR('Segment Analysis'!V10/'Segment Analysis'!Q10-1,"N/A")</f>
        <v>0.12385284463894952</v>
      </c>
      <c r="W148" s="314">
        <f>IFERROR('Segment Analysis'!W10/'Segment Analysis'!R10-1,"N/A")</f>
        <v>9.1661513157894614E-2</v>
      </c>
      <c r="X148" s="314">
        <f>IFERROR('Segment Analysis'!X10/'Segment Analysis'!S10-1,"N/A")</f>
        <v>0.11793323146529566</v>
      </c>
      <c r="Y148" s="313">
        <f>IFERROR('Segment Analysis'!Y10/'Segment Analysis'!T10-1,"N/A")</f>
        <v>0.11590232702449454</v>
      </c>
      <c r="Z148" s="314">
        <f>IFERROR('Segment Analysis'!Z10/'Segment Analysis'!U10-1,"N/A")</f>
        <v>9.2205295999999937E-2</v>
      </c>
      <c r="AA148" s="314">
        <f>IFERROR('Segment Analysis'!AA10/'Segment Analysis'!V10-1,"N/A")</f>
        <v>9.1479233600000098E-2</v>
      </c>
      <c r="AB148" s="314">
        <f>IFERROR('Segment Analysis'!AB10/'Segment Analysis'!W10-1,"N/A")</f>
        <v>8.9400225536000244E-2</v>
      </c>
      <c r="AC148" s="314">
        <f>IFERROR('Segment Analysis'!AC10/'Segment Analysis'!X10-1,"N/A")</f>
        <v>9.3723242304000198E-2</v>
      </c>
      <c r="AD148" s="313">
        <f>IFERROR('Segment Analysis'!AD10/'Segment Analysis'!Y10-1,"N/A")</f>
        <v>9.1696484364941266E-2</v>
      </c>
      <c r="AE148" s="313">
        <f>IFERROR('Segment Analysis'!AE10/'Segment Analysis'!Z10-1,"N/A")</f>
        <v>3.570135341536</v>
      </c>
      <c r="AF148" s="313">
        <f>IFERROR('Segment Analysis'!AF10/'Segment Analysis'!AA10-1,"N/A")</f>
        <v>3.6470063816815745</v>
      </c>
      <c r="AG148" s="313">
        <f>IFERROR('Segment Analysis'!AG10/'Segment Analysis'!AB10-1,"N/A")</f>
        <v>3.7002163784183857</v>
      </c>
    </row>
    <row r="149" spans="3:33" ht="14.25" customHeight="1" x14ac:dyDescent="0.25">
      <c r="C149" s="103" t="str">
        <f>C11</f>
        <v>Interest Income</v>
      </c>
      <c r="D149" s="9"/>
      <c r="E149" s="9"/>
      <c r="F149" s="850"/>
      <c r="G149" s="838"/>
      <c r="H149" s="838"/>
      <c r="I149" s="838"/>
      <c r="J149" s="313"/>
      <c r="K149" s="312">
        <f>IFERROR('Segment Analysis'!K11/'Segment Analysis'!F11-1,"N/A")</f>
        <v>0.30774456521739135</v>
      </c>
      <c r="L149" s="312">
        <f>IFERROR('Segment Analysis'!L11/'Segment Analysis'!G11-1,"N/A")</f>
        <v>0.21340314136125649</v>
      </c>
      <c r="M149" s="312">
        <f>IFERROR('Segment Analysis'!M11/'Segment Analysis'!H11-1,"N/A")</f>
        <v>0.17347328244274807</v>
      </c>
      <c r="N149" s="312">
        <f>IFERROR('Segment Analysis'!N11/'Segment Analysis'!I11-1,"N/A")</f>
        <v>9.4560518731988452E-2</v>
      </c>
      <c r="O149" s="313">
        <f>IFERROR('Segment Analysis'!O11/'Segment Analysis'!J11-1,"N/A")</f>
        <v>0.19076214782565182</v>
      </c>
      <c r="P149" s="838">
        <f>IFERROR('Segment Analysis'!P11/'Segment Analysis'!K11-1,"N/A")</f>
        <v>6.2337662337662358E-2</v>
      </c>
      <c r="Q149" s="838">
        <f>IFERROR('Segment Analysis'!Q11/'Segment Analysis'!L11-1,"N/A")</f>
        <v>8.1118398343113629E-2</v>
      </c>
      <c r="R149" s="838">
        <f>IFERROR('Segment Analysis'!R11/'Segment Analysis'!M11-1,"N/A")</f>
        <v>7.6109936575052828E-2</v>
      </c>
      <c r="S149" s="838">
        <f>IFERROR('Segment Analysis'!S11/'Segment Analysis'!N11-1,"N/A")</f>
        <v>8.3100213921342814E-2</v>
      </c>
      <c r="T149" s="313">
        <f>IFERROR('Segment Analysis'!T11/'Segment Analysis'!O11-1,"N/A")</f>
        <v>7.5772221054843492E-2</v>
      </c>
      <c r="U149" s="838">
        <f>IFERROR('Segment Analysis'!U11/'Segment Analysis'!P11-1,"N/A")</f>
        <v>8.6389568052159804E-2</v>
      </c>
      <c r="V149" s="851">
        <f>IFERROR('Segment Analysis'!V11/'Segment Analysis'!Q11-1,"N/A")</f>
        <v>7.0000000000000062E-2</v>
      </c>
      <c r="W149" s="851">
        <f>IFERROR('Segment Analysis'!W11/'Segment Analysis'!R11-1,"N/A")</f>
        <v>4.2507934109112799E-2</v>
      </c>
      <c r="X149" s="851">
        <f>IFERROR('Segment Analysis'!X11/'Segment Analysis'!S11-1,"N/A")</f>
        <v>5.394512306289867E-2</v>
      </c>
      <c r="Y149" s="313">
        <f>IFERROR('Segment Analysis'!Y11/'Segment Analysis'!T11-1,"N/A")</f>
        <v>6.2693249472614898E-2</v>
      </c>
      <c r="Z149" s="851">
        <f>IFERROR('Segment Analysis'!Z11/'Segment Analysis'!U11-1,"N/A")</f>
        <v>3.9779404831207676E-2</v>
      </c>
      <c r="AA149" s="851">
        <f>IFERROR('Segment Analysis'!AA11/'Segment Analysis'!V11-1,"N/A")</f>
        <v>4.4304649999999945E-2</v>
      </c>
      <c r="AB149" s="851">
        <f>IFERROR('Segment Analysis'!AB11/'Segment Analysis'!W11-1,"N/A")</f>
        <v>4.0030559276819089E-2</v>
      </c>
      <c r="AC149" s="851">
        <f>IFERROR('Segment Analysis'!AC11/'Segment Analysis'!X11-1,"N/A")</f>
        <v>6.0070118749999679E-2</v>
      </c>
      <c r="AD149" s="313">
        <f>IFERROR('Segment Analysis'!AD11/'Segment Analysis'!Y11-1,"N/A")</f>
        <v>4.6132456614481843E-2</v>
      </c>
      <c r="AE149" s="313">
        <f>IFERROR('Segment Analysis'!AE11/'Segment Analysis'!Z11-1,"N/A")</f>
        <v>3.2911684062499988</v>
      </c>
      <c r="AF149" s="313">
        <f>IFERROR('Segment Analysis'!AF11/'Segment Analysis'!AA11-1,"N/A")</f>
        <v>3.5036024857673258</v>
      </c>
      <c r="AG149" s="313">
        <f>IFERROR('Segment Analysis'!AG11/'Segment Analysis'!AB11-1,"N/A")</f>
        <v>3.6793528266753199</v>
      </c>
    </row>
    <row r="150" spans="3:33" ht="14.25" customHeight="1" x14ac:dyDescent="0.25">
      <c r="C150" s="9"/>
      <c r="D150" s="9"/>
      <c r="E150" s="9"/>
      <c r="F150" s="254"/>
      <c r="G150" s="254"/>
      <c r="H150" s="254"/>
      <c r="I150" s="254"/>
      <c r="J150" s="132"/>
      <c r="K150" s="254"/>
      <c r="L150" s="254"/>
      <c r="M150" s="254"/>
      <c r="N150" s="254"/>
      <c r="O150" s="132"/>
      <c r="P150" s="254"/>
      <c r="Q150" s="254"/>
      <c r="R150" s="254"/>
      <c r="S150" s="254"/>
      <c r="T150" s="132"/>
      <c r="U150" s="254"/>
      <c r="V150" s="257"/>
      <c r="W150" s="257"/>
      <c r="X150" s="257"/>
      <c r="Y150" s="132"/>
      <c r="Z150" s="257"/>
      <c r="AA150" s="257"/>
      <c r="AB150" s="257"/>
      <c r="AC150" s="257"/>
      <c r="AD150" s="132"/>
      <c r="AE150" s="132"/>
      <c r="AF150" s="132"/>
      <c r="AG150" s="132"/>
    </row>
    <row r="151" spans="3:33" ht="14.25" hidden="1" customHeight="1" outlineLevel="1" x14ac:dyDescent="0.25">
      <c r="C151" s="103" t="str">
        <f t="shared" ref="C151:C155" si="169">C71</f>
        <v>North America</v>
      </c>
      <c r="D151" s="9"/>
      <c r="E151" s="9"/>
      <c r="F151" s="408"/>
      <c r="G151" s="408"/>
      <c r="H151" s="408"/>
      <c r="I151" s="408"/>
      <c r="J151" s="132"/>
      <c r="K151" s="312" t="str">
        <f t="shared" ref="K151:AG151" si="170">IFERROR(K71/F71-1,"N/A")</f>
        <v>N/A</v>
      </c>
      <c r="L151" s="312" t="str">
        <f t="shared" si="170"/>
        <v>N/A</v>
      </c>
      <c r="M151" s="312" t="str">
        <f t="shared" si="170"/>
        <v>N/A</v>
      </c>
      <c r="N151" s="312" t="str">
        <f t="shared" si="170"/>
        <v>N/A</v>
      </c>
      <c r="O151" s="313" t="str">
        <f t="shared" si="170"/>
        <v>N/A</v>
      </c>
      <c r="P151" s="312" t="str">
        <f t="shared" si="170"/>
        <v>N/A</v>
      </c>
      <c r="Q151" s="312" t="str">
        <f t="shared" si="170"/>
        <v>N/A</v>
      </c>
      <c r="R151" s="312" t="str">
        <f t="shared" si="170"/>
        <v>N/A</v>
      </c>
      <c r="S151" s="312" t="str">
        <f t="shared" si="170"/>
        <v>N/A</v>
      </c>
      <c r="T151" s="313" t="str">
        <f t="shared" si="170"/>
        <v>N/A</v>
      </c>
      <c r="U151" s="312" t="str">
        <f t="shared" si="170"/>
        <v>N/A</v>
      </c>
      <c r="V151" s="314" t="str">
        <f t="shared" ref="V151:V155" si="171">IFERROR(V71/Q71-1,"N/A")</f>
        <v>N/A</v>
      </c>
      <c r="W151" s="314" t="str">
        <f t="shared" ref="W151:W155" si="172">IFERROR(W71/R71-1,"N/A")</f>
        <v>N/A</v>
      </c>
      <c r="X151" s="314" t="str">
        <f t="shared" ref="X151:X155" si="173">IFERROR(X71/S71-1,"N/A")</f>
        <v>N/A</v>
      </c>
      <c r="Y151" s="313" t="str">
        <f t="shared" si="170"/>
        <v>N/A</v>
      </c>
      <c r="Z151" s="314" t="str">
        <f t="shared" si="170"/>
        <v>N/A</v>
      </c>
      <c r="AA151" s="314" t="str">
        <f t="shared" si="170"/>
        <v>N/A</v>
      </c>
      <c r="AB151" s="314" t="str">
        <f t="shared" si="170"/>
        <v>N/A</v>
      </c>
      <c r="AC151" s="314" t="str">
        <f t="shared" si="170"/>
        <v>N/A</v>
      </c>
      <c r="AD151" s="313" t="str">
        <f t="shared" si="170"/>
        <v>N/A</v>
      </c>
      <c r="AE151" s="313" t="str">
        <f t="shared" si="170"/>
        <v>N/A</v>
      </c>
      <c r="AF151" s="313" t="str">
        <f t="shared" si="170"/>
        <v>N/A</v>
      </c>
      <c r="AG151" s="313" t="str">
        <f t="shared" si="170"/>
        <v>N/A</v>
      </c>
    </row>
    <row r="152" spans="3:33" ht="14.25" hidden="1" customHeight="1" outlineLevel="1" x14ac:dyDescent="0.25">
      <c r="C152" s="103" t="str">
        <f t="shared" si="169"/>
        <v>Europe</v>
      </c>
      <c r="D152" s="9"/>
      <c r="E152" s="9"/>
      <c r="F152" s="408"/>
      <c r="G152" s="408"/>
      <c r="H152" s="408"/>
      <c r="I152" s="408"/>
      <c r="J152" s="132"/>
      <c r="K152" s="312" t="str">
        <f t="shared" ref="K152:AG152" si="174">IFERROR(K72/F72-1,"N/A")</f>
        <v>N/A</v>
      </c>
      <c r="L152" s="312" t="str">
        <f t="shared" si="174"/>
        <v>N/A</v>
      </c>
      <c r="M152" s="312" t="str">
        <f t="shared" si="174"/>
        <v>N/A</v>
      </c>
      <c r="N152" s="312" t="str">
        <f t="shared" si="174"/>
        <v>N/A</v>
      </c>
      <c r="O152" s="313" t="str">
        <f t="shared" si="174"/>
        <v>N/A</v>
      </c>
      <c r="P152" s="312" t="str">
        <f t="shared" si="174"/>
        <v>N/A</v>
      </c>
      <c r="Q152" s="312" t="str">
        <f t="shared" si="174"/>
        <v>N/A</v>
      </c>
      <c r="R152" s="312" t="str">
        <f t="shared" si="174"/>
        <v>N/A</v>
      </c>
      <c r="S152" s="312" t="str">
        <f t="shared" si="174"/>
        <v>N/A</v>
      </c>
      <c r="T152" s="313" t="str">
        <f t="shared" si="174"/>
        <v>N/A</v>
      </c>
      <c r="U152" s="312" t="str">
        <f t="shared" si="174"/>
        <v>N/A</v>
      </c>
      <c r="V152" s="314" t="str">
        <f t="shared" si="171"/>
        <v>N/A</v>
      </c>
      <c r="W152" s="314" t="str">
        <f t="shared" si="172"/>
        <v>N/A</v>
      </c>
      <c r="X152" s="314" t="str">
        <f t="shared" si="173"/>
        <v>N/A</v>
      </c>
      <c r="Y152" s="313" t="str">
        <f t="shared" si="174"/>
        <v>N/A</v>
      </c>
      <c r="Z152" s="314" t="str">
        <f t="shared" si="174"/>
        <v>N/A</v>
      </c>
      <c r="AA152" s="314" t="str">
        <f t="shared" si="174"/>
        <v>N/A</v>
      </c>
      <c r="AB152" s="314" t="str">
        <f t="shared" si="174"/>
        <v>N/A</v>
      </c>
      <c r="AC152" s="314" t="str">
        <f t="shared" si="174"/>
        <v>N/A</v>
      </c>
      <c r="AD152" s="313" t="str">
        <f t="shared" si="174"/>
        <v>N/A</v>
      </c>
      <c r="AE152" s="313" t="str">
        <f t="shared" si="174"/>
        <v>N/A</v>
      </c>
      <c r="AF152" s="313" t="str">
        <f t="shared" si="174"/>
        <v>N/A</v>
      </c>
      <c r="AG152" s="313" t="str">
        <f t="shared" si="174"/>
        <v>N/A</v>
      </c>
    </row>
    <row r="153" spans="3:33" ht="14.25" hidden="1" customHeight="1" outlineLevel="1" x14ac:dyDescent="0.25">
      <c r="C153" s="103" t="str">
        <f t="shared" si="169"/>
        <v>South America</v>
      </c>
      <c r="D153" s="9"/>
      <c r="E153" s="9"/>
      <c r="F153" s="408"/>
      <c r="G153" s="408"/>
      <c r="H153" s="408"/>
      <c r="I153" s="408"/>
      <c r="J153" s="132"/>
      <c r="K153" s="312" t="str">
        <f t="shared" ref="K153:AG153" si="175">IFERROR(K73/F73-1,"N/A")</f>
        <v>N/A</v>
      </c>
      <c r="L153" s="312" t="str">
        <f t="shared" si="175"/>
        <v>N/A</v>
      </c>
      <c r="M153" s="312" t="str">
        <f t="shared" si="175"/>
        <v>N/A</v>
      </c>
      <c r="N153" s="312" t="str">
        <f t="shared" si="175"/>
        <v>N/A</v>
      </c>
      <c r="O153" s="313" t="str">
        <f t="shared" si="175"/>
        <v>N/A</v>
      </c>
      <c r="P153" s="312" t="str">
        <f t="shared" si="175"/>
        <v>N/A</v>
      </c>
      <c r="Q153" s="312" t="str">
        <f t="shared" si="175"/>
        <v>N/A</v>
      </c>
      <c r="R153" s="312" t="str">
        <f t="shared" si="175"/>
        <v>N/A</v>
      </c>
      <c r="S153" s="312" t="str">
        <f t="shared" si="175"/>
        <v>N/A</v>
      </c>
      <c r="T153" s="313" t="str">
        <f t="shared" si="175"/>
        <v>N/A</v>
      </c>
      <c r="U153" s="312" t="str">
        <f t="shared" si="175"/>
        <v>N/A</v>
      </c>
      <c r="V153" s="314" t="str">
        <f t="shared" si="171"/>
        <v>N/A</v>
      </c>
      <c r="W153" s="314" t="str">
        <f t="shared" si="172"/>
        <v>N/A</v>
      </c>
      <c r="X153" s="314" t="str">
        <f t="shared" si="173"/>
        <v>N/A</v>
      </c>
      <c r="Y153" s="313" t="str">
        <f t="shared" si="175"/>
        <v>N/A</v>
      </c>
      <c r="Z153" s="314" t="str">
        <f t="shared" si="175"/>
        <v>N/A</v>
      </c>
      <c r="AA153" s="314" t="str">
        <f t="shared" si="175"/>
        <v>N/A</v>
      </c>
      <c r="AB153" s="314" t="str">
        <f t="shared" si="175"/>
        <v>N/A</v>
      </c>
      <c r="AC153" s="314" t="str">
        <f t="shared" si="175"/>
        <v>N/A</v>
      </c>
      <c r="AD153" s="313" t="str">
        <f t="shared" si="175"/>
        <v>N/A</v>
      </c>
      <c r="AE153" s="313" t="str">
        <f t="shared" si="175"/>
        <v>N/A</v>
      </c>
      <c r="AF153" s="313" t="str">
        <f t="shared" si="175"/>
        <v>N/A</v>
      </c>
      <c r="AG153" s="313" t="str">
        <f t="shared" si="175"/>
        <v>N/A</v>
      </c>
    </row>
    <row r="154" spans="3:33" ht="14.25" hidden="1" customHeight="1" outlineLevel="1" x14ac:dyDescent="0.25">
      <c r="C154" s="103" t="str">
        <f t="shared" si="169"/>
        <v>Middle East &amp; Africa</v>
      </c>
      <c r="D154" s="9"/>
      <c r="E154" s="9"/>
      <c r="F154" s="408"/>
      <c r="G154" s="408"/>
      <c r="H154" s="408"/>
      <c r="I154" s="408"/>
      <c r="J154" s="132"/>
      <c r="K154" s="312" t="str">
        <f t="shared" ref="K154:AG154" si="176">IFERROR(K74/F74-1,"N/A")</f>
        <v>N/A</v>
      </c>
      <c r="L154" s="312" t="str">
        <f t="shared" si="176"/>
        <v>N/A</v>
      </c>
      <c r="M154" s="312" t="str">
        <f t="shared" si="176"/>
        <v>N/A</v>
      </c>
      <c r="N154" s="312" t="str">
        <f t="shared" si="176"/>
        <v>N/A</v>
      </c>
      <c r="O154" s="313" t="str">
        <f t="shared" si="176"/>
        <v>N/A</v>
      </c>
      <c r="P154" s="312" t="str">
        <f t="shared" si="176"/>
        <v>N/A</v>
      </c>
      <c r="Q154" s="312" t="str">
        <f t="shared" si="176"/>
        <v>N/A</v>
      </c>
      <c r="R154" s="312" t="str">
        <f t="shared" si="176"/>
        <v>N/A</v>
      </c>
      <c r="S154" s="312" t="str">
        <f t="shared" si="176"/>
        <v>N/A</v>
      </c>
      <c r="T154" s="313" t="str">
        <f t="shared" si="176"/>
        <v>N/A</v>
      </c>
      <c r="U154" s="312" t="str">
        <f t="shared" si="176"/>
        <v>N/A</v>
      </c>
      <c r="V154" s="314" t="str">
        <f t="shared" si="171"/>
        <v>N/A</v>
      </c>
      <c r="W154" s="314" t="str">
        <f t="shared" si="172"/>
        <v>N/A</v>
      </c>
      <c r="X154" s="314" t="str">
        <f t="shared" si="173"/>
        <v>N/A</v>
      </c>
      <c r="Y154" s="313" t="str">
        <f t="shared" si="176"/>
        <v>N/A</v>
      </c>
      <c r="Z154" s="314" t="str">
        <f t="shared" si="176"/>
        <v>N/A</v>
      </c>
      <c r="AA154" s="314" t="str">
        <f t="shared" si="176"/>
        <v>N/A</v>
      </c>
      <c r="AB154" s="314" t="str">
        <f t="shared" si="176"/>
        <v>N/A</v>
      </c>
      <c r="AC154" s="314" t="str">
        <f t="shared" si="176"/>
        <v>N/A</v>
      </c>
      <c r="AD154" s="313" t="str">
        <f t="shared" si="176"/>
        <v>N/A</v>
      </c>
      <c r="AE154" s="313" t="str">
        <f t="shared" si="176"/>
        <v>N/A</v>
      </c>
      <c r="AF154" s="313" t="str">
        <f t="shared" si="176"/>
        <v>N/A</v>
      </c>
      <c r="AG154" s="313" t="str">
        <f t="shared" si="176"/>
        <v>N/A</v>
      </c>
    </row>
    <row r="155" spans="3:33" ht="14.25" hidden="1" customHeight="1" outlineLevel="1" x14ac:dyDescent="0.25">
      <c r="C155" s="103" t="str">
        <f t="shared" si="169"/>
        <v>Asia Pacific</v>
      </c>
      <c r="D155" s="9"/>
      <c r="E155" s="9"/>
      <c r="F155" s="408"/>
      <c r="G155" s="408"/>
      <c r="H155" s="408"/>
      <c r="I155" s="408"/>
      <c r="J155" s="132"/>
      <c r="K155" s="312" t="str">
        <f t="shared" ref="K155:AG155" si="177">IFERROR(K75/F75-1,"N/A")</f>
        <v>N/A</v>
      </c>
      <c r="L155" s="312" t="str">
        <f t="shared" si="177"/>
        <v>N/A</v>
      </c>
      <c r="M155" s="312" t="str">
        <f t="shared" si="177"/>
        <v>N/A</v>
      </c>
      <c r="N155" s="312" t="str">
        <f t="shared" si="177"/>
        <v>N/A</v>
      </c>
      <c r="O155" s="313" t="str">
        <f t="shared" si="177"/>
        <v>N/A</v>
      </c>
      <c r="P155" s="312" t="str">
        <f t="shared" si="177"/>
        <v>N/A</v>
      </c>
      <c r="Q155" s="312" t="str">
        <f t="shared" si="177"/>
        <v>N/A</v>
      </c>
      <c r="R155" s="312" t="str">
        <f t="shared" si="177"/>
        <v>N/A</v>
      </c>
      <c r="S155" s="312" t="str">
        <f t="shared" si="177"/>
        <v>N/A</v>
      </c>
      <c r="T155" s="313" t="str">
        <f t="shared" si="177"/>
        <v>N/A</v>
      </c>
      <c r="U155" s="312" t="str">
        <f t="shared" si="177"/>
        <v>N/A</v>
      </c>
      <c r="V155" s="314" t="str">
        <f t="shared" si="171"/>
        <v>N/A</v>
      </c>
      <c r="W155" s="314" t="str">
        <f t="shared" si="172"/>
        <v>N/A</v>
      </c>
      <c r="X155" s="314" t="str">
        <f t="shared" si="173"/>
        <v>N/A</v>
      </c>
      <c r="Y155" s="313" t="str">
        <f t="shared" si="177"/>
        <v>N/A</v>
      </c>
      <c r="Z155" s="314" t="str">
        <f t="shared" si="177"/>
        <v>N/A</v>
      </c>
      <c r="AA155" s="314" t="str">
        <f t="shared" si="177"/>
        <v>N/A</v>
      </c>
      <c r="AB155" s="314" t="str">
        <f t="shared" si="177"/>
        <v>N/A</v>
      </c>
      <c r="AC155" s="314" t="str">
        <f t="shared" si="177"/>
        <v>N/A</v>
      </c>
      <c r="AD155" s="313" t="str">
        <f t="shared" si="177"/>
        <v>N/A</v>
      </c>
      <c r="AE155" s="313" t="str">
        <f t="shared" si="177"/>
        <v>N/A</v>
      </c>
      <c r="AF155" s="313" t="str">
        <f t="shared" si="177"/>
        <v>N/A</v>
      </c>
      <c r="AG155" s="313" t="str">
        <f t="shared" si="177"/>
        <v>N/A</v>
      </c>
    </row>
    <row r="156" spans="3:33" ht="14.25" hidden="1" customHeight="1" outlineLevel="1" x14ac:dyDescent="0.25">
      <c r="C156" s="9"/>
      <c r="D156" s="9"/>
      <c r="E156" s="9"/>
      <c r="F156" s="254"/>
      <c r="G156" s="254"/>
      <c r="H156" s="254"/>
      <c r="I156" s="254"/>
      <c r="J156" s="132"/>
      <c r="K156" s="254"/>
      <c r="L156" s="254"/>
      <c r="M156" s="254"/>
      <c r="N156" s="254"/>
      <c r="O156" s="132"/>
      <c r="P156" s="254"/>
      <c r="Q156" s="254"/>
      <c r="R156" s="254"/>
      <c r="S156" s="254"/>
      <c r="T156" s="132"/>
      <c r="U156" s="254"/>
      <c r="V156" s="257"/>
      <c r="W156" s="257"/>
      <c r="X156" s="257"/>
      <c r="Y156" s="132"/>
      <c r="Z156" s="257"/>
      <c r="AA156" s="257"/>
      <c r="AB156" s="257"/>
      <c r="AC156" s="257"/>
      <c r="AD156" s="132"/>
      <c r="AE156" s="132"/>
      <c r="AF156" s="132"/>
      <c r="AG156" s="132"/>
    </row>
    <row r="157" spans="3:33" ht="14.25" hidden="1" customHeight="1" outlineLevel="1" x14ac:dyDescent="0.25">
      <c r="C157" s="9" t="s">
        <v>441</v>
      </c>
      <c r="D157" s="9"/>
      <c r="E157" s="9"/>
      <c r="F157" s="408"/>
      <c r="G157" s="312"/>
      <c r="H157" s="312"/>
      <c r="I157" s="312"/>
      <c r="J157" s="313"/>
      <c r="K157" s="312">
        <f>IFERROR(Model!K39/Model!F39-1,"N/A")</f>
        <v>0.45131518227964929</v>
      </c>
      <c r="L157" s="312">
        <f>IFERROR(Model!L39/Model!G39-1,"N/A")</f>
        <v>0.38624725676664218</v>
      </c>
      <c r="M157" s="312">
        <f>IFERROR(Model!M39/Model!H39-1,"N/A")</f>
        <v>3.3548387096774102E-2</v>
      </c>
      <c r="N157" s="312">
        <f>IFERROR(Model!N39/Model!I39-1,"N/A")</f>
        <v>9.7133757961783473E-2</v>
      </c>
      <c r="O157" s="313">
        <f>IFERROR(Model!O39/Model!J39-1,"N/A")</f>
        <v>0.22657661942357077</v>
      </c>
      <c r="P157" s="312">
        <f>IFERROR(Model!P39/Model!K39-1,"N/A")</f>
        <v>5.8823529411764719E-2</v>
      </c>
      <c r="Q157" s="312">
        <f>IFERROR(Model!Q39/Model!L39-1,"N/A")</f>
        <v>-6.3324538258575203E-2</v>
      </c>
      <c r="R157" s="312">
        <f>IFERROR(Model!R39/Model!M39-1,"N/A")</f>
        <v>0.19382022471910121</v>
      </c>
      <c r="S157" s="312">
        <f>IFERROR(Model!S39/Model!N39-1,"N/A")</f>
        <v>0.12119013062409278</v>
      </c>
      <c r="T157" s="313">
        <f>IFERROR(Model!T39/Model!O39-1,"N/A")</f>
        <v>6.979449398991866E-2</v>
      </c>
      <c r="U157" s="312">
        <f>IFERROR(Model!U39/Model!P39-1,"N/A")</f>
        <v>0.13453453453453457</v>
      </c>
      <c r="V157" s="314">
        <f>IFERROR(Model!V39/Model!Q39-1,"N/A")</f>
        <v>5.8434028450703446E-2</v>
      </c>
      <c r="W157" s="314">
        <f>IFERROR(Model!W39/Model!R39-1,"N/A")</f>
        <v>8.2472782849673409E-2</v>
      </c>
      <c r="X157" s="314">
        <f>IFERROR(Model!X39/Model!S39-1,"N/A")</f>
        <v>0.42939527517152087</v>
      </c>
      <c r="Y157" s="313">
        <f>IFERROR(Model!Y39/Model!T39-1,"N/A")</f>
        <v>0.16656256583399753</v>
      </c>
      <c r="Z157" s="314">
        <f>IFERROR(Model!Z39/Model!U39-1,"N/A")</f>
        <v>0.18960830647409188</v>
      </c>
      <c r="AA157" s="314">
        <f>IFERROR(Model!AA39/Model!V39-1,"N/A")</f>
        <v>0.27978980502177375</v>
      </c>
      <c r="AB157" s="314">
        <f>IFERROR(Model!AB39/Model!W39-1,"N/A")</f>
        <v>0.24610617381697697</v>
      </c>
      <c r="AC157" s="314">
        <f>IFERROR(Model!AC39/Model!X39-1,"N/A")</f>
        <v>0.22954084656361684</v>
      </c>
      <c r="AD157" s="313">
        <f>IFERROR(Model!AD39/Model!Y39-1,"N/A")</f>
        <v>0.23616063044112501</v>
      </c>
      <c r="AE157" s="313">
        <f>IFERROR(Model!AE39/Model!Z39-1,"N/A")</f>
        <v>4.0633586423325472</v>
      </c>
      <c r="AF157" s="313">
        <f>IFERROR(Model!AF39/Model!AA39-1,"N/A")</f>
        <v>4.1777300445473262</v>
      </c>
      <c r="AG157" s="313">
        <f>IFERROR(Model!AG39/Model!AB39-1,"N/A")</f>
        <v>4.1940866250716935</v>
      </c>
    </row>
    <row r="158" spans="3:33" ht="14.25" hidden="1" customHeight="1" outlineLevel="1" x14ac:dyDescent="0.25">
      <c r="C158" s="9"/>
      <c r="D158" s="9"/>
      <c r="E158" s="9"/>
      <c r="F158" s="254"/>
      <c r="G158" s="254"/>
      <c r="H158" s="254"/>
      <c r="I158" s="254"/>
      <c r="J158" s="132"/>
      <c r="K158" s="254"/>
      <c r="L158" s="254"/>
      <c r="M158" s="254"/>
      <c r="N158" s="254"/>
      <c r="O158" s="132"/>
      <c r="P158" s="254"/>
      <c r="Q158" s="254"/>
      <c r="R158" s="254"/>
      <c r="S158" s="254"/>
      <c r="T158" s="132"/>
      <c r="U158" s="254"/>
      <c r="V158" s="257"/>
      <c r="W158" s="257"/>
      <c r="X158" s="257"/>
      <c r="Y158" s="132"/>
      <c r="Z158" s="257"/>
      <c r="AA158" s="257"/>
      <c r="AB158" s="257"/>
      <c r="AC158" s="257"/>
      <c r="AD158" s="132"/>
      <c r="AE158" s="132"/>
      <c r="AF158" s="132"/>
      <c r="AG158" s="132"/>
    </row>
    <row r="159" spans="3:33" ht="14.25" hidden="1" customHeight="1" outlineLevel="1" x14ac:dyDescent="0.25">
      <c r="C159" s="9" t="s">
        <v>442</v>
      </c>
      <c r="D159" s="9"/>
      <c r="E159" s="9"/>
      <c r="F159" s="408"/>
      <c r="G159" s="312"/>
      <c r="H159" s="312"/>
      <c r="I159" s="312"/>
      <c r="J159" s="313"/>
      <c r="K159" s="312">
        <f>IFERROR(Model!K61/Model!F61-1,"N/A")</f>
        <v>0.38152921794747563</v>
      </c>
      <c r="L159" s="312">
        <f>IFERROR(Model!L61/Model!G61-1,"N/A")</f>
        <v>0.33757050925558119</v>
      </c>
      <c r="M159" s="312">
        <f>IFERROR(Model!M61/Model!H61-1,"N/A")</f>
        <v>3.1385666500604925E-2</v>
      </c>
      <c r="N159" s="312">
        <f>IFERROR(Model!N61/Model!I61-1,"N/A")</f>
        <v>8.5562868621249732E-2</v>
      </c>
      <c r="O159" s="313">
        <f>IFERROR(Model!O61/Model!J61-1,"N/A")</f>
        <v>0.1978789871752713</v>
      </c>
      <c r="P159" s="312">
        <f>IFERROR(Model!P61/Model!K61-1,"N/A")</f>
        <v>5.8992704826038134E-2</v>
      </c>
      <c r="Q159" s="312">
        <f>IFERROR(Model!Q61/Model!L61-1,"N/A")</f>
        <v>-5.1021620337372342E-2</v>
      </c>
      <c r="R159" s="312">
        <f>IFERROR(Model!R61/Model!M61-1,"N/A")</f>
        <v>0.17837427546232409</v>
      </c>
      <c r="S159" s="312">
        <f>IFERROR(Model!S61/Model!N61-1,"N/A")</f>
        <v>0.11314960629921256</v>
      </c>
      <c r="T159" s="313">
        <f>IFERROR(Model!T61/Model!O61-1,"N/A")</f>
        <v>6.8698098963694942E-2</v>
      </c>
      <c r="U159" s="312">
        <f>IFERROR(Model!U61/Model!P61-1,"N/A")</f>
        <v>0.12499172020931315</v>
      </c>
      <c r="V159" s="314">
        <f>IFERROR(Model!V61/Model!Q61-1,"N/A")</f>
        <v>8.315707633248115E-2</v>
      </c>
      <c r="W159" s="314">
        <f>IFERROR(Model!W61/Model!R61-1,"N/A")</f>
        <v>0.10422819030013231</v>
      </c>
      <c r="X159" s="314">
        <f>IFERROR(Model!X61/Model!S61-1,"N/A")</f>
        <v>0.41221507859497653</v>
      </c>
      <c r="Y159" s="313">
        <f>IFERROR(Model!Y61/Model!T61-1,"N/A")</f>
        <v>0.17375722419112205</v>
      </c>
      <c r="Z159" s="314">
        <f>IFERROR(Model!Z61/Model!U61-1,"N/A")</f>
        <v>0.19381303367112168</v>
      </c>
      <c r="AA159" s="314">
        <f>IFERROR(Model!AA61/Model!V61-1,"N/A")</f>
        <v>0.24517010736821998</v>
      </c>
      <c r="AB159" s="314">
        <f>IFERROR(Model!AB61/Model!W61-1,"N/A")</f>
        <v>0.21754103520498114</v>
      </c>
      <c r="AC159" s="314">
        <f>IFERROR(Model!AC61/Model!X61-1,"N/A")</f>
        <v>0.2045343700217277</v>
      </c>
      <c r="AD159" s="313">
        <f>IFERROR(Model!AD61/Model!Y61-1,"N/A")</f>
        <v>0.21501706368762452</v>
      </c>
      <c r="AE159" s="313">
        <f>IFERROR(Model!AE61/Model!Z61-1,"N/A")</f>
        <v>3.9534406571367358</v>
      </c>
      <c r="AF159" s="313">
        <f>IFERROR(Model!AF61/Model!AA61-1,"N/A")</f>
        <v>4.0570029389553861</v>
      </c>
      <c r="AG159" s="313">
        <f>IFERROR(Model!AG61/Model!AB61-1,"N/A")</f>
        <v>4.1145440455330258</v>
      </c>
    </row>
    <row r="160" spans="3:33" ht="14.25" hidden="1" customHeight="1" outlineLevel="1" x14ac:dyDescent="0.25">
      <c r="C160" s="9"/>
      <c r="D160" s="9"/>
      <c r="E160" s="9"/>
      <c r="F160" s="254"/>
      <c r="G160" s="254"/>
      <c r="H160" s="254"/>
      <c r="I160" s="254"/>
      <c r="J160" s="132"/>
      <c r="K160" s="254"/>
      <c r="L160" s="254"/>
      <c r="M160" s="254"/>
      <c r="N160" s="254"/>
      <c r="O160" s="132"/>
      <c r="P160" s="254"/>
      <c r="Q160" s="254"/>
      <c r="R160" s="254"/>
      <c r="S160" s="254"/>
      <c r="T160" s="132"/>
      <c r="U160" s="254"/>
      <c r="V160" s="257"/>
      <c r="W160" s="257"/>
      <c r="X160" s="257"/>
      <c r="Y160" s="132"/>
      <c r="Z160" s="257"/>
      <c r="AA160" s="257"/>
      <c r="AB160" s="257"/>
      <c r="AC160" s="257"/>
      <c r="AD160" s="132"/>
      <c r="AE160" s="132"/>
      <c r="AF160" s="132"/>
      <c r="AG160" s="132"/>
    </row>
    <row r="161" spans="3:33" ht="14.25" customHeight="1" collapsed="1" x14ac:dyDescent="0.25">
      <c r="C161" s="33" t="s">
        <v>443</v>
      </c>
      <c r="D161" s="34"/>
      <c r="E161" s="34"/>
      <c r="F161" s="429"/>
      <c r="G161" s="429"/>
      <c r="H161" s="429"/>
      <c r="I161" s="429"/>
      <c r="J161" s="429"/>
      <c r="K161" s="429"/>
      <c r="L161" s="429"/>
      <c r="M161" s="429"/>
      <c r="N161" s="429"/>
      <c r="O161" s="429"/>
      <c r="P161" s="429"/>
      <c r="Q161" s="429"/>
      <c r="R161" s="429"/>
      <c r="S161" s="429"/>
      <c r="T161" s="429"/>
      <c r="U161" s="429"/>
      <c r="V161" s="429"/>
      <c r="W161" s="429"/>
      <c r="X161" s="429"/>
      <c r="Y161" s="429"/>
      <c r="Z161" s="429"/>
      <c r="AA161" s="429"/>
      <c r="AB161" s="429"/>
      <c r="AC161" s="429"/>
      <c r="AD161" s="429"/>
      <c r="AE161" s="429"/>
      <c r="AF161" s="429"/>
      <c r="AG161" s="430"/>
    </row>
    <row r="162" spans="3:33" ht="14.25" customHeight="1" x14ac:dyDescent="0.25">
      <c r="C162" s="9"/>
      <c r="D162" s="9"/>
      <c r="E162" s="9"/>
      <c r="F162" s="254"/>
      <c r="G162" s="254"/>
      <c r="H162" s="254"/>
      <c r="I162" s="254"/>
      <c r="J162" s="132"/>
      <c r="K162" s="254"/>
      <c r="L162" s="254"/>
      <c r="M162" s="254"/>
      <c r="N162" s="254"/>
      <c r="O162" s="132"/>
      <c r="P162" s="254"/>
      <c r="Q162" s="254"/>
      <c r="R162" s="254"/>
      <c r="S162" s="254"/>
      <c r="T162" s="132"/>
      <c r="U162" s="254"/>
      <c r="V162" s="257"/>
      <c r="W162" s="257"/>
      <c r="X162" s="257"/>
      <c r="Y162" s="132"/>
      <c r="Z162" s="257"/>
      <c r="AA162" s="257"/>
      <c r="AB162" s="257"/>
      <c r="AC162" s="257"/>
      <c r="AD162" s="132"/>
      <c r="AE162" s="132"/>
      <c r="AF162" s="132"/>
      <c r="AG162" s="132"/>
    </row>
    <row r="163" spans="3:33" ht="14.25" customHeight="1" x14ac:dyDescent="0.25">
      <c r="C163" s="9" t="s">
        <v>440</v>
      </c>
      <c r="D163" s="9"/>
      <c r="E163" s="9"/>
      <c r="F163" s="408"/>
      <c r="G163" s="312">
        <f>IFERROR('Segment Analysis'!G7/'Segment Analysis'!F7-1,"N/A")</f>
        <v>6.4273895889016108E-2</v>
      </c>
      <c r="H163" s="312">
        <f>IFERROR('Segment Analysis'!H7/'Segment Analysis'!G7-1,"N/A")</f>
        <v>2.7206409949772858E-2</v>
      </c>
      <c r="I163" s="312">
        <f>IFERROR('Segment Analysis'!I7/'Segment Analysis'!H7-1,"N/A")</f>
        <v>3.306362419232789E-2</v>
      </c>
      <c r="J163" s="313"/>
      <c r="K163" s="312">
        <f>IFERROR('Segment Analysis'!K7/'Segment Analysis'!I7-1,"N/A")</f>
        <v>3.3808531019328125E-3</v>
      </c>
      <c r="L163" s="312">
        <f>IFERROR('Segment Analysis'!L7/'Segment Analysis'!K7-1,"N/A")</f>
        <v>3.313303756949515E-2</v>
      </c>
      <c r="M163" s="312">
        <f>IFERROR('Segment Analysis'!M7/'Segment Analysis'!L7-1,"N/A")</f>
        <v>2.0764255041582969E-2</v>
      </c>
      <c r="N163" s="312">
        <f>IFERROR('Segment Analysis'!N7/'Segment Analysis'!M7-1,"N/A")</f>
        <v>2.3377176633473606E-2</v>
      </c>
      <c r="O163" s="313"/>
      <c r="P163" s="312">
        <f>IFERROR('Segment Analysis'!P7/'Segment Analysis'!N7-1,"N/A")</f>
        <v>-1.4829847018420272E-2</v>
      </c>
      <c r="Q163" s="312">
        <f>IFERROR('Segment Analysis'!Q7/'Segment Analysis'!P7-1,"N/A")</f>
        <v>5.2817831299846851E-2</v>
      </c>
      <c r="R163" s="312">
        <f>IFERROR('Segment Analysis'!R7/'Segment Analysis'!Q7-1,"N/A")</f>
        <v>3.1304871318918348E-2</v>
      </c>
      <c r="S163" s="312">
        <f>IFERROR('Segment Analysis'!S7/'Segment Analysis'!R7-1,"N/A")</f>
        <v>2.3495646251884938E-2</v>
      </c>
      <c r="T163" s="313"/>
      <c r="U163" s="312">
        <f>IFERROR('Segment Analysis'!U7/'Segment Analysis'!S7-1,"N/A")</f>
        <v>-7.6045627376425395E-3</v>
      </c>
      <c r="V163" s="314">
        <f>IFERROR('Segment Analysis'!V7/'Segment Analysis'!U7-1,"N/A")</f>
        <v>4.0670641762452275E-2</v>
      </c>
      <c r="W163" s="314">
        <f>IFERROR('Segment Analysis'!W7/'Segment Analysis'!V7-1,"N/A")</f>
        <v>2.7347342191980095E-2</v>
      </c>
      <c r="X163" s="314">
        <f>IFERROR('Segment Analysis'!X7/'Segment Analysis'!W7-1,"N/A")</f>
        <v>3.587984051175952E-2</v>
      </c>
      <c r="Y163" s="313"/>
      <c r="Z163" s="314">
        <f>IFERROR('Segment Analysis'!Z7/'Segment Analysis'!X7-1,"N/A")</f>
        <v>-2.6772245303142705E-3</v>
      </c>
      <c r="AA163" s="314">
        <f>IFERROR('Segment Analysis'!AA7/'Segment Analysis'!Z7-1,"N/A")</f>
        <v>4.602588401541885E-2</v>
      </c>
      <c r="AB163" s="314">
        <f>IFERROR('Segment Analysis'!AB7/'Segment Analysis'!AA7-1,"N/A")</f>
        <v>2.4053340085924191E-2</v>
      </c>
      <c r="AC163" s="314">
        <f>IFERROR('Segment Analysis'!AC7/'Segment Analysis'!AB7-1,"N/A")</f>
        <v>3.8641194222290398E-2</v>
      </c>
      <c r="AD163" s="313"/>
      <c r="AE163" s="313">
        <f>IFERROR('Segment Analysis'!AE7/'Segment Analysis'!AD7-1,"N/A")</f>
        <v>7.2674930900695545E-2</v>
      </c>
      <c r="AF163" s="313">
        <f>IFERROR('Segment Analysis'!AF7/'Segment Analysis'!AE7-1,"N/A")</f>
        <v>7.0011007155724947E-2</v>
      </c>
      <c r="AG163" s="313">
        <f>IFERROR('Segment Analysis'!AG7/'Segment Analysis'!AF7-1,"N/A")</f>
        <v>6.1407704024226462E-2</v>
      </c>
    </row>
    <row r="164" spans="3:33" ht="14.25" customHeight="1" x14ac:dyDescent="0.25">
      <c r="C164" s="103" t="str">
        <f>'Segment Analysis'!C14</f>
        <v>Discount</v>
      </c>
      <c r="D164" s="9"/>
      <c r="E164" s="9"/>
      <c r="F164" s="408"/>
      <c r="G164" s="312">
        <f>IFERROR('Segment Analysis'!G8/'Segment Analysis'!F8-1,"N/A")</f>
        <v>6.7195167987919913E-2</v>
      </c>
      <c r="H164" s="312">
        <f>IFERROR('Segment Analysis'!H8/'Segment Analysis'!G8-1,"N/A")</f>
        <v>-8.6074755335455722E-3</v>
      </c>
      <c r="I164" s="312">
        <f>IFERROR('Segment Analysis'!I8/'Segment Analysis'!H8-1,"N/A")</f>
        <v>2.0456707897240634E-2</v>
      </c>
      <c r="J164" s="313"/>
      <c r="K164" s="312">
        <f>IFERROR('Segment Analysis'!K8/'Segment Analysis'!I8-1,"N/A")</f>
        <v>-2.3310023310023298E-2</v>
      </c>
      <c r="L164" s="312">
        <f>IFERROR('Segment Analysis'!L8/'Segment Analysis'!K8-1,"N/A")</f>
        <v>5.6682577565632553E-2</v>
      </c>
      <c r="M164" s="312">
        <f>IFERROR('Segment Analysis'!M8/'Segment Analysis'!L8-1,"N/A")</f>
        <v>-8.4697910784867769E-3</v>
      </c>
      <c r="N164" s="312">
        <f>IFERROR('Segment Analysis'!N8/'Segment Analysis'!M8-1,"N/A")</f>
        <v>4.5216400911161747E-2</v>
      </c>
      <c r="O164" s="313"/>
      <c r="P164" s="312">
        <f>IFERROR('Segment Analysis'!P8/'Segment Analysis'!N8-1,"N/A")</f>
        <v>-4.7292143401983178E-2</v>
      </c>
      <c r="Q164" s="312">
        <f>IFERROR('Segment Analysis'!Q8/'Segment Analysis'!P8-1,"N/A")</f>
        <v>7.0685119524190876E-2</v>
      </c>
      <c r="R164" s="312">
        <f>IFERROR('Segment Analysis'!R8/'Segment Analysis'!Q8-1,"N/A")</f>
        <v>5.5549620767012531E-3</v>
      </c>
      <c r="S164" s="312">
        <f>IFERROR('Segment Analysis'!S8/'Segment Analysis'!R8-1,"N/A")</f>
        <v>5.0037182619781184E-2</v>
      </c>
      <c r="T164" s="313"/>
      <c r="U164" s="312">
        <f>IFERROR('Segment Analysis'!U8/'Segment Analysis'!S8-1,"N/A")</f>
        <v>-3.7636584378794025E-2</v>
      </c>
      <c r="V164" s="314">
        <f>IFERROR('Segment Analysis'!V8/'Segment Analysis'!U8-1,"N/A")</f>
        <v>6.0000000000000053E-2</v>
      </c>
      <c r="W164" s="314">
        <f>IFERROR('Segment Analysis'!W8/'Segment Analysis'!V8-1,"N/A")</f>
        <v>1.4999999999999902E-2</v>
      </c>
      <c r="X164" s="314">
        <f>IFERROR('Segment Analysis'!X8/'Segment Analysis'!W8-1,"N/A")</f>
        <v>5.4999999999999938E-2</v>
      </c>
      <c r="Y164" s="313"/>
      <c r="Z164" s="314">
        <f>IFERROR('Segment Analysis'!Z8/'Segment Analysis'!X8-1,"N/A")</f>
        <v>-1.0000000000000009E-2</v>
      </c>
      <c r="AA164" s="314">
        <f>IFERROR('Segment Analysis'!AA8/'Segment Analysis'!Z8-1,"N/A")</f>
        <v>7.0000000000000062E-2</v>
      </c>
      <c r="AB164" s="314">
        <f>IFERROR('Segment Analysis'!AB8/'Segment Analysis'!AA8-1,"N/A")</f>
        <v>2.0000000000000018E-2</v>
      </c>
      <c r="AC164" s="314">
        <f>IFERROR('Segment Analysis'!AC8/'Segment Analysis'!AB8-1,"N/A")</f>
        <v>5.4999999999999938E-2</v>
      </c>
      <c r="AD164" s="313"/>
      <c r="AE164" s="313">
        <f>IFERROR('Segment Analysis'!AE8/'Segment Analysis'!AD8-1,"N/A")</f>
        <v>7.0000000000000062E-2</v>
      </c>
      <c r="AF164" s="313">
        <f>IFERROR('Segment Analysis'!AF8/'Segment Analysis'!AE8-1,"N/A")</f>
        <v>6.0000000000000053E-2</v>
      </c>
      <c r="AG164" s="313">
        <f>IFERROR('Segment Analysis'!AG8/'Segment Analysis'!AF8-1,"N/A")</f>
        <v>6.0000000000000053E-2</v>
      </c>
    </row>
    <row r="165" spans="3:33" ht="14.25" customHeight="1" x14ac:dyDescent="0.25">
      <c r="C165" s="103" t="str">
        <f>'Segment Analysis'!C15</f>
        <v>Net Card Fees</v>
      </c>
      <c r="D165" s="9"/>
      <c r="E165" s="9"/>
      <c r="F165" s="408"/>
      <c r="G165" s="312">
        <f>IFERROR('Segment Analysis'!G9/'Segment Analysis'!F9-1,"N/A")</f>
        <v>4.4366608289550413E-2</v>
      </c>
      <c r="H165" s="312">
        <f>IFERROR('Segment Analysis'!H9/'Segment Analysis'!G9-1,"N/A")</f>
        <v>3.1861375069871523E-2</v>
      </c>
      <c r="I165" s="312">
        <f>IFERROR('Segment Analysis'!I9/'Segment Analysis'!H9-1,"N/A")</f>
        <v>3.3044420368363969E-2</v>
      </c>
      <c r="J165" s="313"/>
      <c r="K165" s="312">
        <f>IFERROR('Segment Analysis'!K9/'Segment Analysis'!I9-1,"N/A")</f>
        <v>3.5133717881489224E-2</v>
      </c>
      <c r="L165" s="312">
        <f>IFERROR('Segment Analysis'!L9/'Segment Analysis'!K9-1,"N/A")</f>
        <v>4.3566362715298901E-2</v>
      </c>
      <c r="M165" s="312">
        <f>IFERROR('Segment Analysis'!M9/'Segment Analysis'!L9-1,"N/A")</f>
        <v>5.3398058252427161E-2</v>
      </c>
      <c r="N165" s="312">
        <f>IFERROR('Segment Analysis'!N9/'Segment Analysis'!M9-1,"N/A")</f>
        <v>3.4562211981566726E-2</v>
      </c>
      <c r="O165" s="313"/>
      <c r="P165" s="312">
        <f>IFERROR('Segment Analysis'!P9/'Segment Analysis'!N9-1,"N/A")</f>
        <v>3.9198218262806339E-2</v>
      </c>
      <c r="Q165" s="312">
        <f>IFERROR('Segment Analysis'!Q9/'Segment Analysis'!P9-1,"N/A")</f>
        <v>6.3009001285897925E-2</v>
      </c>
      <c r="R165" s="312">
        <f>IFERROR('Segment Analysis'!R9/'Segment Analysis'!Q9-1,"N/A")</f>
        <v>2.8629032258064457E-2</v>
      </c>
      <c r="S165" s="312">
        <f>IFERROR('Segment Analysis'!S9/'Segment Analysis'!R9-1,"N/A")</f>
        <v>3.0576244609956893E-2</v>
      </c>
      <c r="T165" s="313"/>
      <c r="U165" s="312">
        <f>IFERROR('Segment Analysis'!U9/'Segment Analysis'!S9-1,"N/A")</f>
        <v>4.6785850133130413E-2</v>
      </c>
      <c r="V165" s="314">
        <f>IFERROR('Segment Analysis'!V9/'Segment Analysis'!U9-1,"N/A")</f>
        <v>5.0000000000000044E-2</v>
      </c>
      <c r="W165" s="314">
        <f>IFERROR('Segment Analysis'!W9/'Segment Analysis'!V9-1,"N/A")</f>
        <v>5.0000000000000044E-2</v>
      </c>
      <c r="X165" s="314">
        <f>IFERROR('Segment Analysis'!X9/'Segment Analysis'!W9-1,"N/A")</f>
        <v>6.0000000000000053E-2</v>
      </c>
      <c r="Y165" s="313"/>
      <c r="Z165" s="314">
        <f>IFERROR('Segment Analysis'!Z9/'Segment Analysis'!X9-1,"N/A")</f>
        <v>3.0000000000000027E-2</v>
      </c>
      <c r="AA165" s="314">
        <f>IFERROR('Segment Analysis'!AA9/'Segment Analysis'!Z9-1,"N/A")</f>
        <v>4.0000000000000036E-2</v>
      </c>
      <c r="AB165" s="314">
        <f>IFERROR('Segment Analysis'!AB9/'Segment Analysis'!AA9-1,"N/A")</f>
        <v>2.0000000000000018E-2</v>
      </c>
      <c r="AC165" s="314">
        <f>IFERROR('Segment Analysis'!AC9/'Segment Analysis'!AB9-1,"N/A")</f>
        <v>3.0000000000000027E-2</v>
      </c>
      <c r="AD165" s="313"/>
      <c r="AE165" s="313">
        <f>IFERROR('Segment Analysis'!AE9/'Segment Analysis'!AD9-1,"N/A")</f>
        <v>0.14000000000000012</v>
      </c>
      <c r="AF165" s="313">
        <f>IFERROR('Segment Analysis'!AF9/'Segment Analysis'!AE9-1,"N/A")</f>
        <v>0.12000000000000011</v>
      </c>
      <c r="AG165" s="313">
        <f>IFERROR('Segment Analysis'!AG9/'Segment Analysis'!AF9-1,"N/A")</f>
        <v>6.0000000000000053E-2</v>
      </c>
    </row>
    <row r="166" spans="3:33" ht="14.25" customHeight="1" x14ac:dyDescent="0.25">
      <c r="C166" s="103" t="str">
        <f>'Segment Analysis'!C16</f>
        <v>Service Fees and Other</v>
      </c>
      <c r="D166" s="9"/>
      <c r="E166" s="9"/>
      <c r="F166" s="408"/>
      <c r="G166" s="312">
        <f>IFERROR('Segment Analysis'!G10/'Segment Analysis'!F10-1,"N/A")</f>
        <v>2.5030525030524942E-2</v>
      </c>
      <c r="H166" s="312">
        <f>IFERROR('Segment Analysis'!H10/'Segment Analysis'!G10-1,"N/A")</f>
        <v>3.5735556879095132E-3</v>
      </c>
      <c r="I166" s="312">
        <f>IFERROR('Segment Analysis'!I10/'Segment Analysis'!H10-1,"N/A")</f>
        <v>1.3649851632047572E-2</v>
      </c>
      <c r="J166" s="313"/>
      <c r="K166" s="312">
        <f>IFERROR('Segment Analysis'!K10/'Segment Analysis'!I10-1,"N/A")</f>
        <v>-1.7564402810304469E-2</v>
      </c>
      <c r="L166" s="312">
        <f>IFERROR('Segment Analysis'!L10/'Segment Analysis'!K10-1,"N/A")</f>
        <v>5.9594755661502852E-3</v>
      </c>
      <c r="M166" s="312">
        <f>IFERROR('Segment Analysis'!M10/'Segment Analysis'!L10-1,"N/A")</f>
        <v>-4.7393364928910442E-3</v>
      </c>
      <c r="N166" s="312">
        <f>IFERROR('Segment Analysis'!N10/'Segment Analysis'!M10-1,"N/A")</f>
        <v>2.3214285714285632E-2</v>
      </c>
      <c r="O166" s="313"/>
      <c r="P166" s="312">
        <f>IFERROR('Segment Analysis'!P10/'Segment Analysis'!N10-1,"N/A")</f>
        <v>1.7452006980802626E-3</v>
      </c>
      <c r="Q166" s="312">
        <f>IFERROR('Segment Analysis'!Q10/'Segment Analysis'!P10-1,"N/A")</f>
        <v>6.1556329849012714E-2</v>
      </c>
      <c r="R166" s="312">
        <f>IFERROR('Segment Analysis'!R10/'Segment Analysis'!Q10-1,"N/A")</f>
        <v>8.0962800875273633E-2</v>
      </c>
      <c r="S166" s="312">
        <f>IFERROR('Segment Analysis'!S10/'Segment Analysis'!R10-1,"N/A")</f>
        <v>-1.5688259109311709E-2</v>
      </c>
      <c r="T166" s="313"/>
      <c r="U166" s="312">
        <f>IFERROR('Segment Analysis'!U10/'Segment Analysis'!S10-1,"N/A")</f>
        <v>3.0848329048842604E-3</v>
      </c>
      <c r="V166" s="314">
        <f>IFERROR('Segment Analysis'!V10/'Segment Analysis'!U10-1,"N/A")</f>
        <v>5.2999999999999936E-2</v>
      </c>
      <c r="W166" s="314">
        <f>IFERROR('Segment Analysis'!W10/'Segment Analysis'!V10-1,"N/A")</f>
        <v>5.0000000000000044E-2</v>
      </c>
      <c r="X166" s="314">
        <f>IFERROR('Segment Analysis'!X10/'Segment Analysis'!W10-1,"N/A")</f>
        <v>8.0000000000000071E-3</v>
      </c>
      <c r="Y166" s="313"/>
      <c r="Z166" s="314">
        <f>IFERROR('Segment Analysis'!Z10/'Segment Analysis'!X10-1,"N/A")</f>
        <v>-2.0000000000000018E-2</v>
      </c>
      <c r="AA166" s="314">
        <f>IFERROR('Segment Analysis'!AA10/'Segment Analysis'!Z10-1,"N/A")</f>
        <v>5.2300000000000013E-2</v>
      </c>
      <c r="AB166" s="314">
        <f>IFERROR('Segment Analysis'!AB10/'Segment Analysis'!AA10-1,"N/A")</f>
        <v>4.8000000000000043E-2</v>
      </c>
      <c r="AC166" s="314">
        <f>IFERROR('Segment Analysis'!AC10/'Segment Analysis'!AB10-1,"N/A")</f>
        <v>1.2000000000000011E-2</v>
      </c>
      <c r="AD166" s="313"/>
      <c r="AE166" s="313">
        <f>IFERROR('Segment Analysis'!AE10/'Segment Analysis'!AD10-1,"N/A")</f>
        <v>7.0000000000000062E-2</v>
      </c>
      <c r="AF166" s="313">
        <f>IFERROR('Segment Analysis'!AF10/'Segment Analysis'!AE10-1,"N/A")</f>
        <v>7.0000000000000062E-2</v>
      </c>
      <c r="AG166" s="313">
        <f>IFERROR('Segment Analysis'!AG10/'Segment Analysis'!AF10-1,"N/A")</f>
        <v>6.0000000000000053E-2</v>
      </c>
    </row>
    <row r="167" spans="3:33" ht="14.25" customHeight="1" x14ac:dyDescent="0.25">
      <c r="C167" s="9"/>
      <c r="D167" s="9"/>
      <c r="E167" s="9"/>
      <c r="F167" s="254"/>
      <c r="G167" s="254"/>
      <c r="H167" s="254"/>
      <c r="I167" s="254"/>
      <c r="J167" s="132"/>
      <c r="K167" s="254"/>
      <c r="L167" s="254"/>
      <c r="M167" s="254"/>
      <c r="N167" s="254"/>
      <c r="O167" s="132"/>
      <c r="P167" s="254"/>
      <c r="Q167" s="254"/>
      <c r="R167" s="254"/>
      <c r="S167" s="254"/>
      <c r="T167" s="132"/>
      <c r="U167" s="254"/>
      <c r="V167" s="257"/>
      <c r="W167" s="257"/>
      <c r="X167" s="257"/>
      <c r="Y167" s="132"/>
      <c r="Z167" s="257"/>
      <c r="AA167" s="257"/>
      <c r="AB167" s="257"/>
      <c r="AC167" s="257"/>
      <c r="AD167" s="132"/>
      <c r="AE167" s="132"/>
      <c r="AF167" s="132"/>
      <c r="AG167" s="132"/>
    </row>
    <row r="168" spans="3:33" ht="14.25" hidden="1" customHeight="1" outlineLevel="1" x14ac:dyDescent="0.25">
      <c r="C168" s="103" t="str">
        <f t="shared" ref="C168:C172" si="178">C71</f>
        <v>North America</v>
      </c>
      <c r="D168" s="9"/>
      <c r="E168" s="9"/>
      <c r="F168" s="408"/>
      <c r="G168" s="312" t="str">
        <f t="shared" ref="G168:I168" si="179">IFERROR(G70/F70-1,"N/A")</f>
        <v>N/A</v>
      </c>
      <c r="H168" s="312" t="str">
        <f t="shared" si="179"/>
        <v>N/A</v>
      </c>
      <c r="I168" s="312" t="str">
        <f t="shared" si="179"/>
        <v>N/A</v>
      </c>
      <c r="J168" s="132"/>
      <c r="K168" s="312" t="str">
        <f t="shared" ref="K168:K172" si="180">IFERROR(K70/I70-1,"N/A")</f>
        <v>N/A</v>
      </c>
      <c r="L168" s="312" t="str">
        <f t="shared" ref="L168:N168" si="181">IFERROR(L70/K70-1,"N/A")</f>
        <v>N/A</v>
      </c>
      <c r="M168" s="312" t="str">
        <f t="shared" si="181"/>
        <v>N/A</v>
      </c>
      <c r="N168" s="312" t="str">
        <f t="shared" si="181"/>
        <v>N/A</v>
      </c>
      <c r="O168" s="313"/>
      <c r="P168" s="312" t="str">
        <f t="shared" ref="P168:P172" si="182">IFERROR(P70/N70-1,"N/A")</f>
        <v>N/A</v>
      </c>
      <c r="Q168" s="312" t="str">
        <f t="shared" ref="Q168:S168" si="183">IFERROR(Q70/P70-1,"N/A")</f>
        <v>N/A</v>
      </c>
      <c r="R168" s="312" t="str">
        <f t="shared" si="183"/>
        <v>N/A</v>
      </c>
      <c r="S168" s="312" t="str">
        <f t="shared" si="183"/>
        <v>N/A</v>
      </c>
      <c r="T168" s="313"/>
      <c r="U168" s="312" t="str">
        <f t="shared" ref="U168:U172" si="184">IFERROR(U70/S70-1,"N/A")</f>
        <v>N/A</v>
      </c>
      <c r="V168" s="314" t="str">
        <f t="shared" ref="V168:V172" si="185">IFERROR(V70/U70-1,"N/A")</f>
        <v>N/A</v>
      </c>
      <c r="W168" s="314" t="str">
        <f t="shared" ref="W168:W172" si="186">IFERROR(W70/V70-1,"N/A")</f>
        <v>N/A</v>
      </c>
      <c r="X168" s="314" t="str">
        <f t="shared" ref="X168:X172" si="187">IFERROR(X70/W70-1,"N/A")</f>
        <v>N/A</v>
      </c>
      <c r="Y168" s="313"/>
      <c r="Z168" s="314" t="str">
        <f t="shared" ref="Z168:Z172" si="188">IFERROR(Z70/X70-1,"N/A")</f>
        <v>N/A</v>
      </c>
      <c r="AA168" s="314" t="str">
        <f t="shared" ref="AA168:AC168" si="189">IFERROR(AA70/Z70-1,"N/A")</f>
        <v>N/A</v>
      </c>
      <c r="AB168" s="314" t="str">
        <f t="shared" si="189"/>
        <v>N/A</v>
      </c>
      <c r="AC168" s="314" t="str">
        <f t="shared" si="189"/>
        <v>N/A</v>
      </c>
      <c r="AD168" s="313"/>
      <c r="AE168" s="313" t="str">
        <f t="shared" ref="AE168:AG168" si="190">IFERROR(AE70/AD70-1,"N/A")</f>
        <v>N/A</v>
      </c>
      <c r="AF168" s="313" t="str">
        <f t="shared" si="190"/>
        <v>N/A</v>
      </c>
      <c r="AG168" s="313" t="str">
        <f t="shared" si="190"/>
        <v>N/A</v>
      </c>
    </row>
    <row r="169" spans="3:33" ht="14.25" hidden="1" customHeight="1" outlineLevel="1" x14ac:dyDescent="0.25">
      <c r="C169" s="103" t="str">
        <f t="shared" si="178"/>
        <v>Europe</v>
      </c>
      <c r="D169" s="9"/>
      <c r="E169" s="9"/>
      <c r="F169" s="408"/>
      <c r="G169" s="312" t="str">
        <f t="shared" ref="G169:I169" si="191">IFERROR(G71/F71-1,"N/A")</f>
        <v>N/A</v>
      </c>
      <c r="H169" s="312" t="str">
        <f t="shared" si="191"/>
        <v>N/A</v>
      </c>
      <c r="I169" s="312" t="str">
        <f t="shared" si="191"/>
        <v>N/A</v>
      </c>
      <c r="J169" s="132"/>
      <c r="K169" s="312" t="str">
        <f t="shared" si="180"/>
        <v>N/A</v>
      </c>
      <c r="L169" s="312" t="str">
        <f t="shared" ref="L169:N169" si="192">IFERROR(L71/K71-1,"N/A")</f>
        <v>N/A</v>
      </c>
      <c r="M169" s="312" t="str">
        <f t="shared" si="192"/>
        <v>N/A</v>
      </c>
      <c r="N169" s="312" t="str">
        <f t="shared" si="192"/>
        <v>N/A</v>
      </c>
      <c r="O169" s="313"/>
      <c r="P169" s="312" t="str">
        <f t="shared" si="182"/>
        <v>N/A</v>
      </c>
      <c r="Q169" s="312" t="str">
        <f t="shared" ref="Q169:S169" si="193">IFERROR(Q71/P71-1,"N/A")</f>
        <v>N/A</v>
      </c>
      <c r="R169" s="312" t="str">
        <f t="shared" si="193"/>
        <v>N/A</v>
      </c>
      <c r="S169" s="312" t="str">
        <f t="shared" si="193"/>
        <v>N/A</v>
      </c>
      <c r="T169" s="313"/>
      <c r="U169" s="312" t="str">
        <f t="shared" si="184"/>
        <v>N/A</v>
      </c>
      <c r="V169" s="314" t="str">
        <f t="shared" si="185"/>
        <v>N/A</v>
      </c>
      <c r="W169" s="314" t="str">
        <f t="shared" si="186"/>
        <v>N/A</v>
      </c>
      <c r="X169" s="314" t="str">
        <f t="shared" si="187"/>
        <v>N/A</v>
      </c>
      <c r="Y169" s="313"/>
      <c r="Z169" s="314" t="str">
        <f t="shared" si="188"/>
        <v>N/A</v>
      </c>
      <c r="AA169" s="314" t="str">
        <f t="shared" ref="AA169:AC169" si="194">IFERROR(AA71/Z71-1,"N/A")</f>
        <v>N/A</v>
      </c>
      <c r="AB169" s="314" t="str">
        <f t="shared" si="194"/>
        <v>N/A</v>
      </c>
      <c r="AC169" s="314" t="str">
        <f t="shared" si="194"/>
        <v>N/A</v>
      </c>
      <c r="AD169" s="313"/>
      <c r="AE169" s="313" t="str">
        <f t="shared" ref="AE169:AG169" si="195">IFERROR(AE71/AD71-1,"N/A")</f>
        <v>N/A</v>
      </c>
      <c r="AF169" s="313" t="str">
        <f t="shared" si="195"/>
        <v>N/A</v>
      </c>
      <c r="AG169" s="313" t="str">
        <f t="shared" si="195"/>
        <v>N/A</v>
      </c>
    </row>
    <row r="170" spans="3:33" ht="14.25" hidden="1" customHeight="1" outlineLevel="1" x14ac:dyDescent="0.25">
      <c r="C170" s="103" t="str">
        <f t="shared" si="178"/>
        <v>South America</v>
      </c>
      <c r="D170" s="9"/>
      <c r="E170" s="9"/>
      <c r="F170" s="408"/>
      <c r="G170" s="312" t="str">
        <f t="shared" ref="G170:I170" si="196">IFERROR(G72/F72-1,"N/A")</f>
        <v>N/A</v>
      </c>
      <c r="H170" s="312" t="str">
        <f t="shared" si="196"/>
        <v>N/A</v>
      </c>
      <c r="I170" s="312" t="str">
        <f t="shared" si="196"/>
        <v>N/A</v>
      </c>
      <c r="J170" s="132"/>
      <c r="K170" s="312" t="str">
        <f t="shared" si="180"/>
        <v>N/A</v>
      </c>
      <c r="L170" s="312" t="str">
        <f t="shared" ref="L170:N170" si="197">IFERROR(L72/K72-1,"N/A")</f>
        <v>N/A</v>
      </c>
      <c r="M170" s="312" t="str">
        <f t="shared" si="197"/>
        <v>N/A</v>
      </c>
      <c r="N170" s="312" t="str">
        <f t="shared" si="197"/>
        <v>N/A</v>
      </c>
      <c r="O170" s="313"/>
      <c r="P170" s="312" t="str">
        <f t="shared" si="182"/>
        <v>N/A</v>
      </c>
      <c r="Q170" s="312" t="str">
        <f t="shared" ref="Q170:S170" si="198">IFERROR(Q72/P72-1,"N/A")</f>
        <v>N/A</v>
      </c>
      <c r="R170" s="312" t="str">
        <f t="shared" si="198"/>
        <v>N/A</v>
      </c>
      <c r="S170" s="312" t="str">
        <f t="shared" si="198"/>
        <v>N/A</v>
      </c>
      <c r="T170" s="313"/>
      <c r="U170" s="312" t="str">
        <f t="shared" si="184"/>
        <v>N/A</v>
      </c>
      <c r="V170" s="314" t="str">
        <f t="shared" si="185"/>
        <v>N/A</v>
      </c>
      <c r="W170" s="314" t="str">
        <f t="shared" si="186"/>
        <v>N/A</v>
      </c>
      <c r="X170" s="314" t="str">
        <f t="shared" si="187"/>
        <v>N/A</v>
      </c>
      <c r="Y170" s="313"/>
      <c r="Z170" s="314" t="str">
        <f t="shared" si="188"/>
        <v>N/A</v>
      </c>
      <c r="AA170" s="314" t="str">
        <f t="shared" ref="AA170:AC170" si="199">IFERROR(AA72/Z72-1,"N/A")</f>
        <v>N/A</v>
      </c>
      <c r="AB170" s="314" t="str">
        <f t="shared" si="199"/>
        <v>N/A</v>
      </c>
      <c r="AC170" s="314" t="str">
        <f t="shared" si="199"/>
        <v>N/A</v>
      </c>
      <c r="AD170" s="313"/>
      <c r="AE170" s="313" t="str">
        <f t="shared" ref="AE170:AG170" si="200">IFERROR(AE72/AD72-1,"N/A")</f>
        <v>N/A</v>
      </c>
      <c r="AF170" s="313" t="str">
        <f t="shared" si="200"/>
        <v>N/A</v>
      </c>
      <c r="AG170" s="313" t="str">
        <f t="shared" si="200"/>
        <v>N/A</v>
      </c>
    </row>
    <row r="171" spans="3:33" ht="14.25" hidden="1" customHeight="1" outlineLevel="1" x14ac:dyDescent="0.25">
      <c r="C171" s="103" t="str">
        <f t="shared" si="178"/>
        <v>Middle East &amp; Africa</v>
      </c>
      <c r="D171" s="9"/>
      <c r="E171" s="9"/>
      <c r="F171" s="408"/>
      <c r="G171" s="312" t="str">
        <f t="shared" ref="G171:I171" si="201">IFERROR(G73/F73-1,"N/A")</f>
        <v>N/A</v>
      </c>
      <c r="H171" s="312" t="str">
        <f t="shared" si="201"/>
        <v>N/A</v>
      </c>
      <c r="I171" s="312" t="str">
        <f t="shared" si="201"/>
        <v>N/A</v>
      </c>
      <c r="J171" s="132"/>
      <c r="K171" s="312" t="str">
        <f t="shared" si="180"/>
        <v>N/A</v>
      </c>
      <c r="L171" s="312" t="str">
        <f t="shared" ref="L171:N171" si="202">IFERROR(L73/K73-1,"N/A")</f>
        <v>N/A</v>
      </c>
      <c r="M171" s="312" t="str">
        <f t="shared" si="202"/>
        <v>N/A</v>
      </c>
      <c r="N171" s="312" t="str">
        <f t="shared" si="202"/>
        <v>N/A</v>
      </c>
      <c r="O171" s="313"/>
      <c r="P171" s="312" t="str">
        <f t="shared" si="182"/>
        <v>N/A</v>
      </c>
      <c r="Q171" s="312" t="str">
        <f t="shared" ref="Q171:S171" si="203">IFERROR(Q73/P73-1,"N/A")</f>
        <v>N/A</v>
      </c>
      <c r="R171" s="312" t="str">
        <f t="shared" si="203"/>
        <v>N/A</v>
      </c>
      <c r="S171" s="312" t="str">
        <f t="shared" si="203"/>
        <v>N/A</v>
      </c>
      <c r="T171" s="313"/>
      <c r="U171" s="312" t="str">
        <f t="shared" si="184"/>
        <v>N/A</v>
      </c>
      <c r="V171" s="314" t="str">
        <f t="shared" si="185"/>
        <v>N/A</v>
      </c>
      <c r="W171" s="314" t="str">
        <f t="shared" si="186"/>
        <v>N/A</v>
      </c>
      <c r="X171" s="314" t="str">
        <f t="shared" si="187"/>
        <v>N/A</v>
      </c>
      <c r="Y171" s="313"/>
      <c r="Z171" s="314" t="str">
        <f t="shared" si="188"/>
        <v>N/A</v>
      </c>
      <c r="AA171" s="314" t="str">
        <f t="shared" ref="AA171:AC171" si="204">IFERROR(AA73/Z73-1,"N/A")</f>
        <v>N/A</v>
      </c>
      <c r="AB171" s="314" t="str">
        <f t="shared" si="204"/>
        <v>N/A</v>
      </c>
      <c r="AC171" s="314" t="str">
        <f t="shared" si="204"/>
        <v>N/A</v>
      </c>
      <c r="AD171" s="313"/>
      <c r="AE171" s="313" t="str">
        <f t="shared" ref="AE171:AG171" si="205">IFERROR(AE73/AD73-1,"N/A")</f>
        <v>N/A</v>
      </c>
      <c r="AF171" s="313" t="str">
        <f t="shared" si="205"/>
        <v>N/A</v>
      </c>
      <c r="AG171" s="313" t="str">
        <f t="shared" si="205"/>
        <v>N/A</v>
      </c>
    </row>
    <row r="172" spans="3:33" ht="14.25" hidden="1" customHeight="1" outlineLevel="1" x14ac:dyDescent="0.25">
      <c r="C172" s="103" t="str">
        <f t="shared" si="178"/>
        <v>Asia Pacific</v>
      </c>
      <c r="D172" s="9"/>
      <c r="E172" s="9"/>
      <c r="F172" s="408"/>
      <c r="G172" s="312" t="str">
        <f t="shared" ref="G172:I172" si="206">IFERROR(G74/F74-1,"N/A")</f>
        <v>N/A</v>
      </c>
      <c r="H172" s="312" t="str">
        <f t="shared" si="206"/>
        <v>N/A</v>
      </c>
      <c r="I172" s="312" t="str">
        <f t="shared" si="206"/>
        <v>N/A</v>
      </c>
      <c r="J172" s="132"/>
      <c r="K172" s="312" t="str">
        <f t="shared" si="180"/>
        <v>N/A</v>
      </c>
      <c r="L172" s="312" t="str">
        <f t="shared" ref="L172:N172" si="207">IFERROR(L74/K74-1,"N/A")</f>
        <v>N/A</v>
      </c>
      <c r="M172" s="312" t="str">
        <f t="shared" si="207"/>
        <v>N/A</v>
      </c>
      <c r="N172" s="312" t="str">
        <f t="shared" si="207"/>
        <v>N/A</v>
      </c>
      <c r="O172" s="313"/>
      <c r="P172" s="312" t="str">
        <f t="shared" si="182"/>
        <v>N/A</v>
      </c>
      <c r="Q172" s="312" t="str">
        <f t="shared" ref="Q172:S172" si="208">IFERROR(Q74/P74-1,"N/A")</f>
        <v>N/A</v>
      </c>
      <c r="R172" s="312" t="str">
        <f t="shared" si="208"/>
        <v>N/A</v>
      </c>
      <c r="S172" s="312" t="str">
        <f t="shared" si="208"/>
        <v>N/A</v>
      </c>
      <c r="T172" s="313"/>
      <c r="U172" s="312" t="str">
        <f t="shared" si="184"/>
        <v>N/A</v>
      </c>
      <c r="V172" s="314" t="str">
        <f t="shared" si="185"/>
        <v>N/A</v>
      </c>
      <c r="W172" s="314" t="str">
        <f t="shared" si="186"/>
        <v>N/A</v>
      </c>
      <c r="X172" s="314" t="str">
        <f t="shared" si="187"/>
        <v>N/A</v>
      </c>
      <c r="Y172" s="313"/>
      <c r="Z172" s="314" t="str">
        <f t="shared" si="188"/>
        <v>N/A</v>
      </c>
      <c r="AA172" s="314" t="str">
        <f t="shared" ref="AA172:AC172" si="209">IFERROR(AA74/Z74-1,"N/A")</f>
        <v>N/A</v>
      </c>
      <c r="AB172" s="314" t="str">
        <f t="shared" si="209"/>
        <v>N/A</v>
      </c>
      <c r="AC172" s="314" t="str">
        <f t="shared" si="209"/>
        <v>N/A</v>
      </c>
      <c r="AD172" s="313"/>
      <c r="AE172" s="313" t="str">
        <f t="shared" ref="AE172:AG172" si="210">IFERROR(AE74/AD74-1,"N/A")</f>
        <v>N/A</v>
      </c>
      <c r="AF172" s="313" t="str">
        <f t="shared" si="210"/>
        <v>N/A</v>
      </c>
      <c r="AG172" s="313" t="str">
        <f t="shared" si="210"/>
        <v>N/A</v>
      </c>
    </row>
    <row r="173" spans="3:33" ht="14.25" hidden="1" customHeight="1" outlineLevel="1" x14ac:dyDescent="0.25">
      <c r="C173" s="9"/>
      <c r="D173" s="9"/>
      <c r="E173" s="9"/>
      <c r="F173" s="254"/>
      <c r="G173" s="254"/>
      <c r="H173" s="254"/>
      <c r="I173" s="254"/>
      <c r="J173" s="132"/>
      <c r="K173" s="254"/>
      <c r="L173" s="254"/>
      <c r="M173" s="254"/>
      <c r="N173" s="254"/>
      <c r="O173" s="132"/>
      <c r="P173" s="254"/>
      <c r="Q173" s="254"/>
      <c r="R173" s="254"/>
      <c r="S173" s="254"/>
      <c r="T173" s="132"/>
      <c r="U173" s="254"/>
      <c r="V173" s="257"/>
      <c r="W173" s="257"/>
      <c r="X173" s="257"/>
      <c r="Y173" s="132"/>
      <c r="Z173" s="257"/>
      <c r="AA173" s="257"/>
      <c r="AB173" s="257"/>
      <c r="AC173" s="257"/>
      <c r="AD173" s="132"/>
      <c r="AE173" s="132"/>
      <c r="AF173" s="132"/>
      <c r="AG173" s="132"/>
    </row>
    <row r="174" spans="3:33" ht="14.25" customHeight="1" collapsed="1" x14ac:dyDescent="0.25">
      <c r="C174" s="9" t="s">
        <v>441</v>
      </c>
      <c r="D174" s="9"/>
      <c r="E174" s="9"/>
      <c r="F174" s="408"/>
      <c r="G174" s="312">
        <f>IFERROR(Model!G39/Model!F39-1,"N/A")</f>
        <v>0.26165205353022603</v>
      </c>
      <c r="H174" s="312">
        <f>IFERROR(Model!H39/Model!G39-1,"N/A")</f>
        <v>0.1338697878566204</v>
      </c>
      <c r="I174" s="312">
        <f>IFERROR(Model!I39/Model!H39-1,"N/A")</f>
        <v>-0.18967741935483873</v>
      </c>
      <c r="J174" s="313"/>
      <c r="K174" s="312">
        <f>IFERROR(Model!K39/Model!J39-1,"N/A")</f>
        <v>-0.70084657091220393</v>
      </c>
      <c r="L174" s="312">
        <f>IFERROR(Model!L39/Model!K39-1,"N/A")</f>
        <v>0.20508744038155813</v>
      </c>
      <c r="M174" s="312">
        <f>IFERROR(Model!M39/Model!L39-1,"N/A")</f>
        <v>-0.15461741424802111</v>
      </c>
      <c r="N174" s="312">
        <f>IFERROR(Model!N39/Model!M39-1,"N/A")</f>
        <v>-0.13982521847690388</v>
      </c>
      <c r="O174" s="313"/>
      <c r="P174" s="312">
        <f>IFERROR(Model!P39/Model!O39-1,"N/A")</f>
        <v>-0.74176037223730129</v>
      </c>
      <c r="Q174" s="312">
        <f>IFERROR(Model!Q39/Model!P39-1,"N/A")</f>
        <v>6.6066066066066131E-2</v>
      </c>
      <c r="R174" s="312">
        <f>IFERROR(Model!R39/Model!Q39-1,"N/A")</f>
        <v>7.7464788732394263E-2</v>
      </c>
      <c r="S174" s="312">
        <f>IFERROR(Model!S39/Model!R39-1,"N/A")</f>
        <v>-0.19215686274509802</v>
      </c>
      <c r="T174" s="313"/>
      <c r="U174" s="312">
        <f>IFERROR(Model!U39/Model!T39-1,"N/A")</f>
        <v>-0.72613265675969552</v>
      </c>
      <c r="V174" s="314">
        <f>IFERROR(Model!V39/Model!U39-1,"N/A")</f>
        <v>-5.4418208046593808E-3</v>
      </c>
      <c r="W174" s="314">
        <f>IFERROR(Model!W39/Model!V39-1,"N/A")</f>
        <v>0.10193576258022974</v>
      </c>
      <c r="X174" s="314">
        <f>IFERROR(Model!X39/Model!W39-1,"N/A")</f>
        <v>6.6749373995351746E-2</v>
      </c>
      <c r="Y174" s="313"/>
      <c r="Z174" s="314">
        <f>IFERROR(Model!Z39/Model!Y39-1,"N/A")</f>
        <v>-0.72072233763326654</v>
      </c>
      <c r="AA174" s="314">
        <f>IFERROR(Model!AA39/Model!Z39-1,"N/A")</f>
        <v>6.995337146541325E-2</v>
      </c>
      <c r="AB174" s="314">
        <f>IFERROR(Model!AB39/Model!AA39-1,"N/A")</f>
        <v>7.2933189116615171E-2</v>
      </c>
      <c r="AC174" s="314">
        <f>IFERROR(Model!AC39/Model!AB39-1,"N/A")</f>
        <v>5.2568357281967293E-2</v>
      </c>
      <c r="AD174" s="313"/>
      <c r="AE174" s="313">
        <f>IFERROR(Model!AE39/Model!AD39-1,"N/A")</f>
        <v>0.14393140384224523</v>
      </c>
      <c r="AF174" s="313">
        <f>IFERROR(Model!AF39/Model!AE39-1,"N/A")</f>
        <v>9.4121532570145217E-2</v>
      </c>
      <c r="AG174" s="313">
        <f>IFERROR(Model!AG39/Model!AF39-1,"N/A")</f>
        <v>7.6322612271948032E-2</v>
      </c>
    </row>
    <row r="175" spans="3:33" ht="14.25" customHeight="1" x14ac:dyDescent="0.25">
      <c r="C175" s="9"/>
      <c r="D175" s="9"/>
      <c r="E175" s="9"/>
      <c r="F175" s="254"/>
      <c r="G175" s="254"/>
      <c r="H175" s="254"/>
      <c r="I175" s="254"/>
      <c r="J175" s="132"/>
      <c r="K175" s="254"/>
      <c r="L175" s="254"/>
      <c r="M175" s="254"/>
      <c r="N175" s="254"/>
      <c r="O175" s="132"/>
      <c r="P175" s="254"/>
      <c r="Q175" s="254"/>
      <c r="R175" s="254"/>
      <c r="S175" s="254"/>
      <c r="T175" s="132"/>
      <c r="U175" s="254"/>
      <c r="V175" s="257"/>
      <c r="W175" s="257"/>
      <c r="X175" s="257"/>
      <c r="Y175" s="132"/>
      <c r="Z175" s="257"/>
      <c r="AA175" s="257"/>
      <c r="AB175" s="257"/>
      <c r="AC175" s="257"/>
      <c r="AD175" s="132"/>
      <c r="AE175" s="132"/>
      <c r="AF175" s="132"/>
      <c r="AG175" s="132"/>
    </row>
    <row r="176" spans="3:33" ht="14.25" hidden="1" customHeight="1" outlineLevel="1" x14ac:dyDescent="0.25">
      <c r="C176" s="9" t="s">
        <v>442</v>
      </c>
      <c r="D176" s="9"/>
      <c r="E176" s="9"/>
      <c r="F176" s="408"/>
      <c r="G176" s="312">
        <f>IFERROR(Model!G61/Model!F61-1,"N/A")</f>
        <v>0.21978873921891662</v>
      </c>
      <c r="H176" s="312">
        <f>IFERROR(Model!H61/Model!G61-1,"N/A")</f>
        <v>0.1163104790657028</v>
      </c>
      <c r="I176" s="312">
        <f>IFERROR(Model!I61/Model!H61-1,"N/A")</f>
        <v>-0.16739022133655967</v>
      </c>
      <c r="J176" s="313"/>
      <c r="K176" s="312">
        <f>IFERROR(Model!K61/Model!I61-1,"N/A")</f>
        <v>0.21856568937516019</v>
      </c>
      <c r="L176" s="312">
        <f>IFERROR(Model!L61/Model!K61-1,"N/A")</f>
        <v>0.18097643097643101</v>
      </c>
      <c r="M176" s="312">
        <f>IFERROR(Model!M61/Model!L61-1,"N/A")</f>
        <v>-0.13922546923259682</v>
      </c>
      <c r="N176" s="312">
        <f>IFERROR(Model!N61/Model!M61-1,"N/A")</f>
        <v>-0.12365443003036158</v>
      </c>
      <c r="O176" s="313"/>
      <c r="P176" s="312">
        <f>IFERROR(Model!P61/Model!N61-1,"N/A")</f>
        <v>0.18874015748031492</v>
      </c>
      <c r="Q176" s="312">
        <f>IFERROR(Model!Q61/Model!P61-1,"N/A")</f>
        <v>5.8289726435715616E-2</v>
      </c>
      <c r="R176" s="312">
        <f>IFERROR(Model!R61/Model!Q61-1,"N/A")</f>
        <v>6.8848970394942643E-2</v>
      </c>
      <c r="S176" s="312">
        <f>IFERROR(Model!S61/Model!R61-1,"N/A")</f>
        <v>-0.17216138666042047</v>
      </c>
      <c r="T176" s="313"/>
      <c r="U176" s="312">
        <f>IFERROR(Model!U61/Model!S61-1,"N/A")</f>
        <v>0.2013864327650845</v>
      </c>
      <c r="V176" s="314">
        <f>IFERROR(Model!V61/Model!U61-1,"N/A")</f>
        <v>1.8935504508010625E-2</v>
      </c>
      <c r="W176" s="314">
        <f>IFERROR(Model!W61/Model!V61-1,"N/A")</f>
        <v>8.9641742709791306E-2</v>
      </c>
      <c r="X176" s="314">
        <f>IFERROR(Model!X61/Model!W61-1,"N/A")</f>
        <v>5.873603180113518E-2</v>
      </c>
      <c r="Y176" s="313"/>
      <c r="Z176" s="314">
        <f>IFERROR(Model!Z61/Model!X61-1,"N/A")</f>
        <v>1.5589483251757574E-2</v>
      </c>
      <c r="AA176" s="314">
        <f>IFERROR(Model!AA61/Model!Z61-1,"N/A")</f>
        <v>6.2769458671409373E-2</v>
      </c>
      <c r="AB176" s="314">
        <f>IFERROR(Model!AB61/Model!AA61-1,"N/A")</f>
        <v>6.5463688512009899E-2</v>
      </c>
      <c r="AC176" s="314">
        <f>IFERROR(Model!AC61/Model!AB61-1,"N/A")</f>
        <v>4.7425837988435138E-2</v>
      </c>
      <c r="AD176" s="313"/>
      <c r="AE176" s="313">
        <f>IFERROR(Model!AE61/Model!AD61-1,"N/A")</f>
        <v>0.13062405144457245</v>
      </c>
      <c r="AF176" s="313">
        <f>IFERROR(Model!AF61/Model!AE61-1,"N/A")</f>
        <v>8.4988929500964705E-2</v>
      </c>
      <c r="AG176" s="313">
        <f>IFERROR(Model!AG61/Model!AF61-1,"N/A")</f>
        <v>7.7587066804516658E-2</v>
      </c>
    </row>
    <row r="177" spans="3:33" ht="14.25" hidden="1" customHeight="1" outlineLevel="1" x14ac:dyDescent="0.25">
      <c r="C177" s="9"/>
      <c r="D177" s="37"/>
      <c r="E177" s="37"/>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c r="AG177" s="132"/>
    </row>
    <row r="178" spans="3:33" ht="14.25" customHeight="1" collapsed="1" x14ac:dyDescent="0.25">
      <c r="C178" s="50" t="s">
        <v>256</v>
      </c>
      <c r="D178" s="12"/>
      <c r="E178" s="12"/>
      <c r="F178" s="248"/>
      <c r="G178" s="248"/>
      <c r="H178" s="248"/>
      <c r="I178" s="248"/>
      <c r="J178" s="248"/>
      <c r="K178" s="248"/>
      <c r="L178" s="248"/>
      <c r="M178" s="248"/>
      <c r="N178" s="248"/>
      <c r="O178" s="248"/>
      <c r="P178" s="248"/>
      <c r="Q178" s="248"/>
      <c r="R178" s="248"/>
      <c r="S178" s="248"/>
      <c r="T178" s="248"/>
      <c r="U178" s="248"/>
      <c r="V178" s="248"/>
      <c r="W178" s="248"/>
      <c r="X178" s="248"/>
      <c r="Y178" s="248"/>
      <c r="Z178" s="248"/>
      <c r="AA178" s="248"/>
      <c r="AB178" s="248"/>
      <c r="AC178" s="248"/>
      <c r="AD178" s="248"/>
      <c r="AE178" s="248"/>
      <c r="AF178" s="248"/>
      <c r="AG178" s="249"/>
    </row>
    <row r="179" spans="3:33" ht="14.25" customHeight="1" x14ac:dyDescent="0.25"/>
    <row r="180" spans="3:33" ht="14.25" customHeight="1" x14ac:dyDescent="0.25"/>
    <row r="181" spans="3:33" ht="14.25" customHeight="1" x14ac:dyDescent="0.25"/>
    <row r="182" spans="3:33" ht="14.25" customHeight="1" x14ac:dyDescent="0.25"/>
    <row r="183" spans="3:33" ht="14.25" customHeight="1" x14ac:dyDescent="0.25"/>
    <row r="184" spans="3:33" ht="14.25" customHeight="1" x14ac:dyDescent="0.25"/>
    <row r="185" spans="3:33" ht="14.25" customHeight="1" x14ac:dyDescent="0.25"/>
    <row r="186" spans="3:33" ht="14.25" customHeight="1" x14ac:dyDescent="0.25"/>
    <row r="187" spans="3:33" ht="14.25" customHeight="1" x14ac:dyDescent="0.25"/>
    <row r="188" spans="3:33" ht="14.25" customHeight="1" x14ac:dyDescent="0.25"/>
    <row r="189" spans="3:33" ht="14.25" customHeight="1" x14ac:dyDescent="0.25"/>
    <row r="190" spans="3:33" ht="14.25" customHeight="1" x14ac:dyDescent="0.25"/>
    <row r="191" spans="3:33" ht="14.25" customHeight="1" x14ac:dyDescent="0.25"/>
    <row r="192" spans="3:33"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sheetData>
  <conditionalFormatting sqref="F10:I11">
    <cfRule type="expression" dxfId="144" priority="3">
      <formula>$C$5="Report"</formula>
    </cfRule>
  </conditionalFormatting>
  <conditionalFormatting sqref="K10:N11">
    <cfRule type="expression" dxfId="143" priority="2">
      <formula>$C$5="Report"</formula>
    </cfRule>
  </conditionalFormatting>
  <conditionalFormatting sqref="P11:S11">
    <cfRule type="expression" dxfId="142" priority="4">
      <formula>$C$5="Report"</formula>
    </cfRule>
  </conditionalFormatting>
  <conditionalFormatting sqref="U11">
    <cfRule type="expression" dxfId="141" priority="1">
      <formula>$C$5="Report"</formula>
    </cfRule>
  </conditionalFormatting>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355F"/>
  </sheetPr>
  <dimension ref="A1:AI1002"/>
  <sheetViews>
    <sheetView showGridLines="0" zoomScale="80" zoomScaleNormal="80" workbookViewId="0">
      <pane xSplit="4" ySplit="2" topLeftCell="E3" activePane="bottomRight" state="frozen"/>
      <selection pane="topRight" activeCell="E1" sqref="E1"/>
      <selection pane="bottomLeft" activeCell="A3" sqref="A3"/>
      <selection pane="bottomRight"/>
    </sheetView>
  </sheetViews>
  <sheetFormatPr defaultColWidth="14.42578125" defaultRowHeight="15" customHeight="1" outlineLevelRow="1" outlineLevelCol="1" x14ac:dyDescent="0.25"/>
  <cols>
    <col min="1" max="2" width="1.7109375" customWidth="1"/>
    <col min="3" max="3" width="51.28515625" customWidth="1"/>
    <col min="4" max="5" width="1.7109375" customWidth="1"/>
    <col min="6" max="9" width="12.7109375" hidden="1" customWidth="1" outlineLevel="1"/>
    <col min="10" max="10" width="12.7109375" customWidth="1" collapsed="1"/>
    <col min="11" max="14" width="12.7109375" hidden="1" customWidth="1" outlineLevel="1"/>
    <col min="15" max="15" width="12.7109375" customWidth="1" collapsed="1"/>
    <col min="16" max="19" width="12.7109375" hidden="1" customWidth="1" outlineLevel="1"/>
    <col min="20" max="20" width="12.7109375" customWidth="1" collapsed="1"/>
    <col min="21" max="21" width="10.28515625" hidden="1" customWidth="1" outlineLevel="1"/>
    <col min="22" max="22" width="11.42578125" hidden="1" customWidth="1" outlineLevel="1"/>
    <col min="23" max="23" width="9.5703125" hidden="1" customWidth="1" outlineLevel="1"/>
    <col min="24" max="24" width="11.42578125" hidden="1" customWidth="1" outlineLevel="1"/>
    <col min="25" max="25" width="12.7109375" customWidth="1" collapsed="1"/>
    <col min="26" max="26" width="10.28515625" hidden="1" customWidth="1" outlineLevel="1"/>
    <col min="27" max="27" width="11.42578125" hidden="1" customWidth="1" outlineLevel="1"/>
    <col min="28" max="28" width="9.5703125" hidden="1" customWidth="1" outlineLevel="1"/>
    <col min="29" max="29" width="11.42578125" hidden="1" customWidth="1" outlineLevel="1"/>
    <col min="30" max="30" width="12.7109375" customWidth="1" collapsed="1"/>
    <col min="31" max="33" width="12.7109375" customWidth="1"/>
    <col min="34" max="35" width="1.7109375" customWidth="1"/>
  </cols>
  <sheetData>
    <row r="1" spans="1:35" ht="12.75" customHeight="1" x14ac:dyDescent="0.35">
      <c r="A1" s="4"/>
      <c r="B1" s="4"/>
      <c r="C1" s="5" t="str">
        <f ca="1">Company_Name&amp;" - "&amp;MID(CELL("filename",A1),FIND("]",CELL("filename",A1))+1,255)&amp;": "&amp;Case_Scenario&amp;" Case"</f>
        <v>American Express Company - Drivers: Base Case</v>
      </c>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row>
    <row r="2" spans="1:35" ht="12.75" customHeight="1" x14ac:dyDescent="0.25">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spans="1:35" ht="12.75" customHeight="1" x14ac:dyDescent="0.25">
      <c r="A3" s="3"/>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row>
    <row r="4" spans="1:35" ht="12.75" customHeight="1" x14ac:dyDescent="0.25">
      <c r="A4" s="205" t="s">
        <v>0</v>
      </c>
      <c r="B4" s="9"/>
      <c r="C4" s="285" t="s">
        <v>444</v>
      </c>
      <c r="D4" s="308"/>
      <c r="E4" s="308"/>
      <c r="F4" s="286" t="str">
        <f>Model!F$25</f>
        <v>1Q23</v>
      </c>
      <c r="G4" s="141" t="str">
        <f>Model!G$25</f>
        <v>2Q23</v>
      </c>
      <c r="H4" s="141" t="str">
        <f>Model!H$25</f>
        <v>3Q23</v>
      </c>
      <c r="I4" s="141" t="str">
        <f>Model!I$25</f>
        <v>4Q23</v>
      </c>
      <c r="J4" s="141">
        <f>Model!J$25</f>
        <v>2023</v>
      </c>
      <c r="K4" s="141" t="str">
        <f>Model!K$25</f>
        <v>1Q24</v>
      </c>
      <c r="L4" s="141" t="str">
        <f>Model!L$25</f>
        <v>2Q24</v>
      </c>
      <c r="M4" s="141" t="str">
        <f>Model!M$25</f>
        <v>3Q24</v>
      </c>
      <c r="N4" s="141" t="str">
        <f>Model!N$25</f>
        <v>4Q24</v>
      </c>
      <c r="O4" s="141">
        <f>Model!O$25</f>
        <v>2024</v>
      </c>
      <c r="P4" s="141" t="str">
        <f>Model!P$25</f>
        <v>1Q25</v>
      </c>
      <c r="Q4" s="141" t="str">
        <f>Model!Q$25</f>
        <v>2Q25</v>
      </c>
      <c r="R4" s="141" t="str">
        <f>Model!R$25</f>
        <v>3Q25</v>
      </c>
      <c r="S4" s="141" t="str">
        <f>Model!S$25</f>
        <v>4Q25</v>
      </c>
      <c r="T4" s="141">
        <f>Model!T$25</f>
        <v>2025</v>
      </c>
      <c r="U4" s="141" t="str">
        <f>Model!U$25</f>
        <v>1Q26</v>
      </c>
      <c r="V4" s="141" t="str">
        <f>Model!V$25</f>
        <v>2Q26e</v>
      </c>
      <c r="W4" s="141" t="str">
        <f>Model!W$25</f>
        <v>3Q26e</v>
      </c>
      <c r="X4" s="141" t="str">
        <f>Model!X$25</f>
        <v>4Q26e</v>
      </c>
      <c r="Y4" s="141" t="str">
        <f>Model!Y$25</f>
        <v>2026e</v>
      </c>
      <c r="Z4" s="141" t="str">
        <f>Model!Z$25</f>
        <v>1Q27e</v>
      </c>
      <c r="AA4" s="141" t="str">
        <f>Model!AA$25</f>
        <v>2Q27e</v>
      </c>
      <c r="AB4" s="141" t="str">
        <f>Model!AB$25</f>
        <v>3Q27e</v>
      </c>
      <c r="AC4" s="141" t="str">
        <f>Model!AC$25</f>
        <v>4Q27e</v>
      </c>
      <c r="AD4" s="141" t="str">
        <f>Model!AD$25</f>
        <v>2027e</v>
      </c>
      <c r="AE4" s="141" t="str">
        <f>Model!AE$25</f>
        <v>2028e</v>
      </c>
      <c r="AF4" s="141" t="str">
        <f>Model!AF$25</f>
        <v>2029e</v>
      </c>
      <c r="AG4" s="287" t="str">
        <f>Model!AG$25</f>
        <v>2030e</v>
      </c>
      <c r="AH4" s="205" t="s">
        <v>0</v>
      </c>
      <c r="AI4" s="205"/>
    </row>
    <row r="5" spans="1:35" ht="12.75" customHeight="1" x14ac:dyDescent="0.25">
      <c r="A5" s="205"/>
      <c r="B5" s="9"/>
      <c r="C5" s="833" t="s">
        <v>850</v>
      </c>
      <c r="D5" s="441"/>
      <c r="E5" s="441"/>
      <c r="F5" s="442"/>
      <c r="G5" s="443"/>
      <c r="H5" s="443"/>
      <c r="I5" s="443"/>
      <c r="J5" s="443"/>
      <c r="K5" s="443"/>
      <c r="L5" s="443"/>
      <c r="M5" s="443"/>
      <c r="N5" s="443"/>
      <c r="O5" s="443"/>
      <c r="P5" s="443"/>
      <c r="Q5" s="443"/>
      <c r="R5" s="443"/>
      <c r="S5" s="443"/>
      <c r="T5" s="443"/>
      <c r="U5" s="443"/>
      <c r="V5" s="443"/>
      <c r="W5" s="443"/>
      <c r="X5" s="443"/>
      <c r="Y5" s="443"/>
      <c r="Z5" s="443"/>
      <c r="AA5" s="443"/>
      <c r="AB5" s="443"/>
      <c r="AC5" s="443"/>
      <c r="AD5" s="443"/>
      <c r="AE5" s="443"/>
      <c r="AF5" s="443"/>
      <c r="AG5" s="444"/>
      <c r="AH5" s="9"/>
      <c r="AI5" s="9"/>
    </row>
    <row r="6" spans="1:35" ht="12.75" customHeight="1" x14ac:dyDescent="0.25">
      <c r="A6" s="9"/>
      <c r="B6" s="9"/>
      <c r="C6" s="9"/>
      <c r="D6" s="9"/>
      <c r="E6" s="9"/>
      <c r="F6" s="332"/>
      <c r="G6" s="332"/>
      <c r="H6" s="332"/>
      <c r="I6" s="332"/>
      <c r="J6" s="333"/>
      <c r="K6" s="332"/>
      <c r="L6" s="332"/>
      <c r="M6" s="332"/>
      <c r="N6" s="332"/>
      <c r="O6" s="333"/>
      <c r="P6" s="332"/>
      <c r="Q6" s="332"/>
      <c r="R6" s="332"/>
      <c r="S6" s="332"/>
      <c r="T6" s="333"/>
      <c r="U6" s="334"/>
      <c r="V6" s="334"/>
      <c r="W6" s="334"/>
      <c r="X6" s="334"/>
      <c r="Y6" s="333"/>
      <c r="Z6" s="334"/>
      <c r="AA6" s="334"/>
      <c r="AB6" s="334"/>
      <c r="AC6" s="334"/>
      <c r="AD6" s="333"/>
      <c r="AE6" s="333"/>
      <c r="AF6" s="333"/>
      <c r="AG6" s="333"/>
      <c r="AH6" s="9"/>
      <c r="AI6" s="9"/>
    </row>
    <row r="7" spans="1:35" ht="12.75" customHeight="1" x14ac:dyDescent="0.25">
      <c r="A7" s="9"/>
      <c r="B7" s="9"/>
      <c r="C7" s="9" t="str">
        <f>IF($C$5="Operating Margins",'Segment Analysis'!C14,"Total Company")</f>
        <v>Total Company</v>
      </c>
      <c r="D7" s="9"/>
      <c r="E7" s="9"/>
      <c r="F7" s="312">
        <f>('Revenue Build'!F37+Model!F29)/'Revenue Build'!F37</f>
        <v>0.67549818840579712</v>
      </c>
      <c r="G7" s="312">
        <f>('Revenue Build'!G37+Model!G29)/'Revenue Build'!G37</f>
        <v>0.65026178010471203</v>
      </c>
      <c r="H7" s="312">
        <f>('Revenue Build'!H37+Model!H29)/'Revenue Build'!H37</f>
        <v>0.65687022900763359</v>
      </c>
      <c r="I7" s="312">
        <f>('Revenue Build'!I37+Model!I29)/'Revenue Build'!I37</f>
        <v>0.64913544668587897</v>
      </c>
      <c r="J7" s="313">
        <f>I7</f>
        <v>0.64913544668587897</v>
      </c>
      <c r="K7" s="312">
        <f>('Revenue Build'!K37+Model!K29)/'Revenue Build'!K37</f>
        <v>0.65264069264069269</v>
      </c>
      <c r="L7" s="312">
        <f>('Revenue Build'!L37+Model!L29)/'Revenue Build'!L37</f>
        <v>0.64376941663790133</v>
      </c>
      <c r="M7" s="312">
        <f>('Revenue Build'!M37+Model!M29)/'Revenue Build'!M37</f>
        <v>0.65148804683688399</v>
      </c>
      <c r="N7" s="312">
        <f>('Revenue Build'!N37+Model!N29)/'Revenue Build'!N37</f>
        <v>0.66447260161263777</v>
      </c>
      <c r="O7" s="313">
        <f>N7</f>
        <v>0.66447260161263777</v>
      </c>
      <c r="P7" s="312">
        <f>('Revenue Build'!P37+Model!P29)/'Revenue Build'!P37</f>
        <v>0.67954360228198862</v>
      </c>
      <c r="Q7" s="312">
        <f>('Revenue Build'!Q37+Model!Q29)/'Revenue Build'!Q37</f>
        <v>0.66842273307790545</v>
      </c>
      <c r="R7" s="312">
        <f>('Revenue Build'!R37+Model!R29)/'Revenue Build'!R37</f>
        <v>0.67795073296055619</v>
      </c>
      <c r="S7" s="312">
        <f>('Revenue Build'!S37+Model!S29)/'Revenue Build'!S37</f>
        <v>0.68702522029778179</v>
      </c>
      <c r="T7" s="313">
        <f>S7</f>
        <v>0.68702522029778179</v>
      </c>
      <c r="U7" s="314">
        <f>IF(Case_Scenario="Bull",U8,IF(Case_Scenario="Base",U9,IF(Case_Scenario="bear",U10,"N/A")))</f>
        <v>0.68500000000000005</v>
      </c>
      <c r="V7" s="314">
        <f>IF(Case_Scenario="Bull",V8,IF(Case_Scenario="Base",V9,IF(Case_Scenario="bear",V10,"N/A")))</f>
        <v>0.69499999999999995</v>
      </c>
      <c r="W7" s="314">
        <f>IF(Case_Scenario="Bull",W8,IF(Case_Scenario="Base",W9,IF(Case_Scenario="bear",W10,"N/A")))</f>
        <v>0.72</v>
      </c>
      <c r="X7" s="314">
        <f>IF(Case_Scenario="Bull",X8,IF(Case_Scenario="Base",X9,IF(Case_Scenario="bear",X10,"N/A")))</f>
        <v>0.72</v>
      </c>
      <c r="Y7" s="313">
        <f>X7</f>
        <v>0.72</v>
      </c>
      <c r="Z7" s="314">
        <f>IF(Case_Scenario="Bull",Z8,IF(Case_Scenario="Base",Z9,IF(Case_Scenario="bear",Z10,"N/A")))</f>
        <v>0.75</v>
      </c>
      <c r="AA7" s="314">
        <f>IF(Case_Scenario="Bull",AA8,IF(Case_Scenario="Base",AA9,IF(Case_Scenario="bear",AA10,"N/A")))</f>
        <v>0.753</v>
      </c>
      <c r="AB7" s="314">
        <f>IF(Case_Scenario="Bull",AB8,IF(Case_Scenario="Base",AB9,IF(Case_Scenario="bear",AB10,"N/A")))</f>
        <v>0.755</v>
      </c>
      <c r="AC7" s="314">
        <f>IF(Case_Scenario="Bull",AC8,IF(Case_Scenario="Base",AC9,IF(Case_Scenario="bear",AC10,"N/A")))</f>
        <v>0.76500000000000001</v>
      </c>
      <c r="AD7" s="313">
        <f>AC7</f>
        <v>0.76500000000000001</v>
      </c>
      <c r="AE7" s="313">
        <f>IF(Case_Scenario="Bull",AE8,IF(Case_Scenario="Base",AE9,IF(Case_Scenario="bear",AE10,"N/A")))</f>
        <v>0.78</v>
      </c>
      <c r="AF7" s="313">
        <f>IF(Case_Scenario="Bull",AF8,IF(Case_Scenario="Base",AF9,IF(Case_Scenario="bear",AF10,"N/A")))</f>
        <v>0.79</v>
      </c>
      <c r="AG7" s="313">
        <f>IF(Case_Scenario="Bull",AG8,IF(Case_Scenario="Base",AG9,IF(Case_Scenario="bear",AG10,"N/A")))</f>
        <v>0.8</v>
      </c>
      <c r="AH7" s="9"/>
      <c r="AI7" s="9"/>
    </row>
    <row r="8" spans="1:35" ht="12.75" customHeight="1" x14ac:dyDescent="0.25">
      <c r="A8" s="9"/>
      <c r="B8" s="9"/>
      <c r="C8" s="103" t="str">
        <f>IF(C7="","","Bull Case")</f>
        <v>Bull Case</v>
      </c>
      <c r="D8" s="9"/>
      <c r="E8" s="9"/>
      <c r="F8" s="312"/>
      <c r="G8" s="312"/>
      <c r="H8" s="312"/>
      <c r="I8" s="312"/>
      <c r="J8" s="313"/>
      <c r="K8" s="312"/>
      <c r="L8" s="312"/>
      <c r="M8" s="312"/>
      <c r="N8" s="312"/>
      <c r="O8" s="313"/>
      <c r="P8" s="312"/>
      <c r="Q8" s="312"/>
      <c r="R8" s="312"/>
      <c r="S8" s="312"/>
      <c r="T8" s="313"/>
      <c r="U8" s="255">
        <f>U9+0.02</f>
        <v>0.70500000000000007</v>
      </c>
      <c r="V8" s="255">
        <f t="shared" ref="V8:X8" si="0">V9+0.02</f>
        <v>0.71499999999999997</v>
      </c>
      <c r="W8" s="255">
        <f t="shared" si="0"/>
        <v>0.74</v>
      </c>
      <c r="X8" s="255">
        <f t="shared" si="0"/>
        <v>0.74</v>
      </c>
      <c r="Y8" s="313"/>
      <c r="Z8" s="255">
        <f t="shared" ref="Z8:AC8" si="1">Z9+0.02</f>
        <v>0.77</v>
      </c>
      <c r="AA8" s="255">
        <f t="shared" si="1"/>
        <v>0.77300000000000002</v>
      </c>
      <c r="AB8" s="255">
        <f t="shared" si="1"/>
        <v>0.77500000000000002</v>
      </c>
      <c r="AC8" s="255">
        <f t="shared" si="1"/>
        <v>0.78500000000000003</v>
      </c>
      <c r="AD8" s="313"/>
      <c r="AE8" s="256">
        <f>AE9+0.02</f>
        <v>0.8</v>
      </c>
      <c r="AF8" s="256">
        <f t="shared" ref="AF8:AG8" si="2">AF9+0.02</f>
        <v>0.81</v>
      </c>
      <c r="AG8" s="256">
        <f t="shared" si="2"/>
        <v>0.82000000000000006</v>
      </c>
      <c r="AH8" s="9"/>
      <c r="AI8" s="9"/>
    </row>
    <row r="9" spans="1:35" ht="12.75" customHeight="1" x14ac:dyDescent="0.25">
      <c r="A9" s="9"/>
      <c r="B9" s="9"/>
      <c r="C9" s="103" t="str">
        <f>IF(C7="","","Base Case")</f>
        <v>Base Case</v>
      </c>
      <c r="D9" s="9"/>
      <c r="E9" s="9"/>
      <c r="F9" s="312"/>
      <c r="G9" s="312"/>
      <c r="H9" s="312"/>
      <c r="I9" s="312"/>
      <c r="J9" s="313"/>
      <c r="K9" s="312"/>
      <c r="L9" s="312"/>
      <c r="M9" s="312"/>
      <c r="N9" s="312"/>
      <c r="O9" s="313"/>
      <c r="P9" s="312"/>
      <c r="Q9" s="312"/>
      <c r="R9" s="312"/>
      <c r="S9" s="312"/>
      <c r="T9" s="313"/>
      <c r="U9" s="255">
        <v>0.68500000000000005</v>
      </c>
      <c r="V9" s="255">
        <v>0.69499999999999995</v>
      </c>
      <c r="W9" s="255">
        <v>0.72</v>
      </c>
      <c r="X9" s="255">
        <v>0.72</v>
      </c>
      <c r="Y9" s="313"/>
      <c r="Z9" s="255">
        <v>0.75</v>
      </c>
      <c r="AA9" s="255">
        <v>0.753</v>
      </c>
      <c r="AB9" s="255">
        <v>0.755</v>
      </c>
      <c r="AC9" s="255">
        <v>0.76500000000000001</v>
      </c>
      <c r="AD9" s="313"/>
      <c r="AE9" s="256">
        <v>0.78</v>
      </c>
      <c r="AF9" s="256">
        <v>0.79</v>
      </c>
      <c r="AG9" s="256">
        <v>0.8</v>
      </c>
      <c r="AH9" s="9"/>
      <c r="AI9" s="9"/>
    </row>
    <row r="10" spans="1:35" ht="12.75" customHeight="1" x14ac:dyDescent="0.25">
      <c r="A10" s="9"/>
      <c r="B10" s="9"/>
      <c r="C10" s="103" t="str">
        <f>IF(C7="","","Bear Case")</f>
        <v>Bear Case</v>
      </c>
      <c r="D10" s="9"/>
      <c r="E10" s="9"/>
      <c r="F10" s="312"/>
      <c r="G10" s="312"/>
      <c r="H10" s="312"/>
      <c r="I10" s="312"/>
      <c r="J10" s="313"/>
      <c r="K10" s="312"/>
      <c r="L10" s="312"/>
      <c r="M10" s="312"/>
      <c r="N10" s="312"/>
      <c r="O10" s="313"/>
      <c r="P10" s="312"/>
      <c r="Q10" s="312"/>
      <c r="R10" s="312"/>
      <c r="S10" s="312"/>
      <c r="T10" s="313"/>
      <c r="U10" s="255">
        <f>U9-0.02</f>
        <v>0.66500000000000004</v>
      </c>
      <c r="V10" s="255">
        <f t="shared" ref="V10:X10" si="3">V9-0.02</f>
        <v>0.67499999999999993</v>
      </c>
      <c r="W10" s="255">
        <f t="shared" si="3"/>
        <v>0.7</v>
      </c>
      <c r="X10" s="255">
        <f t="shared" si="3"/>
        <v>0.7</v>
      </c>
      <c r="Y10" s="313"/>
      <c r="Z10" s="255">
        <f t="shared" ref="Z10:AC10" si="4">Z9-0.02</f>
        <v>0.73</v>
      </c>
      <c r="AA10" s="255">
        <f t="shared" si="4"/>
        <v>0.73299999999999998</v>
      </c>
      <c r="AB10" s="255">
        <f t="shared" si="4"/>
        <v>0.73499999999999999</v>
      </c>
      <c r="AC10" s="255">
        <f t="shared" si="4"/>
        <v>0.745</v>
      </c>
      <c r="AD10" s="313"/>
      <c r="AE10" s="256">
        <f t="shared" ref="AE10" si="5">AE9-0.02</f>
        <v>0.76</v>
      </c>
      <c r="AF10" s="256">
        <f t="shared" ref="AF10" si="6">AF9-0.02</f>
        <v>0.77</v>
      </c>
      <c r="AG10" s="256">
        <f t="shared" ref="AG10" si="7">AG9-0.02</f>
        <v>0.78</v>
      </c>
      <c r="AH10" s="9"/>
      <c r="AI10" s="9"/>
    </row>
    <row r="11" spans="1:35" ht="12.75" customHeight="1" x14ac:dyDescent="0.25">
      <c r="A11" s="9"/>
      <c r="B11" s="9"/>
      <c r="C11" s="103"/>
      <c r="D11" s="9"/>
      <c r="E11" s="9"/>
      <c r="F11" s="312"/>
      <c r="G11" s="312"/>
      <c r="H11" s="312"/>
      <c r="I11" s="312"/>
      <c r="J11" s="313"/>
      <c r="K11" s="312"/>
      <c r="L11" s="312"/>
      <c r="M11" s="312"/>
      <c r="N11" s="312"/>
      <c r="O11" s="313"/>
      <c r="P11" s="312"/>
      <c r="Q11" s="312"/>
      <c r="R11" s="312"/>
      <c r="S11" s="312"/>
      <c r="T11" s="313"/>
      <c r="U11" s="255"/>
      <c r="V11" s="255"/>
      <c r="W11" s="255"/>
      <c r="X11" s="255"/>
      <c r="Y11" s="313"/>
      <c r="Z11" s="255"/>
      <c r="AA11" s="255"/>
      <c r="AB11" s="255"/>
      <c r="AC11" s="255"/>
      <c r="AD11" s="313"/>
      <c r="AE11" s="256"/>
      <c r="AF11" s="256"/>
      <c r="AG11" s="256"/>
      <c r="AH11" s="9"/>
      <c r="AI11" s="9"/>
    </row>
    <row r="12" spans="1:35" ht="12.75" hidden="1" customHeight="1" outlineLevel="1" x14ac:dyDescent="0.25">
      <c r="A12" s="205" t="s">
        <v>0</v>
      </c>
      <c r="B12" s="9"/>
      <c r="C12" s="9" t="str">
        <f>IF($C$5="Operating Margins",'Segment Analysis'!C15,"")</f>
        <v/>
      </c>
      <c r="D12" s="9"/>
      <c r="E12" s="9"/>
      <c r="F12" s="312">
        <f>'Segment Analysis'!F135</f>
        <v>0.36777583187390545</v>
      </c>
      <c r="G12" s="312">
        <f>'Segment Analysis'!G135</f>
        <v>0.39854667411961991</v>
      </c>
      <c r="H12" s="312">
        <f>'Segment Analysis'!H135</f>
        <v>0.46153846153846156</v>
      </c>
      <c r="I12" s="312">
        <f>'Segment Analysis'!I135</f>
        <v>0.34923964341898267</v>
      </c>
      <c r="J12" s="313">
        <f>'Segment Analysis'!J135</f>
        <v>0.39434872501722951</v>
      </c>
      <c r="K12" s="312">
        <f>'Segment Analysis'!K135</f>
        <v>0.44478216818642352</v>
      </c>
      <c r="L12" s="312">
        <f>'Segment Analysis'!L135</f>
        <v>0.43932038834951459</v>
      </c>
      <c r="M12" s="312">
        <f>'Segment Analysis'!M135</f>
        <v>0.4184331797235023</v>
      </c>
      <c r="N12" s="312">
        <f>'Segment Analysis'!N135</f>
        <v>0.36258351893095769</v>
      </c>
      <c r="O12" s="313">
        <f>'Segment Analysis'!O135</f>
        <v>0.41484199313528231</v>
      </c>
      <c r="P12" s="312">
        <f>'Segment Analysis'!P135</f>
        <v>0.35833690527218176</v>
      </c>
      <c r="Q12" s="312">
        <f>'Segment Analysis'!Q135</f>
        <v>0.36491935483870969</v>
      </c>
      <c r="R12" s="312">
        <f>'Segment Analysis'!R135</f>
        <v>0.42728341826734612</v>
      </c>
      <c r="S12" s="312">
        <f>'Segment Analysis'!S135</f>
        <v>0.31837200456447318</v>
      </c>
      <c r="T12" s="313">
        <f>'Segment Analysis'!T135</f>
        <v>0.36705693985790055</v>
      </c>
      <c r="U12" s="314">
        <f>IF(Case_Scenario="Bull",U13,IF(Case_Scenario="Base",U14,IF(Case_Scenario="bear",U15,"N/A")))</f>
        <v>0</v>
      </c>
      <c r="V12" s="314">
        <f>IF(Case_Scenario="Bull",V13,IF(Case_Scenario="Base",V14,IF(Case_Scenario="bear",V15,"N/A")))</f>
        <v>0</v>
      </c>
      <c r="W12" s="314">
        <f>IF(Case_Scenario="Bull",W13,IF(Case_Scenario="Base",W14,IF(Case_Scenario="bear",W15,"N/A")))</f>
        <v>0</v>
      </c>
      <c r="X12" s="314">
        <f>IF(Case_Scenario="Bull",X13,IF(Case_Scenario="Base",X14,IF(Case_Scenario="bear",X15,"N/A")))</f>
        <v>0</v>
      </c>
      <c r="Y12" s="313">
        <f>'Segment Analysis'!Y135</f>
        <v>9.8387084187591109E-2</v>
      </c>
      <c r="Z12" s="314">
        <f>IF(Case_Scenario="Bull",Z13,IF(Case_Scenario="Base",Z14,IF(Case_Scenario="bear",Z15,"N/A")))</f>
        <v>0</v>
      </c>
      <c r="AA12" s="314">
        <f>IF(Case_Scenario="Bull",AA13,IF(Case_Scenario="Base",AA14,IF(Case_Scenario="bear",AA15,"N/A")))</f>
        <v>0</v>
      </c>
      <c r="AB12" s="314">
        <f>IF(Case_Scenario="Bull",AB13,IF(Case_Scenario="Base",AB14,IF(Case_Scenario="bear",AB15,"N/A")))</f>
        <v>0</v>
      </c>
      <c r="AC12" s="314">
        <f>IF(Case_Scenario="Bull",AC13,IF(Case_Scenario="Base",AC14,IF(Case_Scenario="bear",AC15,"N/A")))</f>
        <v>0</v>
      </c>
      <c r="AD12" s="313">
        <f>'Segment Analysis'!AD135</f>
        <v>0</v>
      </c>
      <c r="AE12" s="313">
        <f>IF(Case_Scenario="Bull",AE13,IF(Case_Scenario="Base",AE14,IF(Case_Scenario="bear",AE15,"N/A")))</f>
        <v>0</v>
      </c>
      <c r="AF12" s="313">
        <f>IF(Case_Scenario="Bull",AF13,IF(Case_Scenario="Base",AF14,IF(Case_Scenario="bear",AF15,"N/A")))</f>
        <v>0</v>
      </c>
      <c r="AG12" s="313">
        <f>IF(Case_Scenario="Bull",AG13,IF(Case_Scenario="Base",AG14,IF(Case_Scenario="bear",AG15,"N/A")))</f>
        <v>0</v>
      </c>
      <c r="AH12" s="205" t="s">
        <v>0</v>
      </c>
      <c r="AI12" s="205"/>
    </row>
    <row r="13" spans="1:35" ht="12.75" hidden="1" customHeight="1" outlineLevel="1" x14ac:dyDescent="0.25">
      <c r="A13" s="9"/>
      <c r="B13" s="9"/>
      <c r="C13" s="103" t="str">
        <f>IF(C12="","","Bull Case")</f>
        <v/>
      </c>
      <c r="D13" s="9"/>
      <c r="E13" s="9"/>
      <c r="F13" s="312"/>
      <c r="G13" s="312"/>
      <c r="H13" s="312"/>
      <c r="I13" s="312"/>
      <c r="J13" s="313"/>
      <c r="K13" s="312"/>
      <c r="L13" s="312"/>
      <c r="M13" s="312"/>
      <c r="N13" s="312"/>
      <c r="O13" s="313"/>
      <c r="P13" s="312"/>
      <c r="Q13" s="312"/>
      <c r="R13" s="312"/>
      <c r="S13" s="312"/>
      <c r="T13" s="313"/>
      <c r="U13" s="255">
        <v>0</v>
      </c>
      <c r="V13" s="255">
        <v>0</v>
      </c>
      <c r="W13" s="255">
        <v>0</v>
      </c>
      <c r="X13" s="255">
        <v>0</v>
      </c>
      <c r="Y13" s="313"/>
      <c r="Z13" s="255">
        <v>0</v>
      </c>
      <c r="AA13" s="255">
        <v>0</v>
      </c>
      <c r="AB13" s="255">
        <v>0</v>
      </c>
      <c r="AC13" s="255">
        <v>0</v>
      </c>
      <c r="AD13" s="313"/>
      <c r="AE13" s="256">
        <v>0</v>
      </c>
      <c r="AF13" s="256">
        <v>0</v>
      </c>
      <c r="AG13" s="256">
        <v>0</v>
      </c>
      <c r="AH13" s="9"/>
      <c r="AI13" s="9"/>
    </row>
    <row r="14" spans="1:35" ht="12.75" hidden="1" customHeight="1" outlineLevel="1" x14ac:dyDescent="0.25">
      <c r="A14" s="9"/>
      <c r="B14" s="9"/>
      <c r="C14" s="103" t="str">
        <f>IF(C12="","","Base Case")</f>
        <v/>
      </c>
      <c r="D14" s="9"/>
      <c r="E14" s="9"/>
      <c r="F14" s="312"/>
      <c r="G14" s="312"/>
      <c r="H14" s="312"/>
      <c r="I14" s="312"/>
      <c r="J14" s="313"/>
      <c r="K14" s="312"/>
      <c r="L14" s="312"/>
      <c r="M14" s="312"/>
      <c r="N14" s="312"/>
      <c r="O14" s="313"/>
      <c r="P14" s="312"/>
      <c r="Q14" s="312"/>
      <c r="R14" s="312"/>
      <c r="S14" s="312"/>
      <c r="T14" s="313"/>
      <c r="U14" s="255">
        <v>0</v>
      </c>
      <c r="V14" s="255">
        <v>0</v>
      </c>
      <c r="W14" s="255">
        <v>0</v>
      </c>
      <c r="X14" s="255">
        <v>0</v>
      </c>
      <c r="Y14" s="313"/>
      <c r="Z14" s="255">
        <v>0</v>
      </c>
      <c r="AA14" s="255">
        <v>0</v>
      </c>
      <c r="AB14" s="255">
        <v>0</v>
      </c>
      <c r="AC14" s="255">
        <v>0</v>
      </c>
      <c r="AD14" s="313"/>
      <c r="AE14" s="256">
        <v>0</v>
      </c>
      <c r="AF14" s="256">
        <v>0</v>
      </c>
      <c r="AG14" s="256">
        <v>0</v>
      </c>
      <c r="AH14" s="9"/>
      <c r="AI14" s="9"/>
    </row>
    <row r="15" spans="1:35" ht="12.75" hidden="1" customHeight="1" outlineLevel="1" x14ac:dyDescent="0.25">
      <c r="A15" s="9"/>
      <c r="B15" s="9"/>
      <c r="C15" s="103" t="str">
        <f>IF(C12="","","Bear Case")</f>
        <v/>
      </c>
      <c r="D15" s="9"/>
      <c r="E15" s="9"/>
      <c r="F15" s="312"/>
      <c r="G15" s="312"/>
      <c r="H15" s="312"/>
      <c r="I15" s="312"/>
      <c r="J15" s="313"/>
      <c r="K15" s="312"/>
      <c r="L15" s="312"/>
      <c r="M15" s="312"/>
      <c r="N15" s="312"/>
      <c r="O15" s="313"/>
      <c r="P15" s="312"/>
      <c r="Q15" s="312"/>
      <c r="R15" s="312"/>
      <c r="S15" s="312"/>
      <c r="T15" s="313"/>
      <c r="U15" s="255">
        <v>0</v>
      </c>
      <c r="V15" s="255">
        <v>0</v>
      </c>
      <c r="W15" s="255">
        <v>0</v>
      </c>
      <c r="X15" s="255">
        <v>0</v>
      </c>
      <c r="Y15" s="313"/>
      <c r="Z15" s="255">
        <v>0</v>
      </c>
      <c r="AA15" s="255">
        <v>0</v>
      </c>
      <c r="AB15" s="255">
        <v>0</v>
      </c>
      <c r="AC15" s="255">
        <v>0</v>
      </c>
      <c r="AD15" s="313"/>
      <c r="AE15" s="256">
        <v>0</v>
      </c>
      <c r="AF15" s="256">
        <v>0</v>
      </c>
      <c r="AG15" s="256">
        <v>0</v>
      </c>
      <c r="AH15" s="9"/>
      <c r="AI15" s="9"/>
    </row>
    <row r="16" spans="1:35" ht="12.75" hidden="1" customHeight="1" outlineLevel="1" x14ac:dyDescent="0.25">
      <c r="A16" s="9"/>
      <c r="B16" s="9"/>
      <c r="C16" s="103"/>
      <c r="D16" s="9"/>
      <c r="E16" s="9"/>
      <c r="F16" s="312"/>
      <c r="G16" s="312"/>
      <c r="H16" s="312"/>
      <c r="I16" s="312"/>
      <c r="J16" s="313"/>
      <c r="K16" s="312"/>
      <c r="L16" s="312"/>
      <c r="M16" s="312"/>
      <c r="N16" s="312"/>
      <c r="O16" s="313"/>
      <c r="P16" s="312"/>
      <c r="Q16" s="312"/>
      <c r="R16" s="312"/>
      <c r="S16" s="312"/>
      <c r="T16" s="313"/>
      <c r="U16" s="255"/>
      <c r="V16" s="255"/>
      <c r="W16" s="255"/>
      <c r="X16" s="255"/>
      <c r="Y16" s="313"/>
      <c r="Z16" s="255"/>
      <c r="AA16" s="255"/>
      <c r="AB16" s="255"/>
      <c r="AC16" s="255"/>
      <c r="AD16" s="313"/>
      <c r="AE16" s="256"/>
      <c r="AF16" s="256"/>
      <c r="AG16" s="256"/>
      <c r="AH16" s="9"/>
      <c r="AI16" s="9"/>
    </row>
    <row r="17" spans="1:35" ht="12.75" hidden="1" customHeight="1" outlineLevel="1" x14ac:dyDescent="0.25">
      <c r="A17" s="9"/>
      <c r="B17" s="9"/>
      <c r="C17" s="9" t="str">
        <f>IF($C$5="Operating Margins",'Segment Analysis'!C16,"")</f>
        <v/>
      </c>
      <c r="D17" s="9"/>
      <c r="E17" s="9"/>
      <c r="F17" s="312">
        <f>'Segment Analysis'!F136</f>
        <v>0.11538461538461539</v>
      </c>
      <c r="G17" s="312">
        <f>'Segment Analysis'!G136</f>
        <v>0.15068493150684931</v>
      </c>
      <c r="H17" s="312">
        <f>'Segment Analysis'!H136</f>
        <v>0.22967359050445105</v>
      </c>
      <c r="I17" s="312">
        <f>'Segment Analysis'!I136</f>
        <v>8.4309133489461355E-2</v>
      </c>
      <c r="J17" s="313">
        <f>'Segment Analysis'!J136</f>
        <v>0.14500745156482861</v>
      </c>
      <c r="K17" s="312">
        <f>'Segment Analysis'!K136</f>
        <v>0.1501787842669845</v>
      </c>
      <c r="L17" s="312">
        <f>'Segment Analysis'!L136</f>
        <v>0.17180094786729858</v>
      </c>
      <c r="M17" s="312">
        <f>'Segment Analysis'!M136</f>
        <v>0.27083333333333331</v>
      </c>
      <c r="N17" s="312">
        <f>'Segment Analysis'!N136</f>
        <v>1.977894124490983E-2</v>
      </c>
      <c r="O17" s="313">
        <f>'Segment Analysis'!O136</f>
        <v>0.15240206947524021</v>
      </c>
      <c r="P17" s="312">
        <f>'Segment Analysis'!P136</f>
        <v>0.22125435540069685</v>
      </c>
      <c r="Q17" s="312">
        <f>'Segment Analysis'!Q136</f>
        <v>0.25437636761487964</v>
      </c>
      <c r="R17" s="312">
        <f>'Segment Analysis'!R136</f>
        <v>0.22317813765182187</v>
      </c>
      <c r="S17" s="312">
        <f>'Segment Analysis'!S136</f>
        <v>0.16246786632390744</v>
      </c>
      <c r="T17" s="313">
        <f>'Segment Analysis'!T136</f>
        <v>0.21456297684379602</v>
      </c>
      <c r="U17" s="314">
        <f>IF(Case_Scenario="Bull",U18,IF(Case_Scenario="Base",U19,IF(Case_Scenario="bear",U20,"N/A")))</f>
        <v>0</v>
      </c>
      <c r="V17" s="314">
        <f>IF(Case_Scenario="Bull",V18,IF(Case_Scenario="Base",V19,IF(Case_Scenario="bear",V20,"N/A")))</f>
        <v>0</v>
      </c>
      <c r="W17" s="314">
        <f>IF(Case_Scenario="Bull",W18,IF(Case_Scenario="Base",W19,IF(Case_Scenario="bear",W20,"N/A")))</f>
        <v>0</v>
      </c>
      <c r="X17" s="314">
        <f>IF(Case_Scenario="Bull",X18,IF(Case_Scenario="Base",X19,IF(Case_Scenario="bear",X20,"N/A")))</f>
        <v>0</v>
      </c>
      <c r="Y17" s="313">
        <f>'Segment Analysis'!Y136</f>
        <v>5.3017268622133323E-2</v>
      </c>
      <c r="Z17" s="314">
        <f>IF(Case_Scenario="Bull",Z18,IF(Case_Scenario="Base",Z19,IF(Case_Scenario="bear",Z20,"N/A")))</f>
        <v>0</v>
      </c>
      <c r="AA17" s="314">
        <f>IF(Case_Scenario="Bull",AA18,IF(Case_Scenario="Base",AA19,IF(Case_Scenario="bear",AA20,"N/A")))</f>
        <v>0</v>
      </c>
      <c r="AB17" s="314">
        <f>IF(Case_Scenario="Bull",AB18,IF(Case_Scenario="Base",AB19,IF(Case_Scenario="bear",AB20,"N/A")))</f>
        <v>0</v>
      </c>
      <c r="AC17" s="314">
        <f>IF(Case_Scenario="Bull",AC18,IF(Case_Scenario="Base",AC19,IF(Case_Scenario="bear",AC20,"N/A")))</f>
        <v>0</v>
      </c>
      <c r="AD17" s="313">
        <f>'Segment Analysis'!AD136</f>
        <v>0</v>
      </c>
      <c r="AE17" s="313">
        <f>IF(Case_Scenario="Bull",AE18,IF(Case_Scenario="Base",AE19,IF(Case_Scenario="bear",AE20,"N/A")))</f>
        <v>0</v>
      </c>
      <c r="AF17" s="313">
        <f>IF(Case_Scenario="Bull",AF18,IF(Case_Scenario="Base",AF19,IF(Case_Scenario="bear",AF20,"N/A")))</f>
        <v>0</v>
      </c>
      <c r="AG17" s="313">
        <f>IF(Case_Scenario="Bull",AG18,IF(Case_Scenario="Base",AG19,IF(Case_Scenario="bear",AG20,"N/A")))</f>
        <v>0</v>
      </c>
      <c r="AH17" s="9"/>
      <c r="AI17" s="9"/>
    </row>
    <row r="18" spans="1:35" ht="12.75" hidden="1" customHeight="1" outlineLevel="1" x14ac:dyDescent="0.25">
      <c r="A18" s="9"/>
      <c r="B18" s="9"/>
      <c r="C18" s="103" t="str">
        <f>IF(C17="","","Bull Case")</f>
        <v/>
      </c>
      <c r="D18" s="9"/>
      <c r="E18" s="9"/>
      <c r="F18" s="312"/>
      <c r="G18" s="312"/>
      <c r="H18" s="312"/>
      <c r="I18" s="312"/>
      <c r="J18" s="313"/>
      <c r="K18" s="312"/>
      <c r="L18" s="312"/>
      <c r="M18" s="312"/>
      <c r="N18" s="312"/>
      <c r="O18" s="313"/>
      <c r="P18" s="312"/>
      <c r="Q18" s="312"/>
      <c r="R18" s="312"/>
      <c r="S18" s="312"/>
      <c r="T18" s="313"/>
      <c r="U18" s="255">
        <v>0</v>
      </c>
      <c r="V18" s="255">
        <v>0</v>
      </c>
      <c r="W18" s="255">
        <v>0</v>
      </c>
      <c r="X18" s="255">
        <v>0</v>
      </c>
      <c r="Y18" s="313"/>
      <c r="Z18" s="255">
        <v>0</v>
      </c>
      <c r="AA18" s="255">
        <v>0</v>
      </c>
      <c r="AB18" s="255">
        <v>0</v>
      </c>
      <c r="AC18" s="255">
        <v>0</v>
      </c>
      <c r="AD18" s="313"/>
      <c r="AE18" s="256">
        <v>0</v>
      </c>
      <c r="AF18" s="256">
        <v>0</v>
      </c>
      <c r="AG18" s="256">
        <v>0</v>
      </c>
      <c r="AH18" s="9"/>
      <c r="AI18" s="9"/>
    </row>
    <row r="19" spans="1:35" ht="12.75" hidden="1" customHeight="1" outlineLevel="1" x14ac:dyDescent="0.25">
      <c r="A19" s="9"/>
      <c r="B19" s="9"/>
      <c r="C19" s="103" t="str">
        <f>IF(C17="","","Base Case")</f>
        <v/>
      </c>
      <c r="D19" s="9"/>
      <c r="E19" s="9"/>
      <c r="F19" s="312"/>
      <c r="G19" s="312"/>
      <c r="H19" s="312"/>
      <c r="I19" s="312"/>
      <c r="J19" s="313"/>
      <c r="K19" s="312"/>
      <c r="L19" s="312"/>
      <c r="M19" s="312"/>
      <c r="N19" s="312"/>
      <c r="O19" s="313"/>
      <c r="P19" s="312"/>
      <c r="Q19" s="312"/>
      <c r="R19" s="312"/>
      <c r="S19" s="312"/>
      <c r="T19" s="313"/>
      <c r="U19" s="255">
        <v>0</v>
      </c>
      <c r="V19" s="255">
        <v>0</v>
      </c>
      <c r="W19" s="255">
        <v>0</v>
      </c>
      <c r="X19" s="255">
        <v>0</v>
      </c>
      <c r="Y19" s="313"/>
      <c r="Z19" s="255">
        <v>0</v>
      </c>
      <c r="AA19" s="255">
        <v>0</v>
      </c>
      <c r="AB19" s="255">
        <v>0</v>
      </c>
      <c r="AC19" s="255">
        <v>0</v>
      </c>
      <c r="AD19" s="313"/>
      <c r="AE19" s="256">
        <v>0</v>
      </c>
      <c r="AF19" s="256">
        <v>0</v>
      </c>
      <c r="AG19" s="256">
        <v>0</v>
      </c>
      <c r="AH19" s="9"/>
      <c r="AI19" s="9"/>
    </row>
    <row r="20" spans="1:35" ht="12.75" hidden="1" customHeight="1" outlineLevel="1" x14ac:dyDescent="0.25">
      <c r="A20" s="9"/>
      <c r="B20" s="9"/>
      <c r="C20" s="103" t="str">
        <f>IF(C17="","","Bear Case")</f>
        <v/>
      </c>
      <c r="D20" s="9"/>
      <c r="E20" s="9"/>
      <c r="F20" s="312"/>
      <c r="G20" s="312"/>
      <c r="H20" s="312"/>
      <c r="I20" s="312"/>
      <c r="J20" s="313"/>
      <c r="K20" s="312"/>
      <c r="L20" s="312"/>
      <c r="M20" s="312"/>
      <c r="N20" s="312"/>
      <c r="O20" s="313"/>
      <c r="P20" s="312"/>
      <c r="Q20" s="312"/>
      <c r="R20" s="312"/>
      <c r="S20" s="312"/>
      <c r="T20" s="313"/>
      <c r="U20" s="255">
        <v>0</v>
      </c>
      <c r="V20" s="255">
        <v>0</v>
      </c>
      <c r="W20" s="255">
        <v>0</v>
      </c>
      <c r="X20" s="255">
        <v>0</v>
      </c>
      <c r="Y20" s="313"/>
      <c r="Z20" s="255">
        <v>0</v>
      </c>
      <c r="AA20" s="255">
        <v>0</v>
      </c>
      <c r="AB20" s="255">
        <v>0</v>
      </c>
      <c r="AC20" s="255">
        <v>0</v>
      </c>
      <c r="AD20" s="313"/>
      <c r="AE20" s="256">
        <v>0</v>
      </c>
      <c r="AF20" s="256">
        <v>0</v>
      </c>
      <c r="AG20" s="256">
        <v>0</v>
      </c>
      <c r="AH20" s="9"/>
      <c r="AI20" s="9"/>
    </row>
    <row r="21" spans="1:35" ht="12.75" hidden="1" customHeight="1" outlineLevel="1" x14ac:dyDescent="0.25">
      <c r="A21" s="9"/>
      <c r="B21" s="9"/>
      <c r="C21" s="103"/>
      <c r="D21" s="9"/>
      <c r="E21" s="9"/>
      <c r="F21" s="312"/>
      <c r="G21" s="312"/>
      <c r="H21" s="312"/>
      <c r="I21" s="312"/>
      <c r="J21" s="313"/>
      <c r="K21" s="312"/>
      <c r="L21" s="312"/>
      <c r="M21" s="312"/>
      <c r="N21" s="312"/>
      <c r="O21" s="313"/>
      <c r="P21" s="312"/>
      <c r="Q21" s="312"/>
      <c r="R21" s="312"/>
      <c r="S21" s="312"/>
      <c r="T21" s="313"/>
      <c r="U21" s="255"/>
      <c r="V21" s="255"/>
      <c r="W21" s="255"/>
      <c r="X21" s="255"/>
      <c r="Y21" s="313"/>
      <c r="Z21" s="255"/>
      <c r="AA21" s="255"/>
      <c r="AB21" s="255"/>
      <c r="AC21" s="255"/>
      <c r="AD21" s="313"/>
      <c r="AE21" s="256"/>
      <c r="AF21" s="256"/>
      <c r="AG21" s="256"/>
      <c r="AH21" s="9"/>
      <c r="AI21" s="9"/>
    </row>
    <row r="22" spans="1:35" ht="12.75" hidden="1" customHeight="1" outlineLevel="1" x14ac:dyDescent="0.25">
      <c r="A22" s="9"/>
      <c r="B22" s="9"/>
      <c r="C22" s="9" t="str">
        <f>IF($C$5="Operating Margins",'Segment Analysis'!#REF!,"")</f>
        <v/>
      </c>
      <c r="D22" s="9"/>
      <c r="E22" s="9"/>
      <c r="F22" s="312" t="e">
        <f>'Segment Analysis'!#REF!</f>
        <v>#REF!</v>
      </c>
      <c r="G22" s="312" t="e">
        <f>'Segment Analysis'!#REF!</f>
        <v>#REF!</v>
      </c>
      <c r="H22" s="312" t="e">
        <f>'Segment Analysis'!#REF!</f>
        <v>#REF!</v>
      </c>
      <c r="I22" s="312" t="e">
        <f>'Segment Analysis'!#REF!</f>
        <v>#REF!</v>
      </c>
      <c r="J22" s="313" t="e">
        <f>'Segment Analysis'!#REF!</f>
        <v>#REF!</v>
      </c>
      <c r="K22" s="312" t="e">
        <f>'Segment Analysis'!#REF!</f>
        <v>#REF!</v>
      </c>
      <c r="L22" s="312" t="e">
        <f>'Segment Analysis'!#REF!</f>
        <v>#REF!</v>
      </c>
      <c r="M22" s="312" t="e">
        <f>'Segment Analysis'!#REF!</f>
        <v>#REF!</v>
      </c>
      <c r="N22" s="312" t="e">
        <f>'Segment Analysis'!#REF!</f>
        <v>#REF!</v>
      </c>
      <c r="O22" s="313" t="e">
        <f>'Segment Analysis'!#REF!</f>
        <v>#REF!</v>
      </c>
      <c r="P22" s="312" t="e">
        <f>'Segment Analysis'!#REF!</f>
        <v>#REF!</v>
      </c>
      <c r="Q22" s="312" t="e">
        <f>'Segment Analysis'!#REF!</f>
        <v>#REF!</v>
      </c>
      <c r="R22" s="312" t="e">
        <f>'Segment Analysis'!#REF!</f>
        <v>#REF!</v>
      </c>
      <c r="S22" s="312" t="e">
        <f>'Segment Analysis'!#REF!</f>
        <v>#REF!</v>
      </c>
      <c r="T22" s="313" t="e">
        <f>'Segment Analysis'!#REF!</f>
        <v>#REF!</v>
      </c>
      <c r="U22" s="314">
        <f>IF(Case_Scenario="Bull",U23,IF(Case_Scenario="Base",U24,IF(Case_Scenario="bear",U25,"N/A")))</f>
        <v>0</v>
      </c>
      <c r="V22" s="314">
        <f>IF(Case_Scenario="Bull",V23,IF(Case_Scenario="Base",V24,IF(Case_Scenario="bear",V25,"N/A")))</f>
        <v>0</v>
      </c>
      <c r="W22" s="314">
        <f>IF(Case_Scenario="Bull",W23,IF(Case_Scenario="Base",W24,IF(Case_Scenario="bear",W25,"N/A")))</f>
        <v>0</v>
      </c>
      <c r="X22" s="314">
        <f>IF(Case_Scenario="Bull",X23,IF(Case_Scenario="Base",X24,IF(Case_Scenario="bear",X25,"N/A")))</f>
        <v>0</v>
      </c>
      <c r="Y22" s="313" t="e">
        <f>'Segment Analysis'!#REF!</f>
        <v>#REF!</v>
      </c>
      <c r="Z22" s="314">
        <f>IF(Case_Scenario="Bull",Z23,IF(Case_Scenario="Base",Z24,IF(Case_Scenario="bear",Z25,"N/A")))</f>
        <v>0.14000000000000001</v>
      </c>
      <c r="AA22" s="314">
        <f>IF(Case_Scenario="Bull",AA23,IF(Case_Scenario="Base",AA24,IF(Case_Scenario="bear",AA25,"N/A")))</f>
        <v>0.14499999999999999</v>
      </c>
      <c r="AB22" s="314">
        <f>IF(Case_Scenario="Bull",AB23,IF(Case_Scenario="Base",AB24,IF(Case_Scenario="bear",AB25,"N/A")))</f>
        <v>0.12</v>
      </c>
      <c r="AC22" s="314">
        <f>IF(Case_Scenario="Bull",AC23,IF(Case_Scenario="Base",AC24,IF(Case_Scenario="bear",AC25,"N/A")))</f>
        <v>0.13500000000000001</v>
      </c>
      <c r="AD22" s="313" t="e">
        <f>'Segment Analysis'!#REF!</f>
        <v>#REF!</v>
      </c>
      <c r="AE22" s="313">
        <f>IF(Case_Scenario="Bull",AE23,IF(Case_Scenario="Base",AE24,IF(Case_Scenario="bear",AE25,"N/A")))</f>
        <v>0.13900000000000001</v>
      </c>
      <c r="AF22" s="313">
        <f>IF(Case_Scenario="Bull",AF23,IF(Case_Scenario="Base",AF24,IF(Case_Scenario="bear",AF25,"N/A")))</f>
        <v>0.14000000000000001</v>
      </c>
      <c r="AG22" s="313">
        <f>IF(Case_Scenario="Bull",AG23,IF(Case_Scenario="Base",AG24,IF(Case_Scenario="bear",AG25,"N/A")))</f>
        <v>0.14199999999999999</v>
      </c>
      <c r="AH22" s="9"/>
      <c r="AI22" s="9"/>
    </row>
    <row r="23" spans="1:35" ht="12.75" hidden="1" customHeight="1" outlineLevel="1" x14ac:dyDescent="0.25">
      <c r="A23" s="9"/>
      <c r="B23" s="9"/>
      <c r="C23" s="103" t="str">
        <f>IF(C22="","","Bull Case")</f>
        <v/>
      </c>
      <c r="D23" s="9"/>
      <c r="E23" s="9"/>
      <c r="F23" s="312"/>
      <c r="G23" s="312"/>
      <c r="H23" s="312"/>
      <c r="I23" s="312"/>
      <c r="J23" s="313"/>
      <c r="K23" s="312"/>
      <c r="L23" s="312"/>
      <c r="M23" s="312"/>
      <c r="N23" s="312"/>
      <c r="O23" s="313"/>
      <c r="P23" s="312"/>
      <c r="Q23" s="312"/>
      <c r="R23" s="312"/>
      <c r="S23" s="312"/>
      <c r="T23" s="313"/>
      <c r="U23" s="255">
        <v>0</v>
      </c>
      <c r="V23" s="255">
        <v>0</v>
      </c>
      <c r="W23" s="255">
        <v>0</v>
      </c>
      <c r="X23" s="255">
        <v>0</v>
      </c>
      <c r="Y23" s="313"/>
      <c r="Z23" s="255">
        <v>0.14499999999999999</v>
      </c>
      <c r="AA23" s="255">
        <v>0.15</v>
      </c>
      <c r="AB23" s="255">
        <v>0.15</v>
      </c>
      <c r="AC23" s="255">
        <v>0.15</v>
      </c>
      <c r="AD23" s="313"/>
      <c r="AE23" s="256">
        <v>0.15</v>
      </c>
      <c r="AF23" s="256">
        <v>0.15</v>
      </c>
      <c r="AG23" s="256">
        <v>0.15</v>
      </c>
      <c r="AH23" s="9"/>
      <c r="AI23" s="9"/>
    </row>
    <row r="24" spans="1:35" ht="12.75" hidden="1" customHeight="1" outlineLevel="1" x14ac:dyDescent="0.25">
      <c r="A24" s="9"/>
      <c r="B24" s="9"/>
      <c r="C24" s="103" t="str">
        <f>IF(C22="","","Base Case")</f>
        <v/>
      </c>
      <c r="D24" s="9"/>
      <c r="E24" s="9"/>
      <c r="F24" s="312"/>
      <c r="G24" s="312"/>
      <c r="H24" s="312"/>
      <c r="I24" s="312"/>
      <c r="J24" s="313"/>
      <c r="K24" s="312"/>
      <c r="L24" s="312"/>
      <c r="M24" s="312"/>
      <c r="N24" s="312"/>
      <c r="O24" s="313"/>
      <c r="P24" s="312"/>
      <c r="Q24" s="312"/>
      <c r="R24" s="312"/>
      <c r="S24" s="312"/>
      <c r="T24" s="313"/>
      <c r="U24" s="255">
        <v>0</v>
      </c>
      <c r="V24" s="255">
        <v>0</v>
      </c>
      <c r="W24" s="255">
        <v>0</v>
      </c>
      <c r="X24" s="255">
        <v>0</v>
      </c>
      <c r="Y24" s="313"/>
      <c r="Z24" s="255">
        <v>0.14000000000000001</v>
      </c>
      <c r="AA24" s="255">
        <v>0.14499999999999999</v>
      </c>
      <c r="AB24" s="255">
        <v>0.12</v>
      </c>
      <c r="AC24" s="255">
        <v>0.13500000000000001</v>
      </c>
      <c r="AD24" s="313"/>
      <c r="AE24" s="256">
        <v>0.13900000000000001</v>
      </c>
      <c r="AF24" s="256">
        <v>0.14000000000000001</v>
      </c>
      <c r="AG24" s="256">
        <v>0.14199999999999999</v>
      </c>
      <c r="AH24" s="9"/>
      <c r="AI24" s="9"/>
    </row>
    <row r="25" spans="1:35" ht="12.75" hidden="1" customHeight="1" outlineLevel="1" x14ac:dyDescent="0.25">
      <c r="A25" s="9"/>
      <c r="B25" s="9"/>
      <c r="C25" s="103" t="str">
        <f>IF(C22="","","Bear Case")</f>
        <v/>
      </c>
      <c r="D25" s="9"/>
      <c r="E25" s="9"/>
      <c r="F25" s="312"/>
      <c r="G25" s="312"/>
      <c r="H25" s="312"/>
      <c r="I25" s="312"/>
      <c r="J25" s="313"/>
      <c r="K25" s="312"/>
      <c r="L25" s="312"/>
      <c r="M25" s="312"/>
      <c r="N25" s="312"/>
      <c r="O25" s="313"/>
      <c r="P25" s="312"/>
      <c r="Q25" s="312"/>
      <c r="R25" s="312"/>
      <c r="S25" s="312"/>
      <c r="T25" s="313"/>
      <c r="U25" s="255">
        <v>0</v>
      </c>
      <c r="V25" s="255">
        <v>0</v>
      </c>
      <c r="W25" s="255">
        <v>0</v>
      </c>
      <c r="X25" s="255">
        <v>0</v>
      </c>
      <c r="Y25" s="313"/>
      <c r="Z25" s="255">
        <v>0.08</v>
      </c>
      <c r="AA25" s="255">
        <v>0.08</v>
      </c>
      <c r="AB25" s="255">
        <v>0.08</v>
      </c>
      <c r="AC25" s="255">
        <v>0.08</v>
      </c>
      <c r="AD25" s="313"/>
      <c r="AE25" s="256">
        <v>8.5000000000000006E-2</v>
      </c>
      <c r="AF25" s="256">
        <v>0.09</v>
      </c>
      <c r="AG25" s="256">
        <v>0.105</v>
      </c>
      <c r="AH25" s="9"/>
      <c r="AI25" s="9"/>
    </row>
    <row r="26" spans="1:35" ht="12.75" hidden="1" customHeight="1" outlineLevel="1" x14ac:dyDescent="0.25">
      <c r="A26" s="9"/>
      <c r="B26" s="9"/>
      <c r="C26" s="103"/>
      <c r="D26" s="9"/>
      <c r="E26" s="9"/>
      <c r="F26" s="312"/>
      <c r="G26" s="312"/>
      <c r="H26" s="312"/>
      <c r="I26" s="312"/>
      <c r="J26" s="313"/>
      <c r="K26" s="312"/>
      <c r="L26" s="312"/>
      <c r="M26" s="312"/>
      <c r="N26" s="312"/>
      <c r="O26" s="313"/>
      <c r="P26" s="312"/>
      <c r="Q26" s="312"/>
      <c r="R26" s="312"/>
      <c r="S26" s="312"/>
      <c r="T26" s="313"/>
      <c r="U26" s="255"/>
      <c r="V26" s="255"/>
      <c r="W26" s="255"/>
      <c r="X26" s="255"/>
      <c r="Y26" s="313"/>
      <c r="Z26" s="255"/>
      <c r="AA26" s="255"/>
      <c r="AB26" s="255"/>
      <c r="AC26" s="255"/>
      <c r="AD26" s="313"/>
      <c r="AE26" s="256"/>
      <c r="AF26" s="256"/>
      <c r="AG26" s="256"/>
      <c r="AH26" s="9"/>
      <c r="AI26" s="9"/>
    </row>
    <row r="27" spans="1:35" ht="12.75" hidden="1" customHeight="1" outlineLevel="1" x14ac:dyDescent="0.25">
      <c r="A27" s="9"/>
      <c r="B27" s="9"/>
      <c r="C27" s="9" t="str">
        <f>IF($C$5="Operating Margins",'Segment Analysis'!#REF!,"")</f>
        <v/>
      </c>
      <c r="D27" s="9"/>
      <c r="E27" s="9"/>
      <c r="F27" s="312" t="e">
        <f>'Segment Analysis'!#REF!</f>
        <v>#REF!</v>
      </c>
      <c r="G27" s="312" t="e">
        <f>'Segment Analysis'!#REF!</f>
        <v>#REF!</v>
      </c>
      <c r="H27" s="312" t="e">
        <f>'Segment Analysis'!#REF!</f>
        <v>#REF!</v>
      </c>
      <c r="I27" s="312" t="e">
        <f>'Segment Analysis'!#REF!</f>
        <v>#REF!</v>
      </c>
      <c r="J27" s="313" t="e">
        <f>'Segment Analysis'!#REF!</f>
        <v>#REF!</v>
      </c>
      <c r="K27" s="312" t="e">
        <f>'Segment Analysis'!#REF!</f>
        <v>#REF!</v>
      </c>
      <c r="L27" s="312" t="e">
        <f>'Segment Analysis'!#REF!</f>
        <v>#REF!</v>
      </c>
      <c r="M27" s="312" t="e">
        <f>'Segment Analysis'!#REF!</f>
        <v>#REF!</v>
      </c>
      <c r="N27" s="312" t="e">
        <f>'Segment Analysis'!#REF!</f>
        <v>#REF!</v>
      </c>
      <c r="O27" s="313" t="e">
        <f>'Segment Analysis'!#REF!</f>
        <v>#REF!</v>
      </c>
      <c r="P27" s="312" t="e">
        <f>'Segment Analysis'!#REF!</f>
        <v>#REF!</v>
      </c>
      <c r="Q27" s="312" t="e">
        <f>'Segment Analysis'!#REF!</f>
        <v>#REF!</v>
      </c>
      <c r="R27" s="312" t="e">
        <f>'Segment Analysis'!#REF!</f>
        <v>#REF!</v>
      </c>
      <c r="S27" s="312" t="e">
        <f>'Segment Analysis'!#REF!</f>
        <v>#REF!</v>
      </c>
      <c r="T27" s="313" t="e">
        <f>'Segment Analysis'!#REF!</f>
        <v>#REF!</v>
      </c>
      <c r="U27" s="314">
        <f>IF(Case_Scenario="Bull",U28,IF(Case_Scenario="Base",U29,IF(Case_Scenario="bear",U30,"N/A")))</f>
        <v>0</v>
      </c>
      <c r="V27" s="314">
        <f>IF(Case_Scenario="Bull",V28,IF(Case_Scenario="Base",V29,IF(Case_Scenario="bear",V30,"N/A")))</f>
        <v>0</v>
      </c>
      <c r="W27" s="314">
        <f>IF(Case_Scenario="Bull",W28,IF(Case_Scenario="Base",W29,IF(Case_Scenario="bear",W30,"N/A")))</f>
        <v>0</v>
      </c>
      <c r="X27" s="314">
        <f>IF(Case_Scenario="Bull",X28,IF(Case_Scenario="Base",X29,IF(Case_Scenario="bear",X30,"N/A")))</f>
        <v>0</v>
      </c>
      <c r="Y27" s="313" t="e">
        <f>'Segment Analysis'!#REF!</f>
        <v>#REF!</v>
      </c>
      <c r="Z27" s="314">
        <f>IF(Case_Scenario="Bull",Z28,IF(Case_Scenario="Base",Z29,IF(Case_Scenario="bear",Z30,"N/A")))</f>
        <v>0</v>
      </c>
      <c r="AA27" s="314">
        <f>IF(Case_Scenario="Bull",AA28,IF(Case_Scenario="Base",AA29,IF(Case_Scenario="bear",AA30,"N/A")))</f>
        <v>0</v>
      </c>
      <c r="AB27" s="314">
        <f>IF(Case_Scenario="Bull",AB28,IF(Case_Scenario="Base",AB29,IF(Case_Scenario="bear",AB30,"N/A")))</f>
        <v>0</v>
      </c>
      <c r="AC27" s="314">
        <f>IF(Case_Scenario="Bull",AC28,IF(Case_Scenario="Base",AC29,IF(Case_Scenario="bear",AC30,"N/A")))</f>
        <v>0</v>
      </c>
      <c r="AD27" s="313" t="e">
        <f>'Segment Analysis'!#REF!</f>
        <v>#REF!</v>
      </c>
      <c r="AE27" s="313">
        <f>IF(Case_Scenario="Bull",AE28,IF(Case_Scenario="Base",AE29,IF(Case_Scenario="bear",AE30,"N/A")))</f>
        <v>0</v>
      </c>
      <c r="AF27" s="313">
        <f>IF(Case_Scenario="Bull",AF28,IF(Case_Scenario="Base",AF29,IF(Case_Scenario="bear",AF30,"N/A")))</f>
        <v>0</v>
      </c>
      <c r="AG27" s="313">
        <f>IF(Case_Scenario="Bull",AG28,IF(Case_Scenario="Base",AG29,IF(Case_Scenario="bear",AG30,"N/A")))</f>
        <v>0</v>
      </c>
      <c r="AH27" s="9"/>
      <c r="AI27" s="9"/>
    </row>
    <row r="28" spans="1:35" ht="12.75" hidden="1" customHeight="1" outlineLevel="1" x14ac:dyDescent="0.25">
      <c r="A28" s="9"/>
      <c r="B28" s="9"/>
      <c r="C28" s="103" t="str">
        <f>IF(C27="","","Bull Case")</f>
        <v/>
      </c>
      <c r="D28" s="9"/>
      <c r="E28" s="9"/>
      <c r="F28" s="312"/>
      <c r="G28" s="312"/>
      <c r="H28" s="312"/>
      <c r="I28" s="312"/>
      <c r="J28" s="313"/>
      <c r="K28" s="312"/>
      <c r="L28" s="312"/>
      <c r="M28" s="312"/>
      <c r="N28" s="312"/>
      <c r="O28" s="313"/>
      <c r="P28" s="312"/>
      <c r="Q28" s="312"/>
      <c r="R28" s="312"/>
      <c r="S28" s="312"/>
      <c r="T28" s="313"/>
      <c r="U28" s="255">
        <v>0</v>
      </c>
      <c r="V28" s="255">
        <v>0</v>
      </c>
      <c r="W28" s="255">
        <v>0</v>
      </c>
      <c r="X28" s="255">
        <v>0</v>
      </c>
      <c r="Y28" s="313"/>
      <c r="Z28" s="255">
        <v>0</v>
      </c>
      <c r="AA28" s="255">
        <v>0</v>
      </c>
      <c r="AB28" s="255">
        <v>0</v>
      </c>
      <c r="AC28" s="255">
        <v>0</v>
      </c>
      <c r="AD28" s="313"/>
      <c r="AE28" s="256">
        <v>0</v>
      </c>
      <c r="AF28" s="256">
        <v>0</v>
      </c>
      <c r="AG28" s="256">
        <v>0</v>
      </c>
      <c r="AH28" s="9"/>
      <c r="AI28" s="9"/>
    </row>
    <row r="29" spans="1:35" ht="12.75" hidden="1" customHeight="1" outlineLevel="1" x14ac:dyDescent="0.25">
      <c r="A29" s="205" t="s">
        <v>0</v>
      </c>
      <c r="B29" s="9"/>
      <c r="C29" s="103" t="str">
        <f>IF(C27="","","Base Case")</f>
        <v/>
      </c>
      <c r="D29" s="9"/>
      <c r="E29" s="9"/>
      <c r="F29" s="312"/>
      <c r="G29" s="312"/>
      <c r="H29" s="312"/>
      <c r="I29" s="312"/>
      <c r="J29" s="313"/>
      <c r="K29" s="312"/>
      <c r="L29" s="312"/>
      <c r="M29" s="312"/>
      <c r="N29" s="312"/>
      <c r="O29" s="313"/>
      <c r="P29" s="312"/>
      <c r="Q29" s="312"/>
      <c r="R29" s="312"/>
      <c r="S29" s="312"/>
      <c r="T29" s="313"/>
      <c r="U29" s="255">
        <v>0</v>
      </c>
      <c r="V29" s="255">
        <v>0</v>
      </c>
      <c r="W29" s="255">
        <v>0</v>
      </c>
      <c r="X29" s="255">
        <v>0</v>
      </c>
      <c r="Y29" s="313"/>
      <c r="Z29" s="255">
        <v>0</v>
      </c>
      <c r="AA29" s="255">
        <v>0</v>
      </c>
      <c r="AB29" s="255">
        <v>0</v>
      </c>
      <c r="AC29" s="255">
        <v>0</v>
      </c>
      <c r="AD29" s="313"/>
      <c r="AE29" s="256">
        <v>0</v>
      </c>
      <c r="AF29" s="256">
        <v>0</v>
      </c>
      <c r="AG29" s="256">
        <v>0</v>
      </c>
      <c r="AH29" s="205" t="s">
        <v>0</v>
      </c>
      <c r="AI29" s="205"/>
    </row>
    <row r="30" spans="1:35" ht="12.75" hidden="1" customHeight="1" outlineLevel="1" x14ac:dyDescent="0.25">
      <c r="A30" s="9"/>
      <c r="B30" s="9"/>
      <c r="C30" s="103" t="str">
        <f>IF(C27="","","Bear Case")</f>
        <v/>
      </c>
      <c r="D30" s="9"/>
      <c r="E30" s="9"/>
      <c r="F30" s="312"/>
      <c r="G30" s="312"/>
      <c r="H30" s="312"/>
      <c r="I30" s="312"/>
      <c r="J30" s="313"/>
      <c r="K30" s="312"/>
      <c r="L30" s="312"/>
      <c r="M30" s="312"/>
      <c r="N30" s="312"/>
      <c r="O30" s="313"/>
      <c r="P30" s="312"/>
      <c r="Q30" s="312"/>
      <c r="R30" s="312"/>
      <c r="S30" s="312"/>
      <c r="T30" s="313"/>
      <c r="U30" s="255">
        <v>0</v>
      </c>
      <c r="V30" s="255">
        <v>0</v>
      </c>
      <c r="W30" s="255">
        <v>0</v>
      </c>
      <c r="X30" s="255">
        <v>0</v>
      </c>
      <c r="Y30" s="313"/>
      <c r="Z30" s="255">
        <v>0</v>
      </c>
      <c r="AA30" s="255">
        <v>0</v>
      </c>
      <c r="AB30" s="255">
        <v>0</v>
      </c>
      <c r="AC30" s="255">
        <v>0</v>
      </c>
      <c r="AD30" s="313"/>
      <c r="AE30" s="256">
        <v>0</v>
      </c>
      <c r="AF30" s="256">
        <v>0</v>
      </c>
      <c r="AG30" s="256">
        <v>0</v>
      </c>
      <c r="AH30" s="9"/>
      <c r="AI30" s="9"/>
    </row>
    <row r="31" spans="1:35" ht="12.75" hidden="1" customHeight="1" outlineLevel="1" x14ac:dyDescent="0.25">
      <c r="A31" s="9"/>
      <c r="B31" s="9"/>
      <c r="C31" s="103"/>
      <c r="D31" s="9"/>
      <c r="E31" s="9"/>
      <c r="F31" s="312"/>
      <c r="G31" s="312"/>
      <c r="H31" s="312"/>
      <c r="I31" s="312"/>
      <c r="J31" s="313"/>
      <c r="K31" s="312"/>
      <c r="L31" s="312"/>
      <c r="M31" s="312"/>
      <c r="N31" s="312"/>
      <c r="O31" s="313"/>
      <c r="P31" s="312"/>
      <c r="Q31" s="312"/>
      <c r="R31" s="312"/>
      <c r="S31" s="312"/>
      <c r="T31" s="313"/>
      <c r="U31" s="255"/>
      <c r="V31" s="255"/>
      <c r="W31" s="255"/>
      <c r="X31" s="255"/>
      <c r="Y31" s="313"/>
      <c r="Z31" s="255"/>
      <c r="AA31" s="255"/>
      <c r="AB31" s="255"/>
      <c r="AC31" s="255"/>
      <c r="AD31" s="313"/>
      <c r="AE31" s="256"/>
      <c r="AF31" s="256"/>
      <c r="AG31" s="256"/>
      <c r="AH31" s="9"/>
      <c r="AI31" s="9"/>
    </row>
    <row r="32" spans="1:35" ht="12.75" hidden="1" customHeight="1" outlineLevel="1" x14ac:dyDescent="0.25">
      <c r="A32" s="9"/>
      <c r="B32" s="9"/>
      <c r="C32" s="9" t="str">
        <f>IF($C$5="Operating Margins",'Segment Analysis'!#REF!,"")</f>
        <v/>
      </c>
      <c r="D32" s="9"/>
      <c r="E32" s="9"/>
      <c r="F32" s="312" t="e">
        <f>'Segment Analysis'!#REF!</f>
        <v>#REF!</v>
      </c>
      <c r="G32" s="312" t="e">
        <f>'Segment Analysis'!#REF!</f>
        <v>#REF!</v>
      </c>
      <c r="H32" s="312" t="e">
        <f>'Segment Analysis'!#REF!</f>
        <v>#REF!</v>
      </c>
      <c r="I32" s="312" t="e">
        <f>'Segment Analysis'!#REF!</f>
        <v>#REF!</v>
      </c>
      <c r="J32" s="313" t="e">
        <f>'Segment Analysis'!#REF!</f>
        <v>#REF!</v>
      </c>
      <c r="K32" s="312" t="e">
        <f>'Segment Analysis'!#REF!</f>
        <v>#REF!</v>
      </c>
      <c r="L32" s="312" t="e">
        <f>'Segment Analysis'!#REF!</f>
        <v>#REF!</v>
      </c>
      <c r="M32" s="312" t="e">
        <f>'Segment Analysis'!#REF!</f>
        <v>#REF!</v>
      </c>
      <c r="N32" s="312" t="e">
        <f>'Segment Analysis'!#REF!</f>
        <v>#REF!</v>
      </c>
      <c r="O32" s="313" t="e">
        <f>'Segment Analysis'!#REF!</f>
        <v>#REF!</v>
      </c>
      <c r="P32" s="312" t="e">
        <f>'Segment Analysis'!#REF!</f>
        <v>#REF!</v>
      </c>
      <c r="Q32" s="312" t="e">
        <f>'Segment Analysis'!#REF!</f>
        <v>#REF!</v>
      </c>
      <c r="R32" s="312" t="e">
        <f>'Segment Analysis'!#REF!</f>
        <v>#REF!</v>
      </c>
      <c r="S32" s="312" t="e">
        <f>'Segment Analysis'!#REF!</f>
        <v>#REF!</v>
      </c>
      <c r="T32" s="313" t="e">
        <f>'Segment Analysis'!#REF!</f>
        <v>#REF!</v>
      </c>
      <c r="U32" s="314">
        <f>IF(Case_Scenario="Bull",U33,IF(Case_Scenario="Base",U34,IF(Case_Scenario="bear",U35,"N/A")))</f>
        <v>0</v>
      </c>
      <c r="V32" s="314">
        <f>IF(Case_Scenario="Bull",V33,IF(Case_Scenario="Base",V34,IF(Case_Scenario="bear",V35,"N/A")))</f>
        <v>0</v>
      </c>
      <c r="W32" s="314">
        <f>IF(Case_Scenario="Bull",W33,IF(Case_Scenario="Base",W34,IF(Case_Scenario="bear",W35,"N/A")))</f>
        <v>0</v>
      </c>
      <c r="X32" s="314">
        <f>IF(Case_Scenario="Bull",X33,IF(Case_Scenario="Base",X34,IF(Case_Scenario="bear",X35,"N/A")))</f>
        <v>0</v>
      </c>
      <c r="Y32" s="313" t="e">
        <f>'Segment Analysis'!#REF!</f>
        <v>#REF!</v>
      </c>
      <c r="Z32" s="314">
        <f>IF(Case_Scenario="Bull",Z33,IF(Case_Scenario="Base",Z34,IF(Case_Scenario="bear",Z35,"N/A")))</f>
        <v>0</v>
      </c>
      <c r="AA32" s="314">
        <f>IF(Case_Scenario="Bull",AA33,IF(Case_Scenario="Base",AA34,IF(Case_Scenario="bear",AA35,"N/A")))</f>
        <v>0</v>
      </c>
      <c r="AB32" s="314">
        <f>IF(Case_Scenario="Bull",AB33,IF(Case_Scenario="Base",AB34,IF(Case_Scenario="bear",AB35,"N/A")))</f>
        <v>0</v>
      </c>
      <c r="AC32" s="314">
        <f>IF(Case_Scenario="Bull",AC33,IF(Case_Scenario="Base",AC34,IF(Case_Scenario="bear",AC35,"N/A")))</f>
        <v>0</v>
      </c>
      <c r="AD32" s="313" t="e">
        <f>'Segment Analysis'!#REF!</f>
        <v>#REF!</v>
      </c>
      <c r="AE32" s="313">
        <f>IF(Case_Scenario="Bull",AE33,IF(Case_Scenario="Base",AE34,IF(Case_Scenario="bear",AE35,"N/A")))</f>
        <v>0</v>
      </c>
      <c r="AF32" s="313">
        <f>IF(Case_Scenario="Bull",AF33,IF(Case_Scenario="Base",AF34,IF(Case_Scenario="bear",AF35,"N/A")))</f>
        <v>0</v>
      </c>
      <c r="AG32" s="313">
        <f>IF(Case_Scenario="Bull",AG33,IF(Case_Scenario="Base",AG34,IF(Case_Scenario="bear",AG35,"N/A")))</f>
        <v>0</v>
      </c>
      <c r="AH32" s="9"/>
      <c r="AI32" s="9"/>
    </row>
    <row r="33" spans="1:35" ht="12.75" hidden="1" customHeight="1" outlineLevel="1" x14ac:dyDescent="0.25">
      <c r="A33" s="9"/>
      <c r="B33" s="9"/>
      <c r="C33" s="103" t="str">
        <f>IF(C32="","","Bull Case")</f>
        <v/>
      </c>
      <c r="D33" s="9"/>
      <c r="E33" s="9"/>
      <c r="F33" s="312"/>
      <c r="G33" s="312"/>
      <c r="H33" s="312"/>
      <c r="I33" s="312"/>
      <c r="J33" s="313"/>
      <c r="K33" s="312"/>
      <c r="L33" s="312"/>
      <c r="M33" s="312"/>
      <c r="N33" s="312"/>
      <c r="O33" s="313"/>
      <c r="P33" s="312"/>
      <c r="Q33" s="312"/>
      <c r="R33" s="312"/>
      <c r="S33" s="312"/>
      <c r="T33" s="313"/>
      <c r="U33" s="255">
        <v>0</v>
      </c>
      <c r="V33" s="255">
        <v>0</v>
      </c>
      <c r="W33" s="255">
        <v>0</v>
      </c>
      <c r="X33" s="255">
        <v>0</v>
      </c>
      <c r="Y33" s="313"/>
      <c r="Z33" s="255">
        <v>0</v>
      </c>
      <c r="AA33" s="255">
        <v>0</v>
      </c>
      <c r="AB33" s="255">
        <v>0</v>
      </c>
      <c r="AC33" s="255">
        <v>0</v>
      </c>
      <c r="AD33" s="313"/>
      <c r="AE33" s="256">
        <v>0</v>
      </c>
      <c r="AF33" s="256">
        <v>0</v>
      </c>
      <c r="AG33" s="256">
        <v>0</v>
      </c>
      <c r="AH33" s="9"/>
      <c r="AI33" s="9"/>
    </row>
    <row r="34" spans="1:35" ht="12.75" hidden="1" customHeight="1" outlineLevel="1" x14ac:dyDescent="0.25">
      <c r="A34" s="9"/>
      <c r="B34" s="9"/>
      <c r="C34" s="103" t="str">
        <f>IF(C32="","","Base Case")</f>
        <v/>
      </c>
      <c r="D34" s="9"/>
      <c r="E34" s="9"/>
      <c r="F34" s="312"/>
      <c r="G34" s="312"/>
      <c r="H34" s="312"/>
      <c r="I34" s="312"/>
      <c r="J34" s="313"/>
      <c r="K34" s="312"/>
      <c r="L34" s="312"/>
      <c r="M34" s="312"/>
      <c r="N34" s="312"/>
      <c r="O34" s="313"/>
      <c r="P34" s="312"/>
      <c r="Q34" s="312"/>
      <c r="R34" s="312"/>
      <c r="S34" s="312"/>
      <c r="T34" s="313"/>
      <c r="U34" s="255">
        <v>0</v>
      </c>
      <c r="V34" s="255">
        <v>0</v>
      </c>
      <c r="W34" s="255">
        <v>0</v>
      </c>
      <c r="X34" s="255">
        <v>0</v>
      </c>
      <c r="Y34" s="313"/>
      <c r="Z34" s="255">
        <v>0</v>
      </c>
      <c r="AA34" s="255">
        <v>0</v>
      </c>
      <c r="AB34" s="255">
        <v>0</v>
      </c>
      <c r="AC34" s="255">
        <v>0</v>
      </c>
      <c r="AD34" s="313"/>
      <c r="AE34" s="256">
        <v>0</v>
      </c>
      <c r="AF34" s="256">
        <v>0</v>
      </c>
      <c r="AG34" s="256">
        <v>0</v>
      </c>
      <c r="AH34" s="9"/>
      <c r="AI34" s="9"/>
    </row>
    <row r="35" spans="1:35" ht="12.75" hidden="1" customHeight="1" outlineLevel="1" x14ac:dyDescent="0.25">
      <c r="A35" s="9"/>
      <c r="B35" s="9"/>
      <c r="C35" s="103" t="str">
        <f>IF(C32="","","Bear Case")</f>
        <v/>
      </c>
      <c r="D35" s="9"/>
      <c r="E35" s="9"/>
      <c r="F35" s="312"/>
      <c r="G35" s="312"/>
      <c r="H35" s="312"/>
      <c r="I35" s="312"/>
      <c r="J35" s="313"/>
      <c r="K35" s="312"/>
      <c r="L35" s="312"/>
      <c r="M35" s="312"/>
      <c r="N35" s="312"/>
      <c r="O35" s="313"/>
      <c r="P35" s="312"/>
      <c r="Q35" s="312"/>
      <c r="R35" s="312"/>
      <c r="S35" s="312"/>
      <c r="T35" s="313"/>
      <c r="U35" s="255">
        <v>0</v>
      </c>
      <c r="V35" s="255">
        <v>0</v>
      </c>
      <c r="W35" s="255">
        <v>0</v>
      </c>
      <c r="X35" s="255">
        <v>0</v>
      </c>
      <c r="Y35" s="313"/>
      <c r="Z35" s="255">
        <v>0</v>
      </c>
      <c r="AA35" s="255">
        <v>0</v>
      </c>
      <c r="AB35" s="255">
        <v>0</v>
      </c>
      <c r="AC35" s="255">
        <v>0</v>
      </c>
      <c r="AD35" s="313"/>
      <c r="AE35" s="256">
        <v>0</v>
      </c>
      <c r="AF35" s="256">
        <v>0</v>
      </c>
      <c r="AG35" s="256">
        <v>0</v>
      </c>
      <c r="AH35" s="9"/>
      <c r="AI35" s="9"/>
    </row>
    <row r="36" spans="1:35" ht="12.75" hidden="1" customHeight="1" outlineLevel="1" x14ac:dyDescent="0.25">
      <c r="A36" s="9"/>
      <c r="B36" s="9"/>
      <c r="C36" s="103"/>
      <c r="D36" s="9"/>
      <c r="E36" s="9"/>
      <c r="F36" s="312"/>
      <c r="G36" s="312"/>
      <c r="H36" s="312"/>
      <c r="I36" s="312"/>
      <c r="J36" s="313"/>
      <c r="K36" s="312"/>
      <c r="L36" s="312"/>
      <c r="M36" s="312"/>
      <c r="N36" s="312"/>
      <c r="O36" s="313"/>
      <c r="P36" s="312"/>
      <c r="Q36" s="312"/>
      <c r="R36" s="312"/>
      <c r="S36" s="312"/>
      <c r="T36" s="313"/>
      <c r="U36" s="255"/>
      <c r="V36" s="255"/>
      <c r="W36" s="255"/>
      <c r="X36" s="255"/>
      <c r="Y36" s="313"/>
      <c r="Z36" s="255"/>
      <c r="AA36" s="255"/>
      <c r="AB36" s="255"/>
      <c r="AC36" s="255"/>
      <c r="AD36" s="313"/>
      <c r="AE36" s="256"/>
      <c r="AF36" s="256"/>
      <c r="AG36" s="256"/>
      <c r="AH36" s="9"/>
      <c r="AI36" s="9"/>
    </row>
    <row r="37" spans="1:35" ht="12.75" hidden="1" customHeight="1" outlineLevel="1" x14ac:dyDescent="0.25">
      <c r="A37" s="9"/>
      <c r="B37" s="9"/>
      <c r="C37" s="9"/>
      <c r="D37" s="9"/>
      <c r="E37" s="9"/>
      <c r="F37" s="312"/>
      <c r="G37" s="312"/>
      <c r="H37" s="312"/>
      <c r="I37" s="312"/>
      <c r="J37" s="313"/>
      <c r="K37" s="312"/>
      <c r="L37" s="312"/>
      <c r="M37" s="312"/>
      <c r="N37" s="312"/>
      <c r="O37" s="313"/>
      <c r="P37" s="312"/>
      <c r="Q37" s="312"/>
      <c r="R37" s="312"/>
      <c r="S37" s="312"/>
      <c r="T37" s="313"/>
      <c r="U37" s="314"/>
      <c r="V37" s="314"/>
      <c r="W37" s="314"/>
      <c r="X37" s="314"/>
      <c r="Y37" s="313"/>
      <c r="Z37" s="314"/>
      <c r="AA37" s="314"/>
      <c r="AB37" s="314"/>
      <c r="AC37" s="314"/>
      <c r="AD37" s="313"/>
      <c r="AE37" s="132"/>
      <c r="AF37" s="132"/>
      <c r="AG37" s="132"/>
      <c r="AH37" s="9"/>
      <c r="AI37" s="9"/>
    </row>
    <row r="38" spans="1:35" ht="12.75" customHeight="1" collapsed="1" x14ac:dyDescent="0.25">
      <c r="A38" s="9"/>
      <c r="B38" s="9"/>
      <c r="C38" s="445" t="s">
        <v>445</v>
      </c>
      <c r="D38" s="446"/>
      <c r="E38" s="446"/>
      <c r="F38" s="447"/>
      <c r="G38" s="448"/>
      <c r="H38" s="448"/>
      <c r="I38" s="448"/>
      <c r="J38" s="448"/>
      <c r="K38" s="448"/>
      <c r="L38" s="448"/>
      <c r="M38" s="448"/>
      <c r="N38" s="448"/>
      <c r="O38" s="448"/>
      <c r="P38" s="448"/>
      <c r="Q38" s="448"/>
      <c r="R38" s="448"/>
      <c r="S38" s="448"/>
      <c r="T38" s="448"/>
      <c r="U38" s="448"/>
      <c r="V38" s="448"/>
      <c r="W38" s="448"/>
      <c r="X38" s="448"/>
      <c r="Y38" s="448"/>
      <c r="Z38" s="448"/>
      <c r="AA38" s="448"/>
      <c r="AB38" s="448"/>
      <c r="AC38" s="448"/>
      <c r="AD38" s="448"/>
      <c r="AE38" s="448"/>
      <c r="AF38" s="448"/>
      <c r="AG38" s="449"/>
      <c r="AH38" s="9"/>
      <c r="AI38" s="9"/>
    </row>
    <row r="39" spans="1:35" ht="12.75" customHeight="1" x14ac:dyDescent="0.25">
      <c r="A39" s="9"/>
      <c r="B39" s="9"/>
      <c r="C39" s="9"/>
      <c r="D39" s="9"/>
      <c r="E39" s="9"/>
      <c r="F39" s="312"/>
      <c r="G39" s="312"/>
      <c r="H39" s="312"/>
      <c r="I39" s="312"/>
      <c r="J39" s="313"/>
      <c r="K39" s="312"/>
      <c r="L39" s="312"/>
      <c r="M39" s="312"/>
      <c r="N39" s="312"/>
      <c r="O39" s="313"/>
      <c r="P39" s="312"/>
      <c r="Q39" s="312"/>
      <c r="R39" s="312"/>
      <c r="S39" s="312"/>
      <c r="T39" s="313"/>
      <c r="U39" s="314"/>
      <c r="V39" s="314"/>
      <c r="W39" s="314"/>
      <c r="X39" s="314"/>
      <c r="Y39" s="313"/>
      <c r="Z39" s="314"/>
      <c r="AA39" s="314"/>
      <c r="AB39" s="314"/>
      <c r="AC39" s="314"/>
      <c r="AD39" s="313"/>
      <c r="AE39" s="132"/>
      <c r="AF39" s="132"/>
      <c r="AG39" s="132"/>
      <c r="AH39" s="9"/>
      <c r="AI39" s="9"/>
    </row>
    <row r="40" spans="1:35" ht="12.75" customHeight="1" x14ac:dyDescent="0.25">
      <c r="A40" s="9"/>
      <c r="B40" s="9"/>
      <c r="C40" s="9" t="str">
        <f>Model!C67</f>
        <v>SG&amp;A as % of Revenue</v>
      </c>
      <c r="D40" s="9"/>
      <c r="E40" s="9"/>
      <c r="F40" s="312">
        <f>Model!F67</f>
        <v>-0.21350388188876163</v>
      </c>
      <c r="G40" s="312">
        <f>Model!G67</f>
        <v>-0.19630471179143746</v>
      </c>
      <c r="H40" s="312">
        <f>Model!H67</f>
        <v>-0.19110541940741604</v>
      </c>
      <c r="I40" s="312">
        <f>Model!I67</f>
        <v>-0.1892714261565335</v>
      </c>
      <c r="J40" s="313">
        <f>Model!J67</f>
        <v>-0.19713793717712724</v>
      </c>
      <c r="K40" s="312">
        <f>Model!K67</f>
        <v>-0.20070758690402651</v>
      </c>
      <c r="L40" s="312">
        <f>Model!L67</f>
        <v>-0.18638908517693101</v>
      </c>
      <c r="M40" s="312">
        <f>Model!M67</f>
        <v>-0.18739016987060014</v>
      </c>
      <c r="N40" s="312">
        <f>Model!N67</f>
        <v>-0.19336039129982308</v>
      </c>
      <c r="O40" s="313">
        <f>Model!O67</f>
        <v>-0.19188420641231249</v>
      </c>
      <c r="P40" s="312">
        <f>Model!P67</f>
        <v>-0.19046109966724767</v>
      </c>
      <c r="Q40" s="312">
        <f>Model!Q67</f>
        <v>-0.18597300958210003</v>
      </c>
      <c r="R40" s="312">
        <f>Model!R67</f>
        <v>-0.18670039402636571</v>
      </c>
      <c r="S40" s="312">
        <f>Model!S67</f>
        <v>-0.19567490494296577</v>
      </c>
      <c r="T40" s="313">
        <f>Model!T67</f>
        <v>-0.18975181139157127</v>
      </c>
      <c r="U40" s="314">
        <f>IF(Case_Scenario="Bull",U41,IF(Case_Scenario="Base",U42,IF(Case_Scenario="bear",U43,"N/A")))</f>
        <v>-0.189</v>
      </c>
      <c r="V40" s="314">
        <f>IF(Case_Scenario="Bull",V41,IF(Case_Scenario="Base",V42,IF(Case_Scenario="bear",V43,"N/A")))</f>
        <v>-0.185</v>
      </c>
      <c r="W40" s="314">
        <f>IF(Case_Scenario="Bull",W41,IF(Case_Scenario="Base",W42,IF(Case_Scenario="bear",W43,"N/A")))</f>
        <v>-0.186</v>
      </c>
      <c r="X40" s="314">
        <f>IF(Case_Scenario="Bull",X41,IF(Case_Scenario="Base",X42,IF(Case_Scenario="bear",X43,"N/A")))</f>
        <v>-0.185</v>
      </c>
      <c r="Y40" s="313">
        <f>Model!Y67</f>
        <v>-0.18638005360770224</v>
      </c>
      <c r="Z40" s="314">
        <f>IF(Case_Scenario="Bull",Z41,IF(Case_Scenario="Base",Z42,IF(Case_Scenario="bear",Z43,"N/A")))</f>
        <v>-0.187</v>
      </c>
      <c r="AA40" s="314">
        <f>IF(Case_Scenario="Bull",AA41,IF(Case_Scenario="Base",AA42,IF(Case_Scenario="bear",AA43,"N/A")))</f>
        <v>-0.186</v>
      </c>
      <c r="AB40" s="314">
        <f>IF(Case_Scenario="Bull",AB41,IF(Case_Scenario="Base",AB42,IF(Case_Scenario="bear",AB43,"N/A")))</f>
        <v>-0.184</v>
      </c>
      <c r="AC40" s="314">
        <f>IF(Case_Scenario="Bull",AC41,IF(Case_Scenario="Base",AC42,IF(Case_Scenario="bear",AC43,"N/A")))</f>
        <v>-0.182</v>
      </c>
      <c r="AD40" s="313">
        <f>Model!AD67</f>
        <v>-0.18467778661794637</v>
      </c>
      <c r="AE40" s="313">
        <f>IF(Case_Scenario="Bull",AE41,IF(Case_Scenario="Base",AE42,IF(Case_Scenario="bear",AE43,"N/A")))</f>
        <v>-0.182</v>
      </c>
      <c r="AF40" s="313">
        <f>IF(Case_Scenario="Bull",AF41,IF(Case_Scenario="Base",AF42,IF(Case_Scenario="bear",AF43,"N/A")))</f>
        <v>-0.18099999999999999</v>
      </c>
      <c r="AG40" s="313">
        <f>IF(Case_Scenario="Bull",AG41,IF(Case_Scenario="Base",AG42,IF(Case_Scenario="bear",AG43,"N/A")))</f>
        <v>-0.18099999999999999</v>
      </c>
      <c r="AH40" s="9"/>
      <c r="AI40" s="9"/>
    </row>
    <row r="41" spans="1:35" ht="12.75" customHeight="1" x14ac:dyDescent="0.25">
      <c r="A41" s="9"/>
      <c r="B41" s="9"/>
      <c r="C41" s="103" t="s">
        <v>246</v>
      </c>
      <c r="D41" s="9"/>
      <c r="E41" s="9"/>
      <c r="F41" s="312"/>
      <c r="G41" s="312"/>
      <c r="H41" s="312"/>
      <c r="I41" s="312"/>
      <c r="J41" s="313"/>
      <c r="K41" s="312"/>
      <c r="L41" s="312"/>
      <c r="M41" s="312"/>
      <c r="N41" s="312"/>
      <c r="O41" s="313"/>
      <c r="P41" s="312"/>
      <c r="Q41" s="312"/>
      <c r="R41" s="312"/>
      <c r="S41" s="312"/>
      <c r="T41" s="313"/>
      <c r="U41" s="255">
        <f>+U42+0.2%</f>
        <v>-0.187</v>
      </c>
      <c r="V41" s="255">
        <f t="shared" ref="V41:X41" si="8">+V42+0.4%</f>
        <v>-0.18099999999999999</v>
      </c>
      <c r="W41" s="255">
        <f t="shared" si="8"/>
        <v>-0.182</v>
      </c>
      <c r="X41" s="255">
        <f t="shared" si="8"/>
        <v>-0.18099999999999999</v>
      </c>
      <c r="Y41" s="313"/>
      <c r="Z41" s="255">
        <f t="shared" ref="Z41:AC41" si="9">+Z42+0.4%</f>
        <v>-0.183</v>
      </c>
      <c r="AA41" s="255">
        <f t="shared" si="9"/>
        <v>-0.182</v>
      </c>
      <c r="AB41" s="255">
        <f t="shared" si="9"/>
        <v>-0.18</v>
      </c>
      <c r="AC41" s="255">
        <f t="shared" si="9"/>
        <v>-0.17799999999999999</v>
      </c>
      <c r="AD41" s="313"/>
      <c r="AE41" s="256">
        <f>+AE42+0.3%</f>
        <v>-0.17899999999999999</v>
      </c>
      <c r="AF41" s="256">
        <f t="shared" ref="AF41:AG41" si="10">+AF42+0.3%</f>
        <v>-0.17799999999999999</v>
      </c>
      <c r="AG41" s="256">
        <f t="shared" si="10"/>
        <v>-0.17799999999999999</v>
      </c>
      <c r="AH41" s="9"/>
      <c r="AI41" s="9"/>
    </row>
    <row r="42" spans="1:35" ht="12.75" customHeight="1" x14ac:dyDescent="0.25">
      <c r="A42" s="9"/>
      <c r="B42" s="9"/>
      <c r="C42" s="103" t="s">
        <v>247</v>
      </c>
      <c r="D42" s="9"/>
      <c r="E42" s="9"/>
      <c r="F42" s="312"/>
      <c r="G42" s="312"/>
      <c r="H42" s="312"/>
      <c r="I42" s="312"/>
      <c r="J42" s="313"/>
      <c r="K42" s="312"/>
      <c r="L42" s="312"/>
      <c r="M42" s="312"/>
      <c r="N42" s="312"/>
      <c r="O42" s="313"/>
      <c r="P42" s="312"/>
      <c r="Q42" s="312"/>
      <c r="R42" s="312"/>
      <c r="S42" s="312"/>
      <c r="T42" s="313"/>
      <c r="U42" s="255">
        <v>-0.189</v>
      </c>
      <c r="V42" s="255">
        <v>-0.185</v>
      </c>
      <c r="W42" s="255">
        <v>-0.186</v>
      </c>
      <c r="X42" s="255">
        <v>-0.185</v>
      </c>
      <c r="Y42" s="313"/>
      <c r="Z42" s="255">
        <v>-0.187</v>
      </c>
      <c r="AA42" s="255">
        <v>-0.186</v>
      </c>
      <c r="AB42" s="255">
        <v>-0.184</v>
      </c>
      <c r="AC42" s="255">
        <v>-0.182</v>
      </c>
      <c r="AD42" s="313"/>
      <c r="AE42" s="256">
        <v>-0.182</v>
      </c>
      <c r="AF42" s="256">
        <v>-0.18099999999999999</v>
      </c>
      <c r="AG42" s="256">
        <v>-0.18099999999999999</v>
      </c>
      <c r="AH42" s="9"/>
      <c r="AI42" s="9"/>
    </row>
    <row r="43" spans="1:35" ht="12.75" customHeight="1" x14ac:dyDescent="0.25">
      <c r="A43" s="205" t="s">
        <v>0</v>
      </c>
      <c r="B43" s="9"/>
      <c r="C43" s="103" t="s">
        <v>248</v>
      </c>
      <c r="D43" s="9"/>
      <c r="E43" s="9"/>
      <c r="F43" s="312"/>
      <c r="G43" s="312"/>
      <c r="H43" s="312"/>
      <c r="I43" s="312"/>
      <c r="J43" s="313"/>
      <c r="K43" s="312"/>
      <c r="L43" s="312"/>
      <c r="M43" s="312"/>
      <c r="N43" s="312"/>
      <c r="O43" s="313"/>
      <c r="P43" s="312"/>
      <c r="Q43" s="312"/>
      <c r="R43" s="312"/>
      <c r="S43" s="312"/>
      <c r="T43" s="313"/>
      <c r="U43" s="255">
        <f>+U42-1.5%</f>
        <v>-0.20400000000000001</v>
      </c>
      <c r="V43" s="255">
        <f t="shared" ref="V43:X43" si="11">+V42-1.5%</f>
        <v>-0.2</v>
      </c>
      <c r="W43" s="255">
        <f t="shared" si="11"/>
        <v>-0.20100000000000001</v>
      </c>
      <c r="X43" s="255">
        <f t="shared" si="11"/>
        <v>-0.2</v>
      </c>
      <c r="Y43" s="313"/>
      <c r="Z43" s="255">
        <f>+Z42-1.5%</f>
        <v>-0.20200000000000001</v>
      </c>
      <c r="AA43" s="255">
        <f t="shared" ref="AA43:AC43" si="12">+AA42-1.5%</f>
        <v>-0.20100000000000001</v>
      </c>
      <c r="AB43" s="255">
        <f t="shared" si="12"/>
        <v>-0.19900000000000001</v>
      </c>
      <c r="AC43" s="255">
        <f t="shared" si="12"/>
        <v>-0.19700000000000001</v>
      </c>
      <c r="AD43" s="313"/>
      <c r="AE43" s="256">
        <f>+AE42-1.5%</f>
        <v>-0.19700000000000001</v>
      </c>
      <c r="AF43" s="256">
        <f t="shared" ref="AF43" si="13">+AF42-1.5%</f>
        <v>-0.19600000000000001</v>
      </c>
      <c r="AG43" s="256">
        <f t="shared" ref="AG43" si="14">+AG42-1.5%</f>
        <v>-0.19600000000000001</v>
      </c>
      <c r="AH43" s="205" t="s">
        <v>0</v>
      </c>
      <c r="AI43" s="205"/>
    </row>
    <row r="44" spans="1:35" ht="12.75" customHeight="1" x14ac:dyDescent="0.25">
      <c r="A44" s="205"/>
      <c r="B44" s="9"/>
      <c r="C44" s="103"/>
      <c r="D44" s="9"/>
      <c r="E44" s="9"/>
      <c r="F44" s="838"/>
      <c r="G44" s="838"/>
      <c r="H44" s="838"/>
      <c r="I44" s="838"/>
      <c r="J44" s="313"/>
      <c r="K44" s="838"/>
      <c r="L44" s="838"/>
      <c r="M44" s="838"/>
      <c r="N44" s="838"/>
      <c r="O44" s="313"/>
      <c r="P44" s="838"/>
      <c r="Q44" s="838"/>
      <c r="R44" s="838"/>
      <c r="S44" s="838"/>
      <c r="T44" s="313"/>
      <c r="U44" s="839"/>
      <c r="V44" s="839"/>
      <c r="W44" s="839"/>
      <c r="X44" s="839"/>
      <c r="Y44" s="313"/>
      <c r="Z44" s="839"/>
      <c r="AA44" s="839"/>
      <c r="AB44" s="839"/>
      <c r="AC44" s="839"/>
      <c r="AD44" s="313"/>
      <c r="AE44" s="256"/>
      <c r="AF44" s="256"/>
      <c r="AG44" s="256"/>
      <c r="AH44" s="205"/>
      <c r="AI44" s="205"/>
    </row>
    <row r="45" spans="1:35" ht="12.75" customHeight="1" x14ac:dyDescent="0.25">
      <c r="A45" s="9"/>
      <c r="B45" s="9"/>
      <c r="C45" s="9" t="str">
        <f>+Model!C35&amp;"as a % of Revenue"</f>
        <v>Variable Customer Engagement (VCE) as a % of Revenue</v>
      </c>
      <c r="D45" s="9"/>
      <c r="E45" s="9"/>
      <c r="F45" s="312">
        <f>+Model!F68</f>
        <v>-0.39086165203003692</v>
      </c>
      <c r="G45" s="312">
        <f>+Model!G68</f>
        <v>-0.37628557761301124</v>
      </c>
      <c r="H45" s="312">
        <f>+Model!H68</f>
        <v>-0.35857733279003434</v>
      </c>
      <c r="I45" s="312">
        <f>+Model!I68</f>
        <v>-0.36045528821772693</v>
      </c>
      <c r="J45" s="313">
        <f>Model!J68</f>
        <v>-0.37099934683213587</v>
      </c>
      <c r="K45" s="312">
        <f>+Model!K68</f>
        <v>-0.35587128657269612</v>
      </c>
      <c r="L45" s="312">
        <f>+Model!L68</f>
        <v>-0.37006033592433552</v>
      </c>
      <c r="M45" s="312">
        <f>+Model!M68</f>
        <v>-0.36088183609350871</v>
      </c>
      <c r="N45" s="312">
        <f>+Model!N68</f>
        <v>-0.38219377666770737</v>
      </c>
      <c r="O45" s="313">
        <f>Model!O68</f>
        <v>-0.36747483187558116</v>
      </c>
      <c r="P45" s="312">
        <f>+Model!P68</f>
        <v>-0.38213700945439183</v>
      </c>
      <c r="Q45" s="312">
        <f>+Model!Q68</f>
        <v>-0.37666181708724228</v>
      </c>
      <c r="R45" s="312">
        <f>+Model!R68</f>
        <v>-0.37437369265943476</v>
      </c>
      <c r="S45" s="312">
        <f>+Model!S68</f>
        <v>-0.40323193916349809</v>
      </c>
      <c r="T45" s="313">
        <f>Model!T68</f>
        <v>-0.38431328685234206</v>
      </c>
      <c r="U45" s="314">
        <f>IF(Case_Scenario="Bull",U46,IF(Case_Scenario="Base",U47,IF(Case_Scenario="bear",U48,"N/A")))</f>
        <v>-0.39600000000000002</v>
      </c>
      <c r="V45" s="314">
        <f>IF(Case_Scenario="Bull",V46,IF(Case_Scenario="Base",V47,IF(Case_Scenario="bear",V48,"N/A")))</f>
        <v>-0.39600000000000002</v>
      </c>
      <c r="W45" s="314">
        <f>IF(Case_Scenario="Bull",W46,IF(Case_Scenario="Base",W47,IF(Case_Scenario="bear",W48,"N/A")))</f>
        <v>-0.39700000000000002</v>
      </c>
      <c r="X45" s="314">
        <f>IF(Case_Scenario="Bull",X46,IF(Case_Scenario="Base",X47,IF(Case_Scenario="bear",X48,"N/A")))</f>
        <v>-0.39300000000000002</v>
      </c>
      <c r="Y45" s="313">
        <f>Model!Y68</f>
        <v>-0.3976065749435862</v>
      </c>
      <c r="Z45" s="314">
        <f>IF(Case_Scenario="Bull",Z46,IF(Case_Scenario="Base",Z47,IF(Case_Scenario="bear",Z48,"N/A")))</f>
        <v>-0.39400000000000002</v>
      </c>
      <c r="AA45" s="314">
        <f>IF(Case_Scenario="Bull",AA46,IF(Case_Scenario="Base",AA47,IF(Case_Scenario="bear",AA48,"N/A")))</f>
        <v>-0.39</v>
      </c>
      <c r="AB45" s="314">
        <f>IF(Case_Scenario="Bull",AB46,IF(Case_Scenario="Base",AB47,IF(Case_Scenario="bear",AB48,"N/A")))</f>
        <v>-0.38800000000000001</v>
      </c>
      <c r="AC45" s="314">
        <f>IF(Case_Scenario="Bull",AC46,IF(Case_Scenario="Base",AC47,IF(Case_Scenario="bear",AC48,"N/A")))</f>
        <v>-0.38800000000000001</v>
      </c>
      <c r="AD45" s="313">
        <f>Model!AD68</f>
        <v>-0.38991310939735818</v>
      </c>
      <c r="AE45" s="313">
        <f>IF(Case_Scenario="Bull",AE46,IF(Case_Scenario="Base",AE47,IF(Case_Scenario="bear",AE48,"N/A")))</f>
        <v>-0.38900000000000001</v>
      </c>
      <c r="AF45" s="313">
        <f>IF(Case_Scenario="Bull",AF46,IF(Case_Scenario="Base",AF47,IF(Case_Scenario="bear",AF48,"N/A")))</f>
        <v>-0.38850000000000001</v>
      </c>
      <c r="AG45" s="313">
        <f>IF(Case_Scenario="Bull",AG46,IF(Case_Scenario="Base",AG47,IF(Case_Scenario="bear",AG48,"N/A")))</f>
        <v>-0.38800000000000001</v>
      </c>
      <c r="AH45" s="9"/>
      <c r="AI45" s="9"/>
    </row>
    <row r="46" spans="1:35" ht="12.75" customHeight="1" x14ac:dyDescent="0.25">
      <c r="A46" s="9"/>
      <c r="B46" s="9"/>
      <c r="C46" s="103" t="s">
        <v>246</v>
      </c>
      <c r="D46" s="9"/>
      <c r="E46" s="9"/>
      <c r="F46" s="312"/>
      <c r="G46" s="312"/>
      <c r="H46" s="312"/>
      <c r="I46" s="312"/>
      <c r="J46" s="313"/>
      <c r="K46" s="312"/>
      <c r="L46" s="312"/>
      <c r="M46" s="312"/>
      <c r="N46" s="312"/>
      <c r="O46" s="313"/>
      <c r="P46" s="312"/>
      <c r="Q46" s="312"/>
      <c r="R46" s="312"/>
      <c r="S46" s="312"/>
      <c r="T46" s="313"/>
      <c r="U46" s="255">
        <f>+U47+0.002</f>
        <v>-0.39400000000000002</v>
      </c>
      <c r="V46" s="255">
        <f>+V47+0.002</f>
        <v>-0.39400000000000002</v>
      </c>
      <c r="W46" s="255">
        <f t="shared" ref="W46" si="15">+W47+0.004</f>
        <v>-0.39300000000000002</v>
      </c>
      <c r="X46" s="255">
        <f>+X47+0.004</f>
        <v>-0.38900000000000001</v>
      </c>
      <c r="Y46" s="313"/>
      <c r="Z46" s="255">
        <f>+Z47+0.006</f>
        <v>-0.38800000000000001</v>
      </c>
      <c r="AA46" s="255">
        <f t="shared" ref="AA46:AC46" si="16">+AA47+0.006</f>
        <v>-0.38400000000000001</v>
      </c>
      <c r="AB46" s="255">
        <f t="shared" si="16"/>
        <v>-0.38200000000000001</v>
      </c>
      <c r="AC46" s="255">
        <f t="shared" si="16"/>
        <v>-0.38200000000000001</v>
      </c>
      <c r="AD46" s="313"/>
      <c r="AE46" s="256">
        <f>+AE47+0.005</f>
        <v>-0.38400000000000001</v>
      </c>
      <c r="AF46" s="256">
        <f t="shared" ref="AF46:AG46" si="17">+AF47+0.005</f>
        <v>-0.38350000000000001</v>
      </c>
      <c r="AG46" s="256">
        <f t="shared" si="17"/>
        <v>-0.38300000000000001</v>
      </c>
      <c r="AH46" s="9"/>
      <c r="AI46" s="9"/>
    </row>
    <row r="47" spans="1:35" ht="12.75" customHeight="1" x14ac:dyDescent="0.25">
      <c r="A47" s="9"/>
      <c r="B47" s="9"/>
      <c r="C47" s="103" t="s">
        <v>247</v>
      </c>
      <c r="D47" s="9"/>
      <c r="E47" s="9"/>
      <c r="F47" s="312"/>
      <c r="G47" s="312"/>
      <c r="H47" s="312"/>
      <c r="I47" s="312"/>
      <c r="J47" s="313"/>
      <c r="K47" s="312"/>
      <c r="L47" s="312"/>
      <c r="M47" s="312"/>
      <c r="N47" s="312"/>
      <c r="O47" s="313"/>
      <c r="P47" s="312"/>
      <c r="Q47" s="312"/>
      <c r="R47" s="312"/>
      <c r="S47" s="312"/>
      <c r="T47" s="313"/>
      <c r="U47" s="255">
        <v>-0.39600000000000002</v>
      </c>
      <c r="V47" s="255">
        <v>-0.39600000000000002</v>
      </c>
      <c r="W47" s="255">
        <v>-0.39700000000000002</v>
      </c>
      <c r="X47" s="255">
        <v>-0.39300000000000002</v>
      </c>
      <c r="Y47" s="313"/>
      <c r="Z47" s="255">
        <v>-0.39400000000000002</v>
      </c>
      <c r="AA47" s="255">
        <v>-0.39</v>
      </c>
      <c r="AB47" s="255">
        <v>-0.38800000000000001</v>
      </c>
      <c r="AC47" s="255">
        <v>-0.38800000000000001</v>
      </c>
      <c r="AD47" s="313"/>
      <c r="AE47" s="256">
        <v>-0.38900000000000001</v>
      </c>
      <c r="AF47" s="256">
        <v>-0.38850000000000001</v>
      </c>
      <c r="AG47" s="256">
        <v>-0.38800000000000001</v>
      </c>
      <c r="AH47" s="9"/>
      <c r="AI47" s="9"/>
    </row>
    <row r="48" spans="1:35" ht="12.75" customHeight="1" x14ac:dyDescent="0.25">
      <c r="A48" s="205" t="s">
        <v>0</v>
      </c>
      <c r="B48" s="9"/>
      <c r="C48" s="103" t="s">
        <v>248</v>
      </c>
      <c r="D48" s="9"/>
      <c r="E48" s="9"/>
      <c r="F48" s="312"/>
      <c r="G48" s="312"/>
      <c r="H48" s="312"/>
      <c r="I48" s="312"/>
      <c r="J48" s="313"/>
      <c r="K48" s="312"/>
      <c r="L48" s="312"/>
      <c r="M48" s="312"/>
      <c r="N48" s="312"/>
      <c r="O48" s="313"/>
      <c r="P48" s="312"/>
      <c r="Q48" s="312"/>
      <c r="R48" s="312"/>
      <c r="S48" s="312"/>
      <c r="T48" s="313"/>
      <c r="U48" s="255">
        <f t="shared" ref="U48:AC48" si="18">+U47-1.5%</f>
        <v>-0.41100000000000003</v>
      </c>
      <c r="V48" s="255">
        <f t="shared" si="18"/>
        <v>-0.41100000000000003</v>
      </c>
      <c r="W48" s="255">
        <f t="shared" si="18"/>
        <v>-0.41200000000000003</v>
      </c>
      <c r="X48" s="255">
        <f t="shared" si="18"/>
        <v>-0.40800000000000003</v>
      </c>
      <c r="Y48" s="313"/>
      <c r="Z48" s="255">
        <f t="shared" si="18"/>
        <v>-0.40900000000000003</v>
      </c>
      <c r="AA48" s="255">
        <f t="shared" si="18"/>
        <v>-0.40500000000000003</v>
      </c>
      <c r="AB48" s="255">
        <f t="shared" si="18"/>
        <v>-0.40300000000000002</v>
      </c>
      <c r="AC48" s="255">
        <f t="shared" si="18"/>
        <v>-0.40300000000000002</v>
      </c>
      <c r="AD48" s="313"/>
      <c r="AE48" s="256">
        <f>+AE47-1.5%</f>
        <v>-0.40400000000000003</v>
      </c>
      <c r="AF48" s="256">
        <f t="shared" ref="AF48:AG48" si="19">+AF47-1.5%</f>
        <v>-0.40350000000000003</v>
      </c>
      <c r="AG48" s="256">
        <f t="shared" si="19"/>
        <v>-0.40300000000000002</v>
      </c>
      <c r="AH48" s="205" t="s">
        <v>0</v>
      </c>
      <c r="AI48" s="205"/>
    </row>
    <row r="49" spans="1:35" ht="12.75" customHeight="1" x14ac:dyDescent="0.25">
      <c r="A49" s="205"/>
      <c r="B49" s="9"/>
      <c r="C49" s="103"/>
      <c r="D49" s="9"/>
      <c r="E49" s="9"/>
      <c r="F49" s="838"/>
      <c r="G49" s="838"/>
      <c r="H49" s="838"/>
      <c r="I49" s="838"/>
      <c r="J49" s="313"/>
      <c r="K49" s="838"/>
      <c r="L49" s="838"/>
      <c r="M49" s="838"/>
      <c r="N49" s="838"/>
      <c r="O49" s="313"/>
      <c r="P49" s="838"/>
      <c r="Q49" s="838"/>
      <c r="R49" s="838"/>
      <c r="S49" s="838"/>
      <c r="T49" s="313"/>
      <c r="U49" s="839"/>
      <c r="V49" s="839"/>
      <c r="W49" s="839"/>
      <c r="X49" s="839"/>
      <c r="Y49" s="313"/>
      <c r="Z49" s="839"/>
      <c r="AA49" s="839"/>
      <c r="AB49" s="839"/>
      <c r="AC49" s="839"/>
      <c r="AD49" s="313"/>
      <c r="AE49" s="256"/>
      <c r="AF49" s="256"/>
      <c r="AG49" s="256"/>
      <c r="AH49" s="205"/>
      <c r="AI49" s="205"/>
    </row>
    <row r="50" spans="1:35" ht="12.75" customHeight="1" x14ac:dyDescent="0.25">
      <c r="A50" s="205"/>
      <c r="B50" s="9"/>
      <c r="C50" s="103" t="s">
        <v>848</v>
      </c>
      <c r="D50" s="9"/>
      <c r="E50" s="9"/>
      <c r="F50" s="838">
        <f>Model!F31/Model!F28</f>
        <v>-6.7137584319714907E-2</v>
      </c>
      <c r="G50" s="838">
        <f>Model!G31/Model!G28</f>
        <v>-7.1633580483138004E-2</v>
      </c>
      <c r="H50" s="838">
        <f>Model!H31/Model!H28</f>
        <v>-7.1773677163979283E-2</v>
      </c>
      <c r="I50" s="838">
        <f>Model!I31/Model!I28</f>
        <v>-8.097143179128867E-2</v>
      </c>
      <c r="J50" s="313">
        <f>I50</f>
        <v>-8.097143179128867E-2</v>
      </c>
      <c r="K50" s="838">
        <f>Model!K31/Model!K28</f>
        <v>-7.126410961981243E-2</v>
      </c>
      <c r="L50" s="838">
        <f>Model!L31/Model!L28</f>
        <v>-6.8924281132793391E-2</v>
      </c>
      <c r="M50" s="838">
        <f>Model!M31/Model!M28</f>
        <v>-7.2208317801799884E-2</v>
      </c>
      <c r="N50" s="838">
        <f>Model!N31/Model!N28</f>
        <v>-6.7228639816838381E-2</v>
      </c>
      <c r="O50" s="313">
        <f>N50</f>
        <v>-6.7228639816838381E-2</v>
      </c>
      <c r="P50" s="838">
        <f>Model!P31/Model!P28</f>
        <v>-6.0740505994823855E-2</v>
      </c>
      <c r="Q50" s="838">
        <f>Model!Q31/Model!Q28</f>
        <v>-7.0486128530577438E-2</v>
      </c>
      <c r="R50" s="838">
        <f>Model!R31/Model!R28</f>
        <v>-6.2606411441358173E-2</v>
      </c>
      <c r="S50" s="838">
        <f>Model!S31/Model!S28</f>
        <v>-6.7205323193916353E-2</v>
      </c>
      <c r="T50" s="313">
        <f>S50</f>
        <v>-6.7205323193916353E-2</v>
      </c>
      <c r="U50" s="314">
        <f>IF(Case_Scenario="Bull",U51,IF(Case_Scenario="Base",U52,IF(Case_Scenario="bear",U53,"N/A")))</f>
        <v>-6.3E-2</v>
      </c>
      <c r="V50" s="314">
        <f>IF(Case_Scenario="Bull",V51,IF(Case_Scenario="Base",V52,IF(Case_Scenario="bear",V53,"N/A")))</f>
        <v>-6.6000000000000003E-2</v>
      </c>
      <c r="W50" s="314">
        <f>IF(Case_Scenario="Bull",W51,IF(Case_Scenario="Base",W52,IF(Case_Scenario="bear",W53,"N/A")))</f>
        <v>-6.2E-2</v>
      </c>
      <c r="X50" s="314">
        <f>IF(Case_Scenario="Bull",X51,IF(Case_Scenario="Base",X52,IF(Case_Scenario="bear",X53,"N/A")))</f>
        <v>-6.5000000000000002E-2</v>
      </c>
      <c r="Y50" s="313">
        <f>X50</f>
        <v>-6.5000000000000002E-2</v>
      </c>
      <c r="Z50" s="314">
        <f>IF(Case_Scenario="Bull",Z51,IF(Case_Scenario="Base",Z52,IF(Case_Scenario="bear",Z53,"N/A")))</f>
        <v>-6.2E-2</v>
      </c>
      <c r="AA50" s="314">
        <f>IF(Case_Scenario="Bull",AA51,IF(Case_Scenario="Base",AA52,IF(Case_Scenario="bear",AA53,"N/A")))</f>
        <v>-6.5000000000000002E-2</v>
      </c>
      <c r="AB50" s="314">
        <f>IF(Case_Scenario="Bull",AB51,IF(Case_Scenario="Base",AB52,IF(Case_Scenario="bear",AB53,"N/A")))</f>
        <v>-6.5000000000000002E-2</v>
      </c>
      <c r="AC50" s="314">
        <f>IF(Case_Scenario="Bull",AC51,IF(Case_Scenario="Base",AC52,IF(Case_Scenario="bear",AC53,"N/A")))</f>
        <v>-6.4000000000000001E-2</v>
      </c>
      <c r="AD50" s="313">
        <f>AC50</f>
        <v>-6.4000000000000001E-2</v>
      </c>
      <c r="AE50" s="313">
        <f>IF(Case_Scenario="Bull",AE51,IF(Case_Scenario="Base",AE52,IF(Case_Scenario="bear",AE53,"N/A")))</f>
        <v>-6.3E-2</v>
      </c>
      <c r="AF50" s="313">
        <f>IF(Case_Scenario="Bull",AF51,IF(Case_Scenario="Base",AF52,IF(Case_Scenario="bear",AF53,"N/A")))</f>
        <v>-6.3E-2</v>
      </c>
      <c r="AG50" s="313">
        <f>IF(Case_Scenario="Bull",AG51,IF(Case_Scenario="Base",AG52,IF(Case_Scenario="bear",AG53,"N/A")))</f>
        <v>-6.3E-2</v>
      </c>
      <c r="AH50" s="205">
        <f>IF(Case_Scenario="Bull",AH51,IF(Case_Scenario="Base",AH52,IF(Case_Scenario="bear",AH53,"N/A")))</f>
        <v>-6.3E-2</v>
      </c>
      <c r="AI50" s="205"/>
    </row>
    <row r="51" spans="1:35" ht="12.75" customHeight="1" x14ac:dyDescent="0.25">
      <c r="A51" s="205"/>
      <c r="B51" s="9"/>
      <c r="C51" s="103" t="s">
        <v>246</v>
      </c>
      <c r="D51" s="9"/>
      <c r="E51" s="9"/>
      <c r="F51" s="838"/>
      <c r="G51" s="838"/>
      <c r="H51" s="838"/>
      <c r="I51" s="838"/>
      <c r="J51" s="313"/>
      <c r="K51" s="838"/>
      <c r="L51" s="838"/>
      <c r="M51" s="838"/>
      <c r="N51" s="838"/>
      <c r="O51" s="313"/>
      <c r="P51" s="838"/>
      <c r="Q51" s="838"/>
      <c r="R51" s="838"/>
      <c r="S51" s="838"/>
      <c r="T51" s="313"/>
      <c r="U51" s="255">
        <f>+U52+0.006</f>
        <v>-5.7000000000000002E-2</v>
      </c>
      <c r="V51" s="255">
        <f t="shared" ref="V51:X51" si="20">+V52+0.006</f>
        <v>-6.0000000000000005E-2</v>
      </c>
      <c r="W51" s="255">
        <f t="shared" si="20"/>
        <v>-5.6000000000000001E-2</v>
      </c>
      <c r="X51" s="255">
        <f t="shared" si="20"/>
        <v>-5.9000000000000004E-2</v>
      </c>
      <c r="Y51" s="313"/>
      <c r="Z51" s="255">
        <f>+Z52+0.006</f>
        <v>-5.6000000000000001E-2</v>
      </c>
      <c r="AA51" s="255">
        <f t="shared" ref="AA51:AC51" si="21">+AA52+0.006</f>
        <v>-5.9000000000000004E-2</v>
      </c>
      <c r="AB51" s="255">
        <f t="shared" si="21"/>
        <v>-5.9000000000000004E-2</v>
      </c>
      <c r="AC51" s="255">
        <f t="shared" si="21"/>
        <v>-5.8000000000000003E-2</v>
      </c>
      <c r="AD51" s="313"/>
      <c r="AE51" s="256">
        <f>+AE52+0.006</f>
        <v>-5.7000000000000002E-2</v>
      </c>
      <c r="AF51" s="256">
        <f t="shared" ref="AF51" si="22">+AF52+0.006</f>
        <v>-5.7000000000000002E-2</v>
      </c>
      <c r="AG51" s="256">
        <f t="shared" ref="AG51" si="23">+AG52+0.006</f>
        <v>-5.7000000000000002E-2</v>
      </c>
      <c r="AH51" s="205">
        <f t="shared" ref="AH51" si="24">+AH52+0.006</f>
        <v>-5.7000000000000002E-2</v>
      </c>
      <c r="AI51" s="205"/>
    </row>
    <row r="52" spans="1:35" ht="12.75" customHeight="1" x14ac:dyDescent="0.25">
      <c r="A52" s="205"/>
      <c r="B52" s="9"/>
      <c r="C52" s="103" t="s">
        <v>247</v>
      </c>
      <c r="D52" s="9"/>
      <c r="E52" s="9"/>
      <c r="F52" s="838"/>
      <c r="G52" s="838"/>
      <c r="H52" s="838"/>
      <c r="I52" s="838"/>
      <c r="J52" s="313"/>
      <c r="K52" s="838"/>
      <c r="L52" s="838"/>
      <c r="M52" s="838"/>
      <c r="N52" s="838"/>
      <c r="O52" s="313"/>
      <c r="P52" s="838"/>
      <c r="Q52" s="838"/>
      <c r="R52" s="838"/>
      <c r="S52" s="838"/>
      <c r="T52" s="313"/>
      <c r="U52" s="255">
        <v>-6.3E-2</v>
      </c>
      <c r="V52" s="255">
        <v>-6.6000000000000003E-2</v>
      </c>
      <c r="W52" s="255">
        <v>-6.2E-2</v>
      </c>
      <c r="X52" s="255">
        <v>-6.5000000000000002E-2</v>
      </c>
      <c r="Y52" s="313"/>
      <c r="Z52" s="255">
        <v>-6.2E-2</v>
      </c>
      <c r="AA52" s="255">
        <v>-6.5000000000000002E-2</v>
      </c>
      <c r="AB52" s="255">
        <v>-6.5000000000000002E-2</v>
      </c>
      <c r="AC52" s="255">
        <v>-6.4000000000000001E-2</v>
      </c>
      <c r="AD52" s="313"/>
      <c r="AE52" s="256">
        <v>-6.3E-2</v>
      </c>
      <c r="AF52" s="256">
        <v>-6.3E-2</v>
      </c>
      <c r="AG52" s="256">
        <v>-6.3E-2</v>
      </c>
      <c r="AH52" s="205">
        <f t="shared" ref="AH52" si="25">AG50</f>
        <v>-6.3E-2</v>
      </c>
      <c r="AI52" s="205"/>
    </row>
    <row r="53" spans="1:35" ht="12.75" customHeight="1" x14ac:dyDescent="0.25">
      <c r="A53" s="205"/>
      <c r="B53" s="9"/>
      <c r="C53" s="103" t="s">
        <v>248</v>
      </c>
      <c r="D53" s="9"/>
      <c r="E53" s="9"/>
      <c r="F53" s="312"/>
      <c r="G53" s="312"/>
      <c r="H53" s="312"/>
      <c r="I53" s="312"/>
      <c r="J53" s="313"/>
      <c r="K53" s="312"/>
      <c r="L53" s="312"/>
      <c r="M53" s="312"/>
      <c r="N53" s="312"/>
      <c r="O53" s="313"/>
      <c r="P53" s="312"/>
      <c r="Q53" s="312"/>
      <c r="R53" s="312"/>
      <c r="S53" s="312"/>
      <c r="T53" s="313"/>
      <c r="U53" s="255">
        <f>+U52-0.3%</f>
        <v>-6.6000000000000003E-2</v>
      </c>
      <c r="V53" s="255">
        <f t="shared" ref="V53:X53" si="26">+V52-0.3%</f>
        <v>-6.9000000000000006E-2</v>
      </c>
      <c r="W53" s="255">
        <f t="shared" si="26"/>
        <v>-6.5000000000000002E-2</v>
      </c>
      <c r="X53" s="255">
        <f t="shared" si="26"/>
        <v>-6.8000000000000005E-2</v>
      </c>
      <c r="Y53" s="313"/>
      <c r="Z53" s="255">
        <f t="shared" ref="Z53:AC53" si="27">+Z52-0.3%</f>
        <v>-6.5000000000000002E-2</v>
      </c>
      <c r="AA53" s="255">
        <f t="shared" si="27"/>
        <v>-6.8000000000000005E-2</v>
      </c>
      <c r="AB53" s="255">
        <f t="shared" si="27"/>
        <v>-6.8000000000000005E-2</v>
      </c>
      <c r="AC53" s="255">
        <f t="shared" si="27"/>
        <v>-6.7000000000000004E-2</v>
      </c>
      <c r="AD53" s="313"/>
      <c r="AE53" s="256">
        <f t="shared" ref="AE53:AG53" si="28">+AE52-0.3%</f>
        <v>-6.6000000000000003E-2</v>
      </c>
      <c r="AF53" s="256">
        <f t="shared" si="28"/>
        <v>-6.6000000000000003E-2</v>
      </c>
      <c r="AG53" s="256">
        <f t="shared" si="28"/>
        <v>-6.6000000000000003E-2</v>
      </c>
      <c r="AH53" s="9">
        <f t="shared" ref="AH53" si="29">+AH52-0.008</f>
        <v>-7.1000000000000008E-2</v>
      </c>
      <c r="AI53" s="9"/>
    </row>
    <row r="54" spans="1:35" ht="12.75" customHeight="1" x14ac:dyDescent="0.25">
      <c r="A54" s="205"/>
      <c r="B54" s="9"/>
      <c r="C54" s="103"/>
      <c r="D54" s="9"/>
      <c r="E54" s="9"/>
      <c r="F54" s="838"/>
      <c r="G54" s="838"/>
      <c r="H54" s="838"/>
      <c r="I54" s="838"/>
      <c r="J54" s="313"/>
      <c r="K54" s="838"/>
      <c r="L54" s="838"/>
      <c r="M54" s="838"/>
      <c r="N54" s="838"/>
      <c r="O54" s="313"/>
      <c r="P54" s="838"/>
      <c r="Q54" s="838"/>
      <c r="R54" s="838"/>
      <c r="S54" s="838"/>
      <c r="T54" s="313"/>
      <c r="U54" s="839"/>
      <c r="V54" s="839"/>
      <c r="W54" s="839"/>
      <c r="X54" s="839"/>
      <c r="Y54" s="313"/>
      <c r="Z54" s="839"/>
      <c r="AA54" s="839"/>
      <c r="AB54" s="839"/>
      <c r="AC54" s="839"/>
      <c r="AD54" s="313"/>
      <c r="AE54" s="256"/>
      <c r="AF54" s="256"/>
      <c r="AG54" s="256"/>
      <c r="AH54" s="9"/>
      <c r="AI54" s="9"/>
    </row>
    <row r="55" spans="1:35" ht="12.75" hidden="1" customHeight="1" outlineLevel="1" x14ac:dyDescent="0.25">
      <c r="A55" s="9"/>
      <c r="B55" s="9"/>
      <c r="C55" s="9" t="str">
        <f>Model!C69</f>
        <v>R&amp;D as a % of Revenue</v>
      </c>
      <c r="D55" s="9"/>
      <c r="E55" s="9"/>
      <c r="F55" s="312">
        <f>Model!F69</f>
        <v>0</v>
      </c>
      <c r="G55" s="312">
        <f>Model!G69</f>
        <v>0</v>
      </c>
      <c r="H55" s="312">
        <f>Model!H69</f>
        <v>0</v>
      </c>
      <c r="I55" s="312">
        <f>Model!I69</f>
        <v>0</v>
      </c>
      <c r="J55" s="313">
        <f>Model!J69</f>
        <v>0</v>
      </c>
      <c r="K55" s="312">
        <f>Model!K69</f>
        <v>0</v>
      </c>
      <c r="L55" s="312">
        <f>Model!L69</f>
        <v>0</v>
      </c>
      <c r="M55" s="312">
        <f>Model!M69</f>
        <v>0</v>
      </c>
      <c r="N55" s="312">
        <f>Model!N69</f>
        <v>0</v>
      </c>
      <c r="O55" s="313">
        <f>Model!O69</f>
        <v>0</v>
      </c>
      <c r="P55" s="312">
        <f>Model!P69</f>
        <v>0</v>
      </c>
      <c r="Q55" s="312">
        <f>Model!Q69</f>
        <v>0</v>
      </c>
      <c r="R55" s="312">
        <f>Model!R69</f>
        <v>0</v>
      </c>
      <c r="S55" s="312">
        <f>Model!S69</f>
        <v>0</v>
      </c>
      <c r="T55" s="313">
        <f>Model!T69</f>
        <v>0</v>
      </c>
      <c r="U55" s="314">
        <f>IF(Case_Scenario="Bull",U56,IF(Case_Scenario="Base",U57,IF(Case_Scenario="bear",U58,"N/A")))</f>
        <v>0</v>
      </c>
      <c r="V55" s="314">
        <f>IF(Case_Scenario="Bull",V56,IF(Case_Scenario="Base",V57,IF(Case_Scenario="bear",V58,"N/A")))</f>
        <v>0</v>
      </c>
      <c r="W55" s="314">
        <f>IF(Case_Scenario="Bull",W56,IF(Case_Scenario="Base",W57,IF(Case_Scenario="bear",W58,"N/A")))</f>
        <v>0</v>
      </c>
      <c r="X55" s="314">
        <f>IF(Case_Scenario="Bull",X56,IF(Case_Scenario="Base",X57,IF(Case_Scenario="bear",X58,"N/A")))</f>
        <v>0</v>
      </c>
      <c r="Y55" s="313">
        <f>Model!Y69</f>
        <v>0</v>
      </c>
      <c r="Z55" s="314">
        <f>IF(Case_Scenario="Bull",Z56,IF(Case_Scenario="Base",Z57,IF(Case_Scenario="bear",Z58,"N/A")))</f>
        <v>0</v>
      </c>
      <c r="AA55" s="314">
        <f>IF(Case_Scenario="Bull",AA56,IF(Case_Scenario="Base",AA57,IF(Case_Scenario="bear",AA58,"N/A")))</f>
        <v>0</v>
      </c>
      <c r="AB55" s="314">
        <f>IF(Case_Scenario="Bull",AB56,IF(Case_Scenario="Base",AB57,IF(Case_Scenario="bear",AB58,"N/A")))</f>
        <v>0</v>
      </c>
      <c r="AC55" s="314">
        <f>IF(Case_Scenario="Bull",AC56,IF(Case_Scenario="Base",AC57,IF(Case_Scenario="bear",AC58,"N/A")))</f>
        <v>0</v>
      </c>
      <c r="AD55" s="313">
        <f>Model!AD69</f>
        <v>0</v>
      </c>
      <c r="AE55" s="313">
        <f>IF(Case_Scenario="Bull",AE56,IF(Case_Scenario="Base",AE57,IF(Case_Scenario="bear",AE58,"N/A")))</f>
        <v>0</v>
      </c>
      <c r="AF55" s="313">
        <f>IF(Case_Scenario="Bull",AF56,IF(Case_Scenario="Base",AF57,IF(Case_Scenario="bear",AF58,"N/A")))</f>
        <v>0</v>
      </c>
      <c r="AG55" s="313">
        <f>IF(Case_Scenario="Bull",AG56,IF(Case_Scenario="Base",AG57,IF(Case_Scenario="bear",AG58,"N/A")))</f>
        <v>0</v>
      </c>
      <c r="AH55" s="9"/>
      <c r="AI55" s="9"/>
    </row>
    <row r="56" spans="1:35" ht="12.75" hidden="1" customHeight="1" outlineLevel="1" x14ac:dyDescent="0.25">
      <c r="A56" s="9"/>
      <c r="B56" s="9"/>
      <c r="C56" s="103" t="s">
        <v>246</v>
      </c>
      <c r="D56" s="9"/>
      <c r="E56" s="9"/>
      <c r="F56" s="312"/>
      <c r="G56" s="312"/>
      <c r="H56" s="312"/>
      <c r="I56" s="312"/>
      <c r="J56" s="313"/>
      <c r="K56" s="312"/>
      <c r="L56" s="312"/>
      <c r="M56" s="312"/>
      <c r="N56" s="312"/>
      <c r="O56" s="313"/>
      <c r="P56" s="312"/>
      <c r="Q56" s="312"/>
      <c r="R56" s="312"/>
      <c r="S56" s="312"/>
      <c r="T56" s="313"/>
      <c r="U56" s="255">
        <v>0</v>
      </c>
      <c r="V56" s="255">
        <v>0</v>
      </c>
      <c r="W56" s="255">
        <v>0</v>
      </c>
      <c r="X56" s="255">
        <v>0</v>
      </c>
      <c r="Y56" s="313"/>
      <c r="Z56" s="255">
        <v>0</v>
      </c>
      <c r="AA56" s="255">
        <v>0</v>
      </c>
      <c r="AB56" s="255">
        <v>0</v>
      </c>
      <c r="AC56" s="255">
        <v>0</v>
      </c>
      <c r="AD56" s="313"/>
      <c r="AE56" s="256">
        <v>0</v>
      </c>
      <c r="AF56" s="256">
        <v>0</v>
      </c>
      <c r="AG56" s="256">
        <v>0</v>
      </c>
      <c r="AH56" s="9"/>
      <c r="AI56" s="9"/>
    </row>
    <row r="57" spans="1:35" ht="12.75" hidden="1" customHeight="1" outlineLevel="1" x14ac:dyDescent="0.25">
      <c r="A57" s="9"/>
      <c r="B57" s="9"/>
      <c r="C57" s="103" t="s">
        <v>247</v>
      </c>
      <c r="D57" s="9"/>
      <c r="E57" s="9"/>
      <c r="F57" s="312"/>
      <c r="G57" s="312"/>
      <c r="H57" s="312"/>
      <c r="I57" s="312"/>
      <c r="J57" s="313"/>
      <c r="K57" s="312"/>
      <c r="L57" s="312"/>
      <c r="M57" s="312"/>
      <c r="N57" s="312"/>
      <c r="O57" s="313"/>
      <c r="P57" s="312"/>
      <c r="Q57" s="312"/>
      <c r="R57" s="312"/>
      <c r="S57" s="312"/>
      <c r="T57" s="313"/>
      <c r="U57" s="255">
        <v>0</v>
      </c>
      <c r="V57" s="255">
        <v>0</v>
      </c>
      <c r="W57" s="255">
        <v>0</v>
      </c>
      <c r="X57" s="255">
        <v>0</v>
      </c>
      <c r="Y57" s="313"/>
      <c r="Z57" s="255">
        <v>0</v>
      </c>
      <c r="AA57" s="255">
        <v>0</v>
      </c>
      <c r="AB57" s="255">
        <v>0</v>
      </c>
      <c r="AC57" s="255">
        <v>0</v>
      </c>
      <c r="AD57" s="313"/>
      <c r="AE57" s="256">
        <v>0</v>
      </c>
      <c r="AF57" s="256">
        <v>0</v>
      </c>
      <c r="AG57" s="256">
        <v>0</v>
      </c>
      <c r="AH57" s="9"/>
      <c r="AI57" s="9"/>
    </row>
    <row r="58" spans="1:35" ht="12.75" hidden="1" customHeight="1" outlineLevel="1" x14ac:dyDescent="0.25">
      <c r="A58" s="9"/>
      <c r="B58" s="9"/>
      <c r="C58" s="103" t="s">
        <v>248</v>
      </c>
      <c r="D58" s="9"/>
      <c r="E58" s="9"/>
      <c r="F58" s="312"/>
      <c r="G58" s="312"/>
      <c r="H58" s="312"/>
      <c r="I58" s="312"/>
      <c r="J58" s="313"/>
      <c r="K58" s="312"/>
      <c r="L58" s="312"/>
      <c r="M58" s="312"/>
      <c r="N58" s="312"/>
      <c r="O58" s="313"/>
      <c r="P58" s="312"/>
      <c r="Q58" s="312"/>
      <c r="R58" s="312"/>
      <c r="S58" s="312"/>
      <c r="T58" s="313"/>
      <c r="U58" s="255">
        <v>0</v>
      </c>
      <c r="V58" s="255">
        <v>0</v>
      </c>
      <c r="W58" s="255">
        <v>0</v>
      </c>
      <c r="X58" s="255">
        <v>0</v>
      </c>
      <c r="Y58" s="313"/>
      <c r="Z58" s="255">
        <v>0</v>
      </c>
      <c r="AA58" s="255">
        <v>0</v>
      </c>
      <c r="AB58" s="255">
        <v>0</v>
      </c>
      <c r="AC58" s="255">
        <v>0</v>
      </c>
      <c r="AD58" s="313"/>
      <c r="AE58" s="256">
        <v>0</v>
      </c>
      <c r="AF58" s="256">
        <v>0</v>
      </c>
      <c r="AG58" s="256">
        <v>0</v>
      </c>
      <c r="AH58" s="9"/>
      <c r="AI58" s="9"/>
    </row>
    <row r="59" spans="1:35" ht="12.75" hidden="1" customHeight="1" outlineLevel="1" x14ac:dyDescent="0.25">
      <c r="A59" s="9"/>
      <c r="B59" s="9"/>
      <c r="C59" s="9"/>
      <c r="D59" s="9"/>
      <c r="E59" s="9"/>
      <c r="F59" s="312"/>
      <c r="G59" s="312"/>
      <c r="H59" s="312"/>
      <c r="I59" s="312"/>
      <c r="J59" s="313"/>
      <c r="K59" s="312"/>
      <c r="L59" s="312"/>
      <c r="M59" s="312"/>
      <c r="N59" s="312"/>
      <c r="O59" s="313"/>
      <c r="P59" s="312"/>
      <c r="Q59" s="312"/>
      <c r="R59" s="312"/>
      <c r="S59" s="312"/>
      <c r="T59" s="313"/>
      <c r="U59" s="314"/>
      <c r="V59" s="314"/>
      <c r="W59" s="314"/>
      <c r="X59" s="314"/>
      <c r="Y59" s="313"/>
      <c r="Z59" s="314"/>
      <c r="AA59" s="314"/>
      <c r="AB59" s="314"/>
      <c r="AC59" s="314"/>
      <c r="AD59" s="313"/>
      <c r="AE59" s="132"/>
      <c r="AF59" s="132"/>
      <c r="AG59" s="132"/>
      <c r="AH59" s="9"/>
      <c r="AI59" s="9"/>
    </row>
    <row r="60" spans="1:35" ht="12.75" customHeight="1" collapsed="1" x14ac:dyDescent="0.25">
      <c r="A60" s="9"/>
      <c r="B60" s="9"/>
      <c r="C60" s="9" t="str">
        <f>Model!C70</f>
        <v>Other Operating Income as a % of Revenue</v>
      </c>
      <c r="D60" s="9"/>
      <c r="E60" s="9"/>
      <c r="F60" s="312">
        <f>Model!F70</f>
        <v>-9.940180730558737E-2</v>
      </c>
      <c r="G60" s="312">
        <f>Model!G70</f>
        <v>-9.2441999521645543E-2</v>
      </c>
      <c r="H60" s="312">
        <f>Model!H70</f>
        <v>-9.3428022585715115E-2</v>
      </c>
      <c r="I60" s="312">
        <f>Model!I70</f>
        <v>-0.11799177325745197</v>
      </c>
      <c r="J60" s="313">
        <f>Model!J70</f>
        <v>-0.10104803752746273</v>
      </c>
      <c r="K60" s="312">
        <f>Model!K70</f>
        <v>-8.2888751614533615E-2</v>
      </c>
      <c r="L60" s="312">
        <f>Model!L70</f>
        <v>-5.6422242756971247E-2</v>
      </c>
      <c r="M60" s="312">
        <f>Model!M70</f>
        <v>-9.4786729857819899E-2</v>
      </c>
      <c r="N60" s="312">
        <f>Model!N70</f>
        <v>-0.10771152044957852</v>
      </c>
      <c r="O60" s="313">
        <f>Model!O70</f>
        <v>-8.5767038180078442E-2</v>
      </c>
      <c r="P60" s="312">
        <f>Model!P70</f>
        <v>-8.693815031954788E-2</v>
      </c>
      <c r="Q60" s="312">
        <f>Model!Q70</f>
        <v>-8.4583354236692915E-2</v>
      </c>
      <c r="R60" s="312">
        <f>Model!R70</f>
        <v>-8.6588509996594828E-2</v>
      </c>
      <c r="S60" s="312">
        <f>Model!S70</f>
        <v>-8.9115969581749055E-2</v>
      </c>
      <c r="T60" s="313">
        <f>Model!T70</f>
        <v>-8.6834942768725998E-2</v>
      </c>
      <c r="U60" s="314">
        <f>IF(Case_Scenario="Bull",U61,IF(Case_Scenario="Base",U62,IF(Case_Scenario="bear",U63,"N/A")))</f>
        <v>-8.6999999999999994E-2</v>
      </c>
      <c r="V60" s="314">
        <f>IF(Case_Scenario="Bull",V61,IF(Case_Scenario="Base",V62,IF(Case_Scenario="bear",V63,"N/A")))</f>
        <v>-8.5999999999999993E-2</v>
      </c>
      <c r="W60" s="314">
        <f>IF(Case_Scenario="Bull",W61,IF(Case_Scenario="Base",W62,IF(Case_Scenario="bear",W63,"N/A")))</f>
        <v>-8.3000000000000004E-2</v>
      </c>
      <c r="X60" s="314">
        <f>IF(Case_Scenario="Bull",X61,IF(Case_Scenario="Base",X62,IF(Case_Scenario="bear",X63,"N/A")))</f>
        <v>-8.2000000000000003E-2</v>
      </c>
      <c r="Y60" s="313">
        <f>Model!Y70</f>
        <v>-8.0365607732860722E-2</v>
      </c>
      <c r="Z60" s="314">
        <f>IF(Case_Scenario="Bull",Z61,IF(Case_Scenario="Base",Z62,IF(Case_Scenario="bear",Z63,"N/A")))</f>
        <v>-8.6999999999999994E-2</v>
      </c>
      <c r="AA60" s="314">
        <f>IF(Case_Scenario="Bull",AA61,IF(Case_Scenario="Base",AA62,IF(Case_Scenario="bear",AA63,"N/A")))</f>
        <v>-8.7999999999999995E-2</v>
      </c>
      <c r="AB60" s="314">
        <f>IF(Case_Scenario="Bull",AB61,IF(Case_Scenario="Base",AB62,IF(Case_Scenario="bear",AB63,"N/A")))</f>
        <v>-8.3000000000000004E-2</v>
      </c>
      <c r="AC60" s="314">
        <f>IF(Case_Scenario="Bull",AC61,IF(Case_Scenario="Base",AC62,IF(Case_Scenario="bear",AC63,"N/A")))</f>
        <v>-8.6999999999999994E-2</v>
      </c>
      <c r="AD60" s="313">
        <f>Model!AD70</f>
        <v>-8.6234307374810221E-2</v>
      </c>
      <c r="AE60" s="313">
        <f>IF(Case_Scenario="Bull",AE61,IF(Case_Scenario="Base",AE62,IF(Case_Scenario="bear",AE63,"N/A")))</f>
        <v>-8.5999999999999993E-2</v>
      </c>
      <c r="AF60" s="313">
        <f>IF(Case_Scenario="Bull",AF61,IF(Case_Scenario="Base",AF62,IF(Case_Scenario="bear",AF63,"N/A")))</f>
        <v>-8.5999999999999993E-2</v>
      </c>
      <c r="AG60" s="313">
        <f>IF(Case_Scenario="Bull",AG61,IF(Case_Scenario="Base",AG62,IF(Case_Scenario="bear",AG63,"N/A")))</f>
        <v>-8.5999999999999993E-2</v>
      </c>
      <c r="AH60" s="9"/>
      <c r="AI60" s="9"/>
    </row>
    <row r="61" spans="1:35" ht="12.75" customHeight="1" x14ac:dyDescent="0.25">
      <c r="A61" s="9"/>
      <c r="B61" s="9"/>
      <c r="C61" s="103" t="s">
        <v>246</v>
      </c>
      <c r="D61" s="9"/>
      <c r="E61" s="9"/>
      <c r="F61" s="312"/>
      <c r="G61" s="312"/>
      <c r="H61" s="312"/>
      <c r="I61" s="312"/>
      <c r="J61" s="313"/>
      <c r="K61" s="312"/>
      <c r="L61" s="312"/>
      <c r="M61" s="312"/>
      <c r="N61" s="312"/>
      <c r="O61" s="313"/>
      <c r="P61" s="312"/>
      <c r="Q61" s="312"/>
      <c r="R61" s="312"/>
      <c r="S61" s="312"/>
      <c r="T61" s="313"/>
      <c r="U61" s="255">
        <f>+U62+0.002</f>
        <v>-8.4999999999999992E-2</v>
      </c>
      <c r="V61" s="255">
        <f t="shared" ref="V61:X61" si="30">+V62+0.002</f>
        <v>-8.3999999999999991E-2</v>
      </c>
      <c r="W61" s="255">
        <f t="shared" si="30"/>
        <v>-8.1000000000000003E-2</v>
      </c>
      <c r="X61" s="255">
        <f t="shared" si="30"/>
        <v>-0.08</v>
      </c>
      <c r="Y61" s="313"/>
      <c r="Z61" s="255">
        <f>+Z62+0.002</f>
        <v>-8.4999999999999992E-2</v>
      </c>
      <c r="AA61" s="255">
        <f t="shared" ref="AA61:AC61" si="31">+AA62+0.002</f>
        <v>-8.5999999999999993E-2</v>
      </c>
      <c r="AB61" s="255">
        <f t="shared" si="31"/>
        <v>-8.1000000000000003E-2</v>
      </c>
      <c r="AC61" s="255">
        <f t="shared" si="31"/>
        <v>-8.4999999999999992E-2</v>
      </c>
      <c r="AD61" s="313"/>
      <c r="AE61" s="256">
        <f t="shared" ref="AE61:AG61" si="32">+AE62+0.002</f>
        <v>-8.3999999999999991E-2</v>
      </c>
      <c r="AF61" s="256">
        <f t="shared" si="32"/>
        <v>-8.3999999999999991E-2</v>
      </c>
      <c r="AG61" s="256">
        <f t="shared" si="32"/>
        <v>-8.3999999999999991E-2</v>
      </c>
      <c r="AH61" s="9"/>
      <c r="AI61" s="9"/>
    </row>
    <row r="62" spans="1:35" ht="12.75" customHeight="1" x14ac:dyDescent="0.25">
      <c r="A62" s="9"/>
      <c r="B62" s="9"/>
      <c r="C62" s="103" t="s">
        <v>247</v>
      </c>
      <c r="D62" s="9"/>
      <c r="E62" s="9"/>
      <c r="F62" s="312"/>
      <c r="G62" s="312"/>
      <c r="H62" s="312"/>
      <c r="I62" s="312"/>
      <c r="J62" s="313"/>
      <c r="K62" s="312"/>
      <c r="L62" s="312"/>
      <c r="M62" s="312"/>
      <c r="N62" s="312"/>
      <c r="O62" s="313"/>
      <c r="P62" s="312"/>
      <c r="Q62" s="312"/>
      <c r="R62" s="312"/>
      <c r="S62" s="312"/>
      <c r="T62" s="313"/>
      <c r="U62" s="255">
        <v>-8.6999999999999994E-2</v>
      </c>
      <c r="V62" s="255">
        <v>-8.5999999999999993E-2</v>
      </c>
      <c r="W62" s="255">
        <v>-8.3000000000000004E-2</v>
      </c>
      <c r="X62" s="255">
        <v>-8.2000000000000003E-2</v>
      </c>
      <c r="Y62" s="313"/>
      <c r="Z62" s="255">
        <v>-8.6999999999999994E-2</v>
      </c>
      <c r="AA62" s="255">
        <v>-8.7999999999999995E-2</v>
      </c>
      <c r="AB62" s="255">
        <v>-8.3000000000000004E-2</v>
      </c>
      <c r="AC62" s="255">
        <v>-8.6999999999999994E-2</v>
      </c>
      <c r="AD62" s="313"/>
      <c r="AE62" s="256">
        <v>-8.5999999999999993E-2</v>
      </c>
      <c r="AF62" s="256">
        <v>-8.5999999999999993E-2</v>
      </c>
      <c r="AG62" s="256">
        <v>-8.5999999999999993E-2</v>
      </c>
      <c r="AH62" s="9"/>
      <c r="AI62" s="9"/>
    </row>
    <row r="63" spans="1:35" ht="12.75" customHeight="1" x14ac:dyDescent="0.25">
      <c r="A63" s="9"/>
      <c r="B63" s="9"/>
      <c r="C63" s="103" t="s">
        <v>248</v>
      </c>
      <c r="D63" s="9"/>
      <c r="E63" s="9"/>
      <c r="F63" s="312"/>
      <c r="G63" s="312"/>
      <c r="H63" s="312"/>
      <c r="I63" s="312"/>
      <c r="J63" s="313"/>
      <c r="K63" s="312"/>
      <c r="L63" s="312"/>
      <c r="M63" s="312"/>
      <c r="N63" s="312"/>
      <c r="O63" s="313"/>
      <c r="P63" s="312"/>
      <c r="Q63" s="312"/>
      <c r="R63" s="312"/>
      <c r="S63" s="312"/>
      <c r="T63" s="313"/>
      <c r="U63" s="255">
        <f>U62-0.006</f>
        <v>-9.2999999999999999E-2</v>
      </c>
      <c r="V63" s="255">
        <f t="shared" ref="V63:X63" si="33">V62-0.006</f>
        <v>-9.1999999999999998E-2</v>
      </c>
      <c r="W63" s="255">
        <f t="shared" si="33"/>
        <v>-8.900000000000001E-2</v>
      </c>
      <c r="X63" s="255">
        <f t="shared" si="33"/>
        <v>-8.8000000000000009E-2</v>
      </c>
      <c r="Y63" s="313"/>
      <c r="Z63" s="255">
        <f t="shared" ref="Z63:AC63" si="34">Z62-0.006</f>
        <v>-9.2999999999999999E-2</v>
      </c>
      <c r="AA63" s="255">
        <f t="shared" si="34"/>
        <v>-9.4E-2</v>
      </c>
      <c r="AB63" s="255">
        <f t="shared" si="34"/>
        <v>-8.900000000000001E-2</v>
      </c>
      <c r="AC63" s="255">
        <f t="shared" si="34"/>
        <v>-9.2999999999999999E-2</v>
      </c>
      <c r="AD63" s="313"/>
      <c r="AE63" s="256">
        <f>AE62-0.003</f>
        <v>-8.8999999999999996E-2</v>
      </c>
      <c r="AF63" s="256">
        <f t="shared" ref="AF63:AG63" si="35">AF62-0.003</f>
        <v>-8.8999999999999996E-2</v>
      </c>
      <c r="AG63" s="256">
        <f t="shared" si="35"/>
        <v>-8.8999999999999996E-2</v>
      </c>
      <c r="AH63" s="9"/>
      <c r="AI63" s="9"/>
    </row>
    <row r="64" spans="1:35" ht="12.75" customHeight="1" x14ac:dyDescent="0.25">
      <c r="A64" s="9"/>
      <c r="B64" s="9"/>
      <c r="C64" s="9"/>
      <c r="D64" s="9"/>
      <c r="E64" s="9"/>
      <c r="F64" s="312"/>
      <c r="G64" s="312"/>
      <c r="H64" s="312"/>
      <c r="I64" s="312"/>
      <c r="J64" s="313"/>
      <c r="K64" s="312"/>
      <c r="L64" s="312"/>
      <c r="M64" s="312"/>
      <c r="N64" s="312"/>
      <c r="O64" s="313"/>
      <c r="P64" s="312"/>
      <c r="Q64" s="312"/>
      <c r="R64" s="312"/>
      <c r="S64" s="312"/>
      <c r="T64" s="313"/>
      <c r="U64" s="314"/>
      <c r="V64" s="314"/>
      <c r="W64" s="314"/>
      <c r="X64" s="314"/>
      <c r="Y64" s="313"/>
      <c r="Z64" s="314"/>
      <c r="AA64" s="314"/>
      <c r="AB64" s="314"/>
      <c r="AC64" s="314"/>
      <c r="AD64" s="313"/>
      <c r="AE64" s="132"/>
      <c r="AF64" s="132"/>
      <c r="AG64" s="132"/>
      <c r="AH64" s="9"/>
      <c r="AI64" s="9"/>
    </row>
    <row r="65" spans="1:35" ht="12.75" customHeight="1" x14ac:dyDescent="0.25">
      <c r="A65" s="9"/>
      <c r="B65" s="9"/>
      <c r="C65" s="445" t="s">
        <v>446</v>
      </c>
      <c r="D65" s="446"/>
      <c r="E65" s="446"/>
      <c r="F65" s="447"/>
      <c r="G65" s="448"/>
      <c r="H65" s="448"/>
      <c r="I65" s="448"/>
      <c r="J65" s="448"/>
      <c r="K65" s="448"/>
      <c r="L65" s="448"/>
      <c r="M65" s="448"/>
      <c r="N65" s="448"/>
      <c r="O65" s="448"/>
      <c r="P65" s="448"/>
      <c r="Q65" s="448"/>
      <c r="R65" s="448"/>
      <c r="S65" s="448"/>
      <c r="T65" s="448"/>
      <c r="U65" s="448"/>
      <c r="V65" s="448"/>
      <c r="W65" s="448"/>
      <c r="X65" s="448"/>
      <c r="Y65" s="448"/>
      <c r="Z65" s="448"/>
      <c r="AA65" s="448"/>
      <c r="AB65" s="448"/>
      <c r="AC65" s="448"/>
      <c r="AD65" s="448"/>
      <c r="AE65" s="448"/>
      <c r="AF65" s="448"/>
      <c r="AG65" s="449"/>
      <c r="AH65" s="9"/>
      <c r="AI65" s="9"/>
    </row>
    <row r="66" spans="1:35" ht="12.75" customHeight="1" x14ac:dyDescent="0.25">
      <c r="A66" s="205" t="s">
        <v>0</v>
      </c>
      <c r="B66" s="9"/>
      <c r="C66" s="9"/>
      <c r="D66" s="9"/>
      <c r="E66" s="9"/>
      <c r="F66" s="312"/>
      <c r="G66" s="312"/>
      <c r="H66" s="312"/>
      <c r="I66" s="312"/>
      <c r="J66" s="313"/>
      <c r="K66" s="312"/>
      <c r="L66" s="312"/>
      <c r="M66" s="312"/>
      <c r="N66" s="312"/>
      <c r="O66" s="313"/>
      <c r="P66" s="312"/>
      <c r="Q66" s="312"/>
      <c r="R66" s="312"/>
      <c r="S66" s="312"/>
      <c r="T66" s="313"/>
      <c r="U66" s="314"/>
      <c r="V66" s="314"/>
      <c r="W66" s="314"/>
      <c r="X66" s="314"/>
      <c r="Y66" s="313"/>
      <c r="Z66" s="314"/>
      <c r="AA66" s="314"/>
      <c r="AB66" s="314"/>
      <c r="AC66" s="314"/>
      <c r="AD66" s="313"/>
      <c r="AE66" s="132"/>
      <c r="AF66" s="132"/>
      <c r="AG66" s="132"/>
      <c r="AH66" s="205" t="s">
        <v>0</v>
      </c>
      <c r="AI66" s="205"/>
    </row>
    <row r="67" spans="1:35" ht="12.75" customHeight="1" x14ac:dyDescent="0.25">
      <c r="A67" s="9"/>
      <c r="B67" s="9"/>
      <c r="C67" s="9" t="str">
        <f>Model!C41</f>
        <v>Goodwill Impairment</v>
      </c>
      <c r="D67" s="9"/>
      <c r="E67" s="9"/>
      <c r="F67" s="260">
        <f>Model!F41</f>
        <v>0</v>
      </c>
      <c r="G67" s="260">
        <f>Model!G41</f>
        <v>0</v>
      </c>
      <c r="H67" s="260">
        <f>Model!H41</f>
        <v>0</v>
      </c>
      <c r="I67" s="260">
        <f>Model!I41</f>
        <v>0</v>
      </c>
      <c r="J67" s="261">
        <f>Model!J41</f>
        <v>0</v>
      </c>
      <c r="K67" s="260">
        <f>Model!K41</f>
        <v>0</v>
      </c>
      <c r="L67" s="260">
        <f>Model!L41</f>
        <v>0</v>
      </c>
      <c r="M67" s="260">
        <f>Model!M41</f>
        <v>0</v>
      </c>
      <c r="N67" s="260">
        <f>Model!N41</f>
        <v>0</v>
      </c>
      <c r="O67" s="261">
        <f>Model!O41</f>
        <v>0</v>
      </c>
      <c r="P67" s="260">
        <f>Model!P41</f>
        <v>0</v>
      </c>
      <c r="Q67" s="260">
        <f>Model!Q41</f>
        <v>0</v>
      </c>
      <c r="R67" s="260">
        <f>Model!R41</f>
        <v>0</v>
      </c>
      <c r="S67" s="260">
        <f>Model!S41</f>
        <v>0</v>
      </c>
      <c r="T67" s="261">
        <f>Model!T41</f>
        <v>0</v>
      </c>
      <c r="U67" s="450">
        <v>0</v>
      </c>
      <c r="V67" s="450">
        <v>0</v>
      </c>
      <c r="W67" s="450">
        <v>0</v>
      </c>
      <c r="X67" s="450">
        <v>0</v>
      </c>
      <c r="Y67" s="261">
        <f>Model!Y41</f>
        <v>0</v>
      </c>
      <c r="Z67" s="450">
        <v>0</v>
      </c>
      <c r="AA67" s="450">
        <v>0</v>
      </c>
      <c r="AB67" s="450">
        <v>0</v>
      </c>
      <c r="AC67" s="450">
        <v>0</v>
      </c>
      <c r="AD67" s="261">
        <f>Model!AD41</f>
        <v>0</v>
      </c>
      <c r="AE67" s="451">
        <v>0</v>
      </c>
      <c r="AF67" s="451">
        <v>0</v>
      </c>
      <c r="AG67" s="451">
        <v>0</v>
      </c>
      <c r="AH67" s="9"/>
      <c r="AI67" s="9"/>
    </row>
    <row r="68" spans="1:35" ht="12.75" customHeight="1" x14ac:dyDescent="0.25">
      <c r="A68" s="9"/>
      <c r="B68" s="9"/>
      <c r="C68" s="9"/>
      <c r="D68" s="9"/>
      <c r="E68" s="9"/>
      <c r="F68" s="312"/>
      <c r="G68" s="312"/>
      <c r="H68" s="312"/>
      <c r="I68" s="312"/>
      <c r="J68" s="313"/>
      <c r="K68" s="312"/>
      <c r="L68" s="312"/>
      <c r="M68" s="312"/>
      <c r="N68" s="312"/>
      <c r="O68" s="313"/>
      <c r="P68" s="312"/>
      <c r="Q68" s="312"/>
      <c r="R68" s="312"/>
      <c r="S68" s="312"/>
      <c r="T68" s="313"/>
      <c r="U68" s="314"/>
      <c r="V68" s="314"/>
      <c r="W68" s="314"/>
      <c r="X68" s="314"/>
      <c r="Y68" s="313"/>
      <c r="Z68" s="314"/>
      <c r="AA68" s="314"/>
      <c r="AB68" s="314"/>
      <c r="AC68" s="314"/>
      <c r="AD68" s="313"/>
      <c r="AE68" s="132"/>
      <c r="AF68" s="132"/>
      <c r="AG68" s="132"/>
      <c r="AH68" s="9"/>
      <c r="AI68" s="9"/>
    </row>
    <row r="69" spans="1:35" ht="12.75" customHeight="1" x14ac:dyDescent="0.25">
      <c r="A69" s="9"/>
      <c r="B69" s="9"/>
      <c r="C69" s="9" t="str">
        <f>Model!C71</f>
        <v>Tax Rate</v>
      </c>
      <c r="D69" s="9"/>
      <c r="E69" s="9"/>
      <c r="F69" s="312">
        <f>Model!F71</f>
        <v>0.16197508075680664</v>
      </c>
      <c r="G69" s="312">
        <f>Model!G71</f>
        <v>0.20482809070958302</v>
      </c>
      <c r="H69" s="312">
        <f>Model!H71</f>
        <v>0.20935483870967742</v>
      </c>
      <c r="I69" s="312">
        <f>Model!I71</f>
        <v>0.2304936305732484</v>
      </c>
      <c r="J69" s="313">
        <f>Model!J71</f>
        <v>0.20346237991058688</v>
      </c>
      <c r="K69" s="312">
        <f>Model!K71</f>
        <v>0.22511923688394275</v>
      </c>
      <c r="L69" s="312">
        <f>Model!L71</f>
        <v>0.20448548812664907</v>
      </c>
      <c r="M69" s="312">
        <f>Model!M71</f>
        <v>0.21754057428214732</v>
      </c>
      <c r="N69" s="312">
        <f>Model!N71</f>
        <v>0.21262699564586357</v>
      </c>
      <c r="O69" s="313">
        <f>Model!O71</f>
        <v>0.21450174486234974</v>
      </c>
      <c r="P69" s="312">
        <f>Model!P71</f>
        <v>0.22402402402402402</v>
      </c>
      <c r="Q69" s="312">
        <f>Model!Q71</f>
        <v>0.18732394366197183</v>
      </c>
      <c r="R69" s="312">
        <f>Model!R71</f>
        <v>0.24130718954248365</v>
      </c>
      <c r="S69" s="312">
        <f>Model!S71</f>
        <v>0.20323624595469256</v>
      </c>
      <c r="T69" s="313">
        <f>Model!T71</f>
        <v>0.21471547662196447</v>
      </c>
      <c r="U69" s="314">
        <f>IF(Case_Scenario="Bull",U70,IF(Case_Scenario="Base",U71,IF(Case_Scenario="bear",U72,"N/A")))</f>
        <v>0.214</v>
      </c>
      <c r="V69" s="314">
        <f>IF(Case_Scenario="Bull",V70,IF(Case_Scenario="Base",V71,IF(Case_Scenario="bear",V72,"N/A")))</f>
        <v>0.214</v>
      </c>
      <c r="W69" s="314">
        <f>IF(Case_Scenario="Bull",W70,IF(Case_Scenario="Base",W71,IF(Case_Scenario="bear",W72,"N/A")))</f>
        <v>0.214</v>
      </c>
      <c r="X69" s="314">
        <f>IF(Case_Scenario="Bull",X70,IF(Case_Scenario="Base",X71,IF(Case_Scenario="bear",X72,"N/A")))</f>
        <v>0.214</v>
      </c>
      <c r="Y69" s="313">
        <f>Model!Y71</f>
        <v>0.21390728733131215</v>
      </c>
      <c r="Z69" s="314">
        <f>IF(Case_Scenario="Bull",Z70,IF(Case_Scenario="Base",Z71,IF(Case_Scenario="bear",Z72,"N/A")))</f>
        <v>0.215</v>
      </c>
      <c r="AA69" s="314">
        <f>IF(Case_Scenario="Bull",AA70,IF(Case_Scenario="Base",AA71,IF(Case_Scenario="bear",AA72,"N/A")))</f>
        <v>0.215</v>
      </c>
      <c r="AB69" s="314">
        <f>IF(Case_Scenario="Bull",AB70,IF(Case_Scenario="Base",AB71,IF(Case_Scenario="bear",AB72,"N/A")))</f>
        <v>0.215</v>
      </c>
      <c r="AC69" s="314">
        <f>IF(Case_Scenario="Bull",AC70,IF(Case_Scenario="Base",AC71,IF(Case_Scenario="bear",AC72,"N/A")))</f>
        <v>0.215</v>
      </c>
      <c r="AD69" s="313">
        <f>Model!AD71</f>
        <v>0.215</v>
      </c>
      <c r="AE69" s="313">
        <f>IF(Case_Scenario="Bull",AE70,IF(Case_Scenario="Base",AE71,IF(Case_Scenario="bear",AE72,"N/A")))</f>
        <v>0.216</v>
      </c>
      <c r="AF69" s="313">
        <f>IF(Case_Scenario="Bull",AF70,IF(Case_Scenario="Base",AF71,IF(Case_Scenario="bear",AF72,"N/A")))</f>
        <v>0.215</v>
      </c>
      <c r="AG69" s="313">
        <f>IF(Case_Scenario="Bull",AG70,IF(Case_Scenario="Base",AG71,IF(Case_Scenario="bear",AG72,"N/A")))</f>
        <v>0.214</v>
      </c>
      <c r="AH69" s="9"/>
      <c r="AI69" s="9"/>
    </row>
    <row r="70" spans="1:35" ht="12.75" customHeight="1" x14ac:dyDescent="0.25">
      <c r="A70" s="205" t="s">
        <v>0</v>
      </c>
      <c r="B70" s="9"/>
      <c r="C70" s="103" t="s">
        <v>246</v>
      </c>
      <c r="D70" s="9"/>
      <c r="E70" s="9"/>
      <c r="F70" s="312"/>
      <c r="G70" s="312"/>
      <c r="H70" s="312"/>
      <c r="I70" s="312"/>
      <c r="J70" s="313"/>
      <c r="K70" s="312"/>
      <c r="L70" s="312"/>
      <c r="M70" s="312"/>
      <c r="N70" s="312"/>
      <c r="O70" s="313"/>
      <c r="P70" s="312"/>
      <c r="Q70" s="312"/>
      <c r="R70" s="312"/>
      <c r="S70" s="312"/>
      <c r="T70" s="313"/>
      <c r="U70" s="255">
        <f>+U71-1%</f>
        <v>0.20399999999999999</v>
      </c>
      <c r="V70" s="255">
        <f t="shared" ref="V70:X70" si="36">+V71-1%</f>
        <v>0.20399999999999999</v>
      </c>
      <c r="W70" s="255">
        <f t="shared" si="36"/>
        <v>0.20399999999999999</v>
      </c>
      <c r="X70" s="255">
        <f t="shared" si="36"/>
        <v>0.20399999999999999</v>
      </c>
      <c r="Y70" s="313"/>
      <c r="Z70" s="255">
        <f>+Z71-1%</f>
        <v>0.20499999999999999</v>
      </c>
      <c r="AA70" s="255">
        <f t="shared" ref="AA70" si="37">+AA71-1%</f>
        <v>0.20499999999999999</v>
      </c>
      <c r="AB70" s="255">
        <f t="shared" ref="AB70" si="38">+AB71-1%</f>
        <v>0.20499999999999999</v>
      </c>
      <c r="AC70" s="255">
        <f t="shared" ref="AC70" si="39">+AC71-1%</f>
        <v>0.20499999999999999</v>
      </c>
      <c r="AD70" s="313"/>
      <c r="AE70" s="256">
        <f>+AE71-4%</f>
        <v>0.17599999999999999</v>
      </c>
      <c r="AF70" s="256">
        <f>+AF71-4%</f>
        <v>0.17499999999999999</v>
      </c>
      <c r="AG70" s="256">
        <f>+AG71-3%</f>
        <v>0.184</v>
      </c>
      <c r="AH70" s="205" t="s">
        <v>0</v>
      </c>
      <c r="AI70" s="205"/>
    </row>
    <row r="71" spans="1:35" ht="12.75" customHeight="1" x14ac:dyDescent="0.25">
      <c r="A71" s="9"/>
      <c r="B71" s="9"/>
      <c r="C71" s="103" t="s">
        <v>247</v>
      </c>
      <c r="D71" s="9"/>
      <c r="E71" s="9"/>
      <c r="F71" s="312"/>
      <c r="G71" s="312"/>
      <c r="H71" s="312"/>
      <c r="I71" s="312"/>
      <c r="J71" s="313"/>
      <c r="K71" s="312"/>
      <c r="L71" s="312"/>
      <c r="M71" s="312"/>
      <c r="N71" s="312"/>
      <c r="O71" s="313"/>
      <c r="P71" s="312"/>
      <c r="Q71" s="312"/>
      <c r="R71" s="312"/>
      <c r="S71" s="312"/>
      <c r="T71" s="313"/>
      <c r="U71" s="255">
        <v>0.214</v>
      </c>
      <c r="V71" s="255">
        <v>0.214</v>
      </c>
      <c r="W71" s="255">
        <v>0.214</v>
      </c>
      <c r="X71" s="255">
        <v>0.214</v>
      </c>
      <c r="Y71" s="313"/>
      <c r="Z71" s="255">
        <v>0.215</v>
      </c>
      <c r="AA71" s="255">
        <v>0.215</v>
      </c>
      <c r="AB71" s="255">
        <v>0.215</v>
      </c>
      <c r="AC71" s="255">
        <v>0.215</v>
      </c>
      <c r="AD71" s="313"/>
      <c r="AE71" s="256">
        <v>0.216</v>
      </c>
      <c r="AF71" s="256">
        <v>0.215</v>
      </c>
      <c r="AG71" s="256">
        <v>0.214</v>
      </c>
      <c r="AH71" s="9"/>
      <c r="AI71" s="9"/>
    </row>
    <row r="72" spans="1:35" ht="12.75" customHeight="1" x14ac:dyDescent="0.25">
      <c r="A72" s="9"/>
      <c r="B72" s="9"/>
      <c r="C72" s="103" t="s">
        <v>248</v>
      </c>
      <c r="D72" s="9"/>
      <c r="E72" s="9"/>
      <c r="F72" s="312"/>
      <c r="G72" s="312"/>
      <c r="H72" s="312"/>
      <c r="I72" s="312"/>
      <c r="J72" s="313"/>
      <c r="K72" s="312"/>
      <c r="L72" s="312"/>
      <c r="M72" s="312"/>
      <c r="N72" s="312"/>
      <c r="O72" s="313"/>
      <c r="P72" s="312"/>
      <c r="Q72" s="312"/>
      <c r="R72" s="312"/>
      <c r="S72" s="312"/>
      <c r="T72" s="313"/>
      <c r="U72" s="255">
        <f>+U71+1%</f>
        <v>0.224</v>
      </c>
      <c r="V72" s="255">
        <f t="shared" ref="V72:X72" si="40">+V71+1%</f>
        <v>0.224</v>
      </c>
      <c r="W72" s="255">
        <f t="shared" si="40"/>
        <v>0.224</v>
      </c>
      <c r="X72" s="255">
        <f t="shared" si="40"/>
        <v>0.224</v>
      </c>
      <c r="Y72" s="313"/>
      <c r="Z72" s="255">
        <f t="shared" ref="Z72:AC72" si="41">+Z71+1%</f>
        <v>0.22500000000000001</v>
      </c>
      <c r="AA72" s="255">
        <f t="shared" si="41"/>
        <v>0.22500000000000001</v>
      </c>
      <c r="AB72" s="255">
        <f t="shared" si="41"/>
        <v>0.22500000000000001</v>
      </c>
      <c r="AC72" s="255">
        <f t="shared" si="41"/>
        <v>0.22500000000000001</v>
      </c>
      <c r="AD72" s="313"/>
      <c r="AE72" s="256">
        <f>+AE71+4%</f>
        <v>0.25600000000000001</v>
      </c>
      <c r="AF72" s="256">
        <f>+AF71+4%</f>
        <v>0.255</v>
      </c>
      <c r="AG72" s="256">
        <f>+AG71+3%</f>
        <v>0.24399999999999999</v>
      </c>
      <c r="AH72" s="9">
        <f>+AH71+3%</f>
        <v>0.03</v>
      </c>
      <c r="AI72" s="9"/>
    </row>
    <row r="73" spans="1:35" ht="12.75" customHeight="1" x14ac:dyDescent="0.25">
      <c r="A73" s="9"/>
      <c r="B73" s="9"/>
      <c r="C73" s="9"/>
      <c r="D73" s="9"/>
      <c r="E73" s="9"/>
      <c r="F73" s="312"/>
      <c r="G73" s="312"/>
      <c r="H73" s="312"/>
      <c r="I73" s="312"/>
      <c r="J73" s="313"/>
      <c r="K73" s="312"/>
      <c r="L73" s="312"/>
      <c r="M73" s="312"/>
      <c r="N73" s="312"/>
      <c r="O73" s="313"/>
      <c r="P73" s="312"/>
      <c r="Q73" s="312"/>
      <c r="R73" s="312"/>
      <c r="S73" s="312"/>
      <c r="T73" s="313"/>
      <c r="U73" s="314"/>
      <c r="V73" s="314"/>
      <c r="W73" s="314"/>
      <c r="X73" s="314"/>
      <c r="Y73" s="313"/>
      <c r="Z73" s="314"/>
      <c r="AA73" s="314"/>
      <c r="AB73" s="314"/>
      <c r="AC73" s="314"/>
      <c r="AD73" s="313"/>
      <c r="AE73" s="132"/>
      <c r="AF73" s="132"/>
      <c r="AG73" s="132"/>
      <c r="AH73" s="9"/>
      <c r="AI73" s="9"/>
    </row>
    <row r="74" spans="1:35" ht="12.75" customHeight="1" x14ac:dyDescent="0.25">
      <c r="A74" s="9"/>
      <c r="B74" s="9"/>
      <c r="C74" s="285" t="s">
        <v>447</v>
      </c>
      <c r="D74" s="308"/>
      <c r="E74" s="308"/>
      <c r="F74" s="286" t="str">
        <f>Model!F$25</f>
        <v>1Q23</v>
      </c>
      <c r="G74" s="141" t="str">
        <f>Model!G$25</f>
        <v>2Q23</v>
      </c>
      <c r="H74" s="141" t="str">
        <f>Model!H$25</f>
        <v>3Q23</v>
      </c>
      <c r="I74" s="141" t="str">
        <f>Model!I$25</f>
        <v>4Q23</v>
      </c>
      <c r="J74" s="141">
        <f>Model!J$25</f>
        <v>2023</v>
      </c>
      <c r="K74" s="141" t="str">
        <f>Model!K$25</f>
        <v>1Q24</v>
      </c>
      <c r="L74" s="141" t="str">
        <f>Model!L$25</f>
        <v>2Q24</v>
      </c>
      <c r="M74" s="141" t="str">
        <f>Model!M$25</f>
        <v>3Q24</v>
      </c>
      <c r="N74" s="141" t="str">
        <f>Model!N$25</f>
        <v>4Q24</v>
      </c>
      <c r="O74" s="141">
        <f>Model!O$25</f>
        <v>2024</v>
      </c>
      <c r="P74" s="141" t="str">
        <f>Model!P$25</f>
        <v>1Q25</v>
      </c>
      <c r="Q74" s="141" t="str">
        <f>Model!Q$25</f>
        <v>2Q25</v>
      </c>
      <c r="R74" s="141" t="str">
        <f>Model!R$25</f>
        <v>3Q25</v>
      </c>
      <c r="S74" s="141" t="str">
        <f>Model!S$25</f>
        <v>4Q25</v>
      </c>
      <c r="T74" s="141">
        <f>Model!T$25</f>
        <v>2025</v>
      </c>
      <c r="U74" s="141" t="str">
        <f>Model!U$25</f>
        <v>1Q26</v>
      </c>
      <c r="V74" s="141" t="str">
        <f>Model!V$25</f>
        <v>2Q26e</v>
      </c>
      <c r="W74" s="141" t="str">
        <f>Model!W$25</f>
        <v>3Q26e</v>
      </c>
      <c r="X74" s="141" t="str">
        <f>Model!X$25</f>
        <v>4Q26e</v>
      </c>
      <c r="Y74" s="141" t="str">
        <f>Model!Y$25</f>
        <v>2026e</v>
      </c>
      <c r="Z74" s="141" t="str">
        <f>Model!Z$25</f>
        <v>1Q27e</v>
      </c>
      <c r="AA74" s="141" t="str">
        <f>Model!AA$25</f>
        <v>2Q27e</v>
      </c>
      <c r="AB74" s="141" t="str">
        <f>Model!AB$25</f>
        <v>3Q27e</v>
      </c>
      <c r="AC74" s="141" t="str">
        <f>Model!AC$25</f>
        <v>4Q27e</v>
      </c>
      <c r="AD74" s="141" t="str">
        <f>Model!AD$25</f>
        <v>2027e</v>
      </c>
      <c r="AE74" s="141" t="str">
        <f>Model!AE$25</f>
        <v>2028e</v>
      </c>
      <c r="AF74" s="141" t="str">
        <f>Model!AF$25</f>
        <v>2029e</v>
      </c>
      <c r="AG74" s="287" t="str">
        <f>Model!AG$25</f>
        <v>2030e</v>
      </c>
      <c r="AH74" s="9"/>
      <c r="AI74" s="9"/>
    </row>
    <row r="75" spans="1:35" ht="12.75" customHeight="1" x14ac:dyDescent="0.25">
      <c r="A75" s="9"/>
      <c r="B75" s="9"/>
      <c r="C75" s="440" t="s">
        <v>448</v>
      </c>
      <c r="D75" s="441"/>
      <c r="E75" s="441"/>
      <c r="F75" s="452"/>
      <c r="G75" s="453"/>
      <c r="H75" s="453"/>
      <c r="I75" s="453"/>
      <c r="J75" s="453"/>
      <c r="K75" s="453"/>
      <c r="L75" s="453"/>
      <c r="M75" s="453"/>
      <c r="N75" s="453"/>
      <c r="O75" s="453"/>
      <c r="P75" s="453"/>
      <c r="Q75" s="453"/>
      <c r="R75" s="453"/>
      <c r="S75" s="453"/>
      <c r="T75" s="453"/>
      <c r="U75" s="453"/>
      <c r="V75" s="453"/>
      <c r="W75" s="453"/>
      <c r="X75" s="453"/>
      <c r="Y75" s="453"/>
      <c r="Z75" s="453"/>
      <c r="AA75" s="453"/>
      <c r="AB75" s="453"/>
      <c r="AC75" s="453"/>
      <c r="AD75" s="453"/>
      <c r="AE75" s="453"/>
      <c r="AF75" s="453"/>
      <c r="AG75" s="454"/>
      <c r="AH75" s="9"/>
      <c r="AI75" s="9"/>
    </row>
    <row r="76" spans="1:35" ht="12.75" customHeight="1" x14ac:dyDescent="0.25">
      <c r="A76" s="9"/>
      <c r="B76" s="9"/>
      <c r="C76" s="9"/>
      <c r="D76" s="9"/>
      <c r="E76" s="9"/>
      <c r="F76" s="312"/>
      <c r="G76" s="312"/>
      <c r="H76" s="312"/>
      <c r="I76" s="312"/>
      <c r="J76" s="313"/>
      <c r="K76" s="312"/>
      <c r="L76" s="312"/>
      <c r="M76" s="312"/>
      <c r="N76" s="312"/>
      <c r="O76" s="313"/>
      <c r="P76" s="312"/>
      <c r="Q76" s="312"/>
      <c r="R76" s="312"/>
      <c r="S76" s="312"/>
      <c r="T76" s="313"/>
      <c r="U76" s="314"/>
      <c r="V76" s="314"/>
      <c r="W76" s="314"/>
      <c r="X76" s="314"/>
      <c r="Y76" s="313"/>
      <c r="Z76" s="314"/>
      <c r="AA76" s="314"/>
      <c r="AB76" s="314"/>
      <c r="AC76" s="314"/>
      <c r="AD76" s="313"/>
      <c r="AE76" s="132"/>
      <c r="AF76" s="132"/>
      <c r="AG76" s="132"/>
      <c r="AH76" s="9"/>
      <c r="AI76" s="9"/>
    </row>
    <row r="77" spans="1:35" ht="12.75" customHeight="1" x14ac:dyDescent="0.25">
      <c r="A77" s="9"/>
      <c r="B77" s="9"/>
      <c r="C77" s="9" t="str">
        <f>Model!C201</f>
        <v>Depreciation as a % of Avg. PP&amp;E</v>
      </c>
      <c r="D77" s="9"/>
      <c r="E77" s="9"/>
      <c r="F77" s="312"/>
      <c r="G77" s="312">
        <f>Model!G201</f>
        <v>0.31808110971968018</v>
      </c>
      <c r="H77" s="312">
        <f>Model!H201</f>
        <v>0.32055140277642946</v>
      </c>
      <c r="I77" s="312">
        <f>Model!I201</f>
        <v>0.32176963554862598</v>
      </c>
      <c r="J77" s="313">
        <f>Model!J201</f>
        <v>0.31991474107445622</v>
      </c>
      <c r="K77" s="312">
        <f>Model!K201</f>
        <v>0.32619696379914365</v>
      </c>
      <c r="L77" s="312">
        <f>Model!L201</f>
        <v>0.32277323062108809</v>
      </c>
      <c r="M77" s="312">
        <f>Model!M201</f>
        <v>0.31757460918995739</v>
      </c>
      <c r="N77" s="312">
        <f>Model!N201</f>
        <v>0.31388706807753536</v>
      </c>
      <c r="O77" s="313">
        <f>Model!O201</f>
        <v>0.31896469692644402</v>
      </c>
      <c r="P77" s="312">
        <f>Model!P201</f>
        <v>0.33048168123488936</v>
      </c>
      <c r="Q77" s="312">
        <f>Model!Q201</f>
        <v>0.32177455862381166</v>
      </c>
      <c r="R77" s="312">
        <f>Model!R201</f>
        <v>0.30842662501084789</v>
      </c>
      <c r="S77" s="312">
        <f>Model!S201</f>
        <v>0.29668586693380083</v>
      </c>
      <c r="T77" s="313">
        <f>Model!T201</f>
        <v>0.3093393680912177</v>
      </c>
      <c r="U77" s="314">
        <f>IF(Case_Scenario="Bull",U78,IF(Case_Scenario="Base",U79,IF(Case_Scenario="bear",U80,"N/A")))</f>
        <v>0.31434218295083743</v>
      </c>
      <c r="V77" s="314">
        <f>IF(Case_Scenario="Bull",V78,IF(Case_Scenario="Base",V79,IF(Case_Scenario="bear",V80,"N/A")))</f>
        <v>0.31434218295083743</v>
      </c>
      <c r="W77" s="314">
        <f>IF(Case_Scenario="Bull",W78,IF(Case_Scenario="Base",W79,IF(Case_Scenario="bear",W80,"N/A")))</f>
        <v>0.31434218295083743</v>
      </c>
      <c r="X77" s="314">
        <f>IF(Case_Scenario="Bull",X78,IF(Case_Scenario="Base",X79,IF(Case_Scenario="bear",X80,"N/A")))</f>
        <v>0.31434218295083743</v>
      </c>
      <c r="Y77" s="313">
        <f>Model!Y201</f>
        <v>0.32540192714738575</v>
      </c>
      <c r="Z77" s="314">
        <f>IF(Case_Scenario="Bull",Z78,IF(Case_Scenario="Base",Z79,IF(Case_Scenario="bear",Z80,"N/A")))</f>
        <v>0.31434218295083743</v>
      </c>
      <c r="AA77" s="314">
        <f>IF(Case_Scenario="Bull",AA78,IF(Case_Scenario="Base",AA79,IF(Case_Scenario="bear",AA80,"N/A")))</f>
        <v>0.31434218295083743</v>
      </c>
      <c r="AB77" s="314">
        <f>IF(Case_Scenario="Bull",AB78,IF(Case_Scenario="Base",AB79,IF(Case_Scenario="bear",AB80,"N/A")))</f>
        <v>0.31434218295083743</v>
      </c>
      <c r="AC77" s="314">
        <f>IF(Case_Scenario="Bull",AC78,IF(Case_Scenario="Base",AC79,IF(Case_Scenario="bear",AC80,"N/A")))</f>
        <v>0.31434218295083743</v>
      </c>
      <c r="AD77" s="313">
        <f>Model!AD201</f>
        <v>0.31289583214292221</v>
      </c>
      <c r="AE77" s="313">
        <f>IF(Case_Scenario="Bull",AE78,IF(Case_Scenario="Base",AE79,IF(Case_Scenario="bear",AE80,"N/A")))</f>
        <v>0.31434218295083743</v>
      </c>
      <c r="AF77" s="313">
        <f>IF(Case_Scenario="Bull",AF78,IF(Case_Scenario="Base",AF79,IF(Case_Scenario="bear",AF80,"N/A")))</f>
        <v>0.31434218295083743</v>
      </c>
      <c r="AG77" s="313">
        <f>IF(Case_Scenario="Bull",AG78,IF(Case_Scenario="Base",AG79,IF(Case_Scenario="bear",AG80,"N/A")))</f>
        <v>0.31434218295083743</v>
      </c>
      <c r="AH77" s="9"/>
      <c r="AI77" s="9"/>
    </row>
    <row r="78" spans="1:35" ht="12.75" customHeight="1" x14ac:dyDescent="0.25">
      <c r="A78" s="9"/>
      <c r="B78" s="9"/>
      <c r="C78" s="103" t="s">
        <v>246</v>
      </c>
      <c r="D78" s="9"/>
      <c r="E78" s="9"/>
      <c r="F78" s="312"/>
      <c r="G78" s="312"/>
      <c r="H78" s="312"/>
      <c r="I78" s="312"/>
      <c r="J78" s="313"/>
      <c r="K78" s="312"/>
      <c r="L78" s="312"/>
      <c r="M78" s="312"/>
      <c r="N78" s="312"/>
      <c r="O78" s="313"/>
      <c r="P78" s="312"/>
      <c r="Q78" s="312"/>
      <c r="R78" s="312"/>
      <c r="S78" s="312"/>
      <c r="T78" s="313"/>
      <c r="U78" s="255">
        <f>+U79+1%</f>
        <v>0.32434218295083744</v>
      </c>
      <c r="V78" s="255">
        <f t="shared" ref="V78:X78" si="42">+V79+1%</f>
        <v>0.32434218295083744</v>
      </c>
      <c r="W78" s="255">
        <f t="shared" si="42"/>
        <v>0.32434218295083744</v>
      </c>
      <c r="X78" s="255">
        <f t="shared" si="42"/>
        <v>0.32434218295083744</v>
      </c>
      <c r="Y78" s="313"/>
      <c r="Z78" s="255">
        <f>+Z79+1%</f>
        <v>0.32434218295083744</v>
      </c>
      <c r="AA78" s="255">
        <f t="shared" ref="AA78" si="43">+AA79+1%</f>
        <v>0.32434218295083744</v>
      </c>
      <c r="AB78" s="255">
        <f t="shared" ref="AB78" si="44">+AB79+1%</f>
        <v>0.32434218295083744</v>
      </c>
      <c r="AC78" s="255">
        <f t="shared" ref="AC78" si="45">+AC79+1%</f>
        <v>0.32434218295083744</v>
      </c>
      <c r="AD78" s="313"/>
      <c r="AE78" s="913">
        <f t="shared" ref="AE78" si="46">+AE79+1%</f>
        <v>0.32434218295083744</v>
      </c>
      <c r="AF78" s="913">
        <f t="shared" ref="AF78" si="47">+AF79+1%</f>
        <v>0.32434218295083744</v>
      </c>
      <c r="AG78" s="913">
        <f t="shared" ref="AG78" si="48">+AG79+1%</f>
        <v>0.32434218295083744</v>
      </c>
      <c r="AH78" s="9"/>
      <c r="AI78" s="9"/>
    </row>
    <row r="79" spans="1:35" ht="12.75" customHeight="1" x14ac:dyDescent="0.25">
      <c r="A79" s="9"/>
      <c r="B79" s="9"/>
      <c r="C79" s="103" t="s">
        <v>247</v>
      </c>
      <c r="D79" s="9"/>
      <c r="E79" s="9"/>
      <c r="F79" s="312"/>
      <c r="G79" s="312"/>
      <c r="H79" s="312"/>
      <c r="I79" s="312"/>
      <c r="J79" s="313"/>
      <c r="K79" s="312"/>
      <c r="L79" s="312"/>
      <c r="M79" s="312"/>
      <c r="N79" s="312"/>
      <c r="O79" s="313"/>
      <c r="P79" s="312"/>
      <c r="Q79" s="312"/>
      <c r="R79" s="312"/>
      <c r="S79" s="312"/>
      <c r="T79" s="313"/>
      <c r="U79" s="255">
        <f>+AVERAGE($P$77:$S$77)</f>
        <v>0.31434218295083743</v>
      </c>
      <c r="V79" s="255">
        <f t="shared" ref="V79:X79" si="49">+AVERAGE($P$77:$S$77)</f>
        <v>0.31434218295083743</v>
      </c>
      <c r="W79" s="255">
        <f t="shared" si="49"/>
        <v>0.31434218295083743</v>
      </c>
      <c r="X79" s="255">
        <f t="shared" si="49"/>
        <v>0.31434218295083743</v>
      </c>
      <c r="Y79" s="313"/>
      <c r="Z79" s="255">
        <f>+AVERAGE($P$77:$S$77)</f>
        <v>0.31434218295083743</v>
      </c>
      <c r="AA79" s="255">
        <f t="shared" ref="AA79:AG79" si="50">+AVERAGE($P$77:$S$77)</f>
        <v>0.31434218295083743</v>
      </c>
      <c r="AB79" s="255">
        <f t="shared" si="50"/>
        <v>0.31434218295083743</v>
      </c>
      <c r="AC79" s="255">
        <f t="shared" si="50"/>
        <v>0.31434218295083743</v>
      </c>
      <c r="AD79" s="313"/>
      <c r="AE79" s="913">
        <f t="shared" si="50"/>
        <v>0.31434218295083743</v>
      </c>
      <c r="AF79" s="913">
        <f t="shared" si="50"/>
        <v>0.31434218295083743</v>
      </c>
      <c r="AG79" s="913">
        <f t="shared" si="50"/>
        <v>0.31434218295083743</v>
      </c>
      <c r="AH79" s="9"/>
      <c r="AI79" s="9"/>
    </row>
    <row r="80" spans="1:35" ht="12.75" customHeight="1" x14ac:dyDescent="0.25">
      <c r="A80" s="9"/>
      <c r="B80" s="9"/>
      <c r="C80" s="103" t="s">
        <v>248</v>
      </c>
      <c r="D80" s="9"/>
      <c r="E80" s="9"/>
      <c r="F80" s="312"/>
      <c r="G80" s="312"/>
      <c r="H80" s="312"/>
      <c r="I80" s="312"/>
      <c r="J80" s="313"/>
      <c r="K80" s="312"/>
      <c r="L80" s="312"/>
      <c r="M80" s="312"/>
      <c r="N80" s="312"/>
      <c r="O80" s="313"/>
      <c r="P80" s="312"/>
      <c r="Q80" s="312"/>
      <c r="R80" s="312"/>
      <c r="S80" s="312"/>
      <c r="T80" s="313"/>
      <c r="U80" s="255">
        <f>+U79-1%</f>
        <v>0.30434218295083743</v>
      </c>
      <c r="V80" s="255">
        <f t="shared" ref="V80:X80" si="51">+V79-1%</f>
        <v>0.30434218295083743</v>
      </c>
      <c r="W80" s="255">
        <f t="shared" si="51"/>
        <v>0.30434218295083743</v>
      </c>
      <c r="X80" s="255">
        <f t="shared" si="51"/>
        <v>0.30434218295083743</v>
      </c>
      <c r="Y80" s="313"/>
      <c r="Z80" s="255">
        <f>+Z79-1%</f>
        <v>0.30434218295083743</v>
      </c>
      <c r="AA80" s="255">
        <f t="shared" ref="AA80" si="52">+AA79-1%</f>
        <v>0.30434218295083743</v>
      </c>
      <c r="AB80" s="255">
        <f t="shared" ref="AB80" si="53">+AB79-1%</f>
        <v>0.30434218295083743</v>
      </c>
      <c r="AC80" s="255">
        <f t="shared" ref="AC80" si="54">+AC79-1%</f>
        <v>0.30434218295083743</v>
      </c>
      <c r="AD80" s="313"/>
      <c r="AE80" s="913">
        <f t="shared" ref="AE80" si="55">+AE79-1%</f>
        <v>0.30434218295083743</v>
      </c>
      <c r="AF80" s="913">
        <f t="shared" ref="AF80" si="56">+AF79-1%</f>
        <v>0.30434218295083743</v>
      </c>
      <c r="AG80" s="913">
        <f t="shared" ref="AG80" si="57">+AG79-1%</f>
        <v>0.30434218295083743</v>
      </c>
      <c r="AH80" s="9"/>
      <c r="AI80" s="9"/>
    </row>
    <row r="81" spans="1:35" ht="12.75" customHeight="1" x14ac:dyDescent="0.25">
      <c r="A81" s="9"/>
      <c r="B81" s="9"/>
      <c r="C81" s="103"/>
      <c r="D81" s="9"/>
      <c r="E81" s="9"/>
      <c r="F81" s="312"/>
      <c r="G81" s="312"/>
      <c r="H81" s="312"/>
      <c r="I81" s="312"/>
      <c r="J81" s="313"/>
      <c r="K81" s="312"/>
      <c r="L81" s="312"/>
      <c r="M81" s="312"/>
      <c r="N81" s="312"/>
      <c r="O81" s="313"/>
      <c r="P81" s="312"/>
      <c r="Q81" s="312"/>
      <c r="R81" s="312"/>
      <c r="S81" s="312"/>
      <c r="T81" s="313"/>
      <c r="U81" s="255"/>
      <c r="V81" s="255"/>
      <c r="W81" s="255"/>
      <c r="X81" s="255"/>
      <c r="Y81" s="313"/>
      <c r="Z81" s="255"/>
      <c r="AA81" s="255"/>
      <c r="AB81" s="255"/>
      <c r="AC81" s="255"/>
      <c r="AD81" s="313"/>
      <c r="AE81" s="256"/>
      <c r="AF81" s="256"/>
      <c r="AG81" s="256"/>
      <c r="AH81" s="9"/>
      <c r="AI81" s="9"/>
    </row>
    <row r="82" spans="1:35" ht="12.75" hidden="1" customHeight="1" outlineLevel="1" x14ac:dyDescent="0.25">
      <c r="A82" s="9"/>
      <c r="B82" s="9"/>
      <c r="C82" s="425" t="str">
        <f>'Segment Analysis'!C52</f>
        <v>Segment D&amp;A Mix</v>
      </c>
      <c r="D82" s="9"/>
      <c r="E82" s="9"/>
      <c r="F82" s="312"/>
      <c r="G82" s="312"/>
      <c r="H82" s="312"/>
      <c r="I82" s="312"/>
      <c r="J82" s="313"/>
      <c r="K82" s="312"/>
      <c r="L82" s="312"/>
      <c r="M82" s="312"/>
      <c r="N82" s="312"/>
      <c r="O82" s="313"/>
      <c r="P82" s="312"/>
      <c r="Q82" s="312"/>
      <c r="R82" s="312"/>
      <c r="S82" s="312"/>
      <c r="T82" s="313"/>
      <c r="U82" s="255"/>
      <c r="V82" s="255"/>
      <c r="W82" s="255"/>
      <c r="X82" s="255"/>
      <c r="Y82" s="313"/>
      <c r="Z82" s="255"/>
      <c r="AA82" s="255"/>
      <c r="AB82" s="255"/>
      <c r="AC82" s="255"/>
      <c r="AD82" s="313"/>
      <c r="AE82" s="256"/>
      <c r="AF82" s="256"/>
      <c r="AG82" s="256"/>
      <c r="AH82" s="9"/>
      <c r="AI82" s="9"/>
    </row>
    <row r="83" spans="1:35" ht="12.75" hidden="1" customHeight="1" outlineLevel="1" x14ac:dyDescent="0.25">
      <c r="A83" s="9"/>
      <c r="B83" s="9"/>
      <c r="C83" s="425" t="str">
        <f>'Segment Analysis'!C53</f>
        <v>Discount</v>
      </c>
      <c r="D83" s="9"/>
      <c r="E83" s="9"/>
      <c r="F83" s="455">
        <f>'Segment Analysis'!F53</f>
        <v>1</v>
      </c>
      <c r="G83" s="455">
        <f>'Segment Analysis'!G53</f>
        <v>1</v>
      </c>
      <c r="H83" s="455">
        <f>'Segment Analysis'!H53</f>
        <v>1</v>
      </c>
      <c r="I83" s="455">
        <f>'Segment Analysis'!I53</f>
        <v>1</v>
      </c>
      <c r="J83" s="316">
        <f>'Segment Analysis'!J53</f>
        <v>1</v>
      </c>
      <c r="K83" s="455">
        <f>'Segment Analysis'!K53</f>
        <v>1</v>
      </c>
      <c r="L83" s="455">
        <f>'Segment Analysis'!L53</f>
        <v>1</v>
      </c>
      <c r="M83" s="455">
        <f>'Segment Analysis'!M53</f>
        <v>1</v>
      </c>
      <c r="N83" s="455">
        <f>'Segment Analysis'!N53</f>
        <v>1</v>
      </c>
      <c r="O83" s="316">
        <f>'Segment Analysis'!O53</f>
        <v>1</v>
      </c>
      <c r="P83" s="455">
        <f>'Segment Analysis'!P53</f>
        <v>1</v>
      </c>
      <c r="Q83" s="455">
        <f>'Segment Analysis'!Q53</f>
        <v>1</v>
      </c>
      <c r="R83" s="455">
        <f>'Segment Analysis'!R53</f>
        <v>1</v>
      </c>
      <c r="S83" s="455">
        <f>'Segment Analysis'!S53</f>
        <v>1</v>
      </c>
      <c r="T83" s="316">
        <f>'Segment Analysis'!T53</f>
        <v>1</v>
      </c>
      <c r="U83" s="255">
        <v>1</v>
      </c>
      <c r="V83" s="255">
        <v>1</v>
      </c>
      <c r="W83" s="255">
        <v>1</v>
      </c>
      <c r="X83" s="255">
        <v>1</v>
      </c>
      <c r="Y83" s="316">
        <f>'Segment Analysis'!Y53</f>
        <v>1</v>
      </c>
      <c r="Z83" s="255">
        <v>1</v>
      </c>
      <c r="AA83" s="255">
        <v>1</v>
      </c>
      <c r="AB83" s="255">
        <v>1</v>
      </c>
      <c r="AC83" s="255">
        <v>1</v>
      </c>
      <c r="AD83" s="316">
        <f>'Segment Analysis'!AD53</f>
        <v>1</v>
      </c>
      <c r="AE83" s="256">
        <v>1</v>
      </c>
      <c r="AF83" s="256">
        <v>1</v>
      </c>
      <c r="AG83" s="256">
        <v>1</v>
      </c>
      <c r="AH83" s="9"/>
      <c r="AI83" s="9"/>
    </row>
    <row r="84" spans="1:35" ht="12.75" hidden="1" customHeight="1" outlineLevel="1" x14ac:dyDescent="0.25">
      <c r="A84" s="9"/>
      <c r="B84" s="9"/>
      <c r="C84" s="425" t="str">
        <f>'Segment Analysis'!C54</f>
        <v>Net Card Fees</v>
      </c>
      <c r="D84" s="9"/>
      <c r="E84" s="9"/>
      <c r="F84" s="455">
        <f>'Segment Analysis'!F54</f>
        <v>0</v>
      </c>
      <c r="G84" s="455">
        <f>'Segment Analysis'!G54</f>
        <v>0</v>
      </c>
      <c r="H84" s="455">
        <f>'Segment Analysis'!H54</f>
        <v>0</v>
      </c>
      <c r="I84" s="455">
        <f>'Segment Analysis'!I54</f>
        <v>0</v>
      </c>
      <c r="J84" s="316">
        <f>'Segment Analysis'!J54</f>
        <v>0</v>
      </c>
      <c r="K84" s="455">
        <f>'Segment Analysis'!K54</f>
        <v>0</v>
      </c>
      <c r="L84" s="455">
        <f>'Segment Analysis'!L54</f>
        <v>0</v>
      </c>
      <c r="M84" s="455">
        <f>'Segment Analysis'!M54</f>
        <v>0</v>
      </c>
      <c r="N84" s="455">
        <f>'Segment Analysis'!N54</f>
        <v>0</v>
      </c>
      <c r="O84" s="316">
        <f>'Segment Analysis'!O54</f>
        <v>0</v>
      </c>
      <c r="P84" s="455">
        <f>'Segment Analysis'!P54</f>
        <v>0</v>
      </c>
      <c r="Q84" s="455">
        <f>'Segment Analysis'!Q54</f>
        <v>0</v>
      </c>
      <c r="R84" s="455">
        <f>'Segment Analysis'!R54</f>
        <v>0</v>
      </c>
      <c r="S84" s="455">
        <f>'Segment Analysis'!S54</f>
        <v>0</v>
      </c>
      <c r="T84" s="316">
        <f>'Segment Analysis'!T54</f>
        <v>0</v>
      </c>
      <c r="U84" s="255">
        <v>0</v>
      </c>
      <c r="V84" s="255">
        <v>0</v>
      </c>
      <c r="W84" s="255">
        <v>0</v>
      </c>
      <c r="X84" s="255">
        <v>0</v>
      </c>
      <c r="Y84" s="316">
        <f>'Segment Analysis'!Y54</f>
        <v>0</v>
      </c>
      <c r="Z84" s="255">
        <v>0</v>
      </c>
      <c r="AA84" s="255">
        <v>0</v>
      </c>
      <c r="AB84" s="255">
        <v>0</v>
      </c>
      <c r="AC84" s="255">
        <v>0</v>
      </c>
      <c r="AD84" s="316">
        <f>'Segment Analysis'!AD54</f>
        <v>0</v>
      </c>
      <c r="AE84" s="256">
        <v>0</v>
      </c>
      <c r="AF84" s="256">
        <v>0</v>
      </c>
      <c r="AG84" s="256">
        <v>0</v>
      </c>
      <c r="AH84" s="9"/>
      <c r="AI84" s="9"/>
    </row>
    <row r="85" spans="1:35" ht="12.75" hidden="1" customHeight="1" outlineLevel="1" x14ac:dyDescent="0.25">
      <c r="A85" s="9"/>
      <c r="B85" s="9"/>
      <c r="C85" s="425" t="str">
        <f>'Segment Analysis'!C55</f>
        <v>Service Fees and Other</v>
      </c>
      <c r="D85" s="9"/>
      <c r="E85" s="9"/>
      <c r="F85" s="455">
        <f>'Segment Analysis'!F55</f>
        <v>0</v>
      </c>
      <c r="G85" s="455">
        <f>'Segment Analysis'!G55</f>
        <v>0</v>
      </c>
      <c r="H85" s="455">
        <f>'Segment Analysis'!H55</f>
        <v>0</v>
      </c>
      <c r="I85" s="455">
        <f>'Segment Analysis'!I55</f>
        <v>0</v>
      </c>
      <c r="J85" s="316">
        <f>'Segment Analysis'!J55</f>
        <v>0</v>
      </c>
      <c r="K85" s="455">
        <f>'Segment Analysis'!K55</f>
        <v>0</v>
      </c>
      <c r="L85" s="455">
        <f>'Segment Analysis'!L55</f>
        <v>0</v>
      </c>
      <c r="M85" s="455">
        <f>'Segment Analysis'!M55</f>
        <v>0</v>
      </c>
      <c r="N85" s="455">
        <f>'Segment Analysis'!N55</f>
        <v>0</v>
      </c>
      <c r="O85" s="316">
        <f>'Segment Analysis'!O55</f>
        <v>0</v>
      </c>
      <c r="P85" s="455">
        <f>'Segment Analysis'!P55</f>
        <v>0</v>
      </c>
      <c r="Q85" s="455">
        <f>'Segment Analysis'!Q55</f>
        <v>0</v>
      </c>
      <c r="R85" s="455">
        <f>'Segment Analysis'!R55</f>
        <v>0</v>
      </c>
      <c r="S85" s="455">
        <f>'Segment Analysis'!S55</f>
        <v>0</v>
      </c>
      <c r="T85" s="316">
        <f>'Segment Analysis'!T55</f>
        <v>0</v>
      </c>
      <c r="U85" s="255">
        <v>0</v>
      </c>
      <c r="V85" s="255">
        <v>0</v>
      </c>
      <c r="W85" s="255">
        <v>0</v>
      </c>
      <c r="X85" s="255">
        <v>0</v>
      </c>
      <c r="Y85" s="316">
        <f>'Segment Analysis'!Y55</f>
        <v>0</v>
      </c>
      <c r="Z85" s="255">
        <v>0</v>
      </c>
      <c r="AA85" s="255">
        <v>0</v>
      </c>
      <c r="AB85" s="255">
        <v>0</v>
      </c>
      <c r="AC85" s="255">
        <v>0</v>
      </c>
      <c r="AD85" s="316">
        <f>'Segment Analysis'!AD55</f>
        <v>0</v>
      </c>
      <c r="AE85" s="256">
        <v>0</v>
      </c>
      <c r="AF85" s="256">
        <v>0</v>
      </c>
      <c r="AG85" s="256">
        <v>0</v>
      </c>
      <c r="AH85" s="9"/>
      <c r="AI85" s="9"/>
    </row>
    <row r="86" spans="1:35" ht="12.75" hidden="1" customHeight="1" outlineLevel="1" x14ac:dyDescent="0.25">
      <c r="A86" s="205" t="s">
        <v>0</v>
      </c>
      <c r="B86" s="9"/>
      <c r="C86" s="9"/>
      <c r="D86" s="9"/>
      <c r="E86" s="9"/>
      <c r="F86" s="312"/>
      <c r="G86" s="312"/>
      <c r="H86" s="312"/>
      <c r="I86" s="312"/>
      <c r="J86" s="313"/>
      <c r="K86" s="312"/>
      <c r="L86" s="312"/>
      <c r="M86" s="312"/>
      <c r="N86" s="312"/>
      <c r="O86" s="313"/>
      <c r="P86" s="312"/>
      <c r="Q86" s="312"/>
      <c r="R86" s="312"/>
      <c r="S86" s="312"/>
      <c r="T86" s="313"/>
      <c r="U86" s="255"/>
      <c r="V86" s="255"/>
      <c r="W86" s="255"/>
      <c r="X86" s="255"/>
      <c r="Y86" s="313"/>
      <c r="Z86" s="255"/>
      <c r="AA86" s="255"/>
      <c r="AB86" s="255"/>
      <c r="AC86" s="255"/>
      <c r="AD86" s="313"/>
      <c r="AE86" s="256"/>
      <c r="AF86" s="256"/>
      <c r="AG86" s="256"/>
      <c r="AH86" s="205" t="s">
        <v>0</v>
      </c>
      <c r="AI86" s="205"/>
    </row>
    <row r="87" spans="1:35" ht="12.75" hidden="1" customHeight="1" outlineLevel="1" collapsed="1" x14ac:dyDescent="0.25">
      <c r="A87" s="205"/>
      <c r="B87" s="9"/>
      <c r="C87" s="9" t="str">
        <f>Model!C214</f>
        <v>Amortization as a % of Avg. Intangibles</v>
      </c>
      <c r="D87" s="9"/>
      <c r="E87" s="9"/>
      <c r="F87" s="312"/>
      <c r="G87" s="312">
        <f>Model!G214</f>
        <v>0</v>
      </c>
      <c r="H87" s="312">
        <f>Model!H214</f>
        <v>0</v>
      </c>
      <c r="I87" s="312">
        <f>Model!I214</f>
        <v>0</v>
      </c>
      <c r="J87" s="313">
        <f>Model!J214</f>
        <v>0</v>
      </c>
      <c r="K87" s="312">
        <f>Model!K214</f>
        <v>0</v>
      </c>
      <c r="L87" s="312">
        <f>Model!L214</f>
        <v>0</v>
      </c>
      <c r="M87" s="312">
        <f>Model!M214</f>
        <v>0</v>
      </c>
      <c r="N87" s="312">
        <f>Model!N214</f>
        <v>0</v>
      </c>
      <c r="O87" s="313">
        <f>Model!O214</f>
        <v>0</v>
      </c>
      <c r="P87" s="312">
        <f>Model!P214</f>
        <v>0</v>
      </c>
      <c r="Q87" s="312">
        <f>Model!Q214</f>
        <v>0</v>
      </c>
      <c r="R87" s="312">
        <f>Model!R214</f>
        <v>0</v>
      </c>
      <c r="S87" s="312">
        <f>Model!S214</f>
        <v>0</v>
      </c>
      <c r="T87" s="313">
        <f>Model!T214</f>
        <v>0</v>
      </c>
      <c r="U87" s="314">
        <f>IF(Case_Scenario="Bull",U88,IF(Case_Scenario="Base",U89,IF(Case_Scenario="bear",U90,"N/A")))</f>
        <v>0</v>
      </c>
      <c r="V87" s="314">
        <f>IF(Case_Scenario="Bull",V88,IF(Case_Scenario="Base",V89,IF(Case_Scenario="bear",V90,"N/A")))</f>
        <v>0</v>
      </c>
      <c r="W87" s="314">
        <f>IF(Case_Scenario="Bull",W88,IF(Case_Scenario="Base",W89,IF(Case_Scenario="bear",W90,"N/A")))</f>
        <v>0</v>
      </c>
      <c r="X87" s="314">
        <f>IF(Case_Scenario="Bull",X88,IF(Case_Scenario="Base",X89,IF(Case_Scenario="bear",X90,"N/A")))</f>
        <v>0</v>
      </c>
      <c r="Y87" s="313">
        <f>Model!Y214</f>
        <v>0</v>
      </c>
      <c r="Z87" s="314">
        <f>IF(Case_Scenario="Bull",Z88,IF(Case_Scenario="Base",Z89,IF(Case_Scenario="bear",Z90,"N/A")))</f>
        <v>0</v>
      </c>
      <c r="AA87" s="314">
        <f>IF(Case_Scenario="Bull",AA88,IF(Case_Scenario="Base",AA89,IF(Case_Scenario="bear",AA90,"N/A")))</f>
        <v>0</v>
      </c>
      <c r="AB87" s="314">
        <f>IF(Case_Scenario="Bull",AB88,IF(Case_Scenario="Base",AB89,IF(Case_Scenario="bear",AB90,"N/A")))</f>
        <v>0</v>
      </c>
      <c r="AC87" s="314">
        <f>IF(Case_Scenario="Bull",AC88,IF(Case_Scenario="Base",AC89,IF(Case_Scenario="bear",AC90,"N/A")))</f>
        <v>0</v>
      </c>
      <c r="AD87" s="313">
        <f>Model!AD214</f>
        <v>0</v>
      </c>
      <c r="AE87" s="313">
        <f>IF(Case_Scenario="Bull",AE88,IF(Case_Scenario="Base",AE89,IF(Case_Scenario="bear",AE90,"N/A")))</f>
        <v>0</v>
      </c>
      <c r="AF87" s="313">
        <f>IF(Case_Scenario="Bull",AF88,IF(Case_Scenario="Base",AF89,IF(Case_Scenario="bear",AF90,"N/A")))</f>
        <v>0</v>
      </c>
      <c r="AG87" s="313">
        <f>IF(Case_Scenario="Bull",AG88,IF(Case_Scenario="Base",AG89,IF(Case_Scenario="bear",AG90,"N/A")))</f>
        <v>0</v>
      </c>
      <c r="AH87" s="9"/>
      <c r="AI87" s="9"/>
    </row>
    <row r="88" spans="1:35" ht="12.75" hidden="1" customHeight="1" outlineLevel="1" x14ac:dyDescent="0.25">
      <c r="A88" s="9"/>
      <c r="B88" s="9"/>
      <c r="C88" s="103" t="s">
        <v>246</v>
      </c>
      <c r="D88" s="9"/>
      <c r="E88" s="9"/>
      <c r="F88" s="312"/>
      <c r="G88" s="312"/>
      <c r="H88" s="312"/>
      <c r="I88" s="312"/>
      <c r="J88" s="313"/>
      <c r="K88" s="312"/>
      <c r="L88" s="312"/>
      <c r="M88" s="312"/>
      <c r="N88" s="312"/>
      <c r="O88" s="313"/>
      <c r="P88" s="312"/>
      <c r="Q88" s="312"/>
      <c r="R88" s="312"/>
      <c r="S88" s="312"/>
      <c r="T88" s="313"/>
      <c r="U88" s="255">
        <v>0</v>
      </c>
      <c r="V88" s="255">
        <v>0</v>
      </c>
      <c r="W88" s="255">
        <v>0</v>
      </c>
      <c r="X88" s="255">
        <v>0</v>
      </c>
      <c r="Y88" s="313"/>
      <c r="Z88" s="255">
        <v>0</v>
      </c>
      <c r="AA88" s="255">
        <v>0</v>
      </c>
      <c r="AB88" s="255">
        <v>0</v>
      </c>
      <c r="AC88" s="255">
        <v>0</v>
      </c>
      <c r="AD88" s="313"/>
      <c r="AE88" s="256">
        <v>0</v>
      </c>
      <c r="AF88" s="256">
        <v>0</v>
      </c>
      <c r="AG88" s="256">
        <v>0</v>
      </c>
      <c r="AH88" s="9"/>
      <c r="AI88" s="9"/>
    </row>
    <row r="89" spans="1:35" ht="12.75" hidden="1" customHeight="1" outlineLevel="1" x14ac:dyDescent="0.25">
      <c r="A89" s="9"/>
      <c r="B89" s="9"/>
      <c r="C89" s="103" t="s">
        <v>247</v>
      </c>
      <c r="D89" s="9"/>
      <c r="E89" s="9"/>
      <c r="F89" s="312"/>
      <c r="G89" s="312"/>
      <c r="H89" s="312"/>
      <c r="I89" s="312"/>
      <c r="J89" s="313"/>
      <c r="K89" s="312"/>
      <c r="L89" s="312"/>
      <c r="M89" s="312"/>
      <c r="N89" s="312"/>
      <c r="O89" s="313"/>
      <c r="P89" s="312"/>
      <c r="Q89" s="312"/>
      <c r="R89" s="312"/>
      <c r="S89" s="312"/>
      <c r="T89" s="313"/>
      <c r="U89" s="255">
        <v>0</v>
      </c>
      <c r="V89" s="255">
        <v>0</v>
      </c>
      <c r="W89" s="255">
        <v>0</v>
      </c>
      <c r="X89" s="255">
        <v>0</v>
      </c>
      <c r="Y89" s="313"/>
      <c r="Z89" s="255">
        <v>0</v>
      </c>
      <c r="AA89" s="255">
        <v>0</v>
      </c>
      <c r="AB89" s="255">
        <v>0</v>
      </c>
      <c r="AC89" s="255">
        <v>0</v>
      </c>
      <c r="AD89" s="313"/>
      <c r="AE89" s="256">
        <v>0</v>
      </c>
      <c r="AF89" s="256">
        <v>0</v>
      </c>
      <c r="AG89" s="256">
        <v>0</v>
      </c>
      <c r="AH89" s="9"/>
      <c r="AI89" s="9"/>
    </row>
    <row r="90" spans="1:35" ht="12.75" hidden="1" customHeight="1" outlineLevel="1" x14ac:dyDescent="0.25">
      <c r="A90" s="9"/>
      <c r="B90" s="9"/>
      <c r="C90" s="103" t="s">
        <v>248</v>
      </c>
      <c r="D90" s="9"/>
      <c r="E90" s="9"/>
      <c r="F90" s="312"/>
      <c r="G90" s="312"/>
      <c r="H90" s="312"/>
      <c r="I90" s="312"/>
      <c r="J90" s="313"/>
      <c r="K90" s="312"/>
      <c r="L90" s="312"/>
      <c r="M90" s="312"/>
      <c r="N90" s="312"/>
      <c r="O90" s="313"/>
      <c r="P90" s="312"/>
      <c r="Q90" s="312"/>
      <c r="R90" s="312"/>
      <c r="S90" s="312"/>
      <c r="T90" s="313"/>
      <c r="U90" s="255">
        <v>0</v>
      </c>
      <c r="V90" s="255">
        <v>0</v>
      </c>
      <c r="W90" s="255">
        <v>0</v>
      </c>
      <c r="X90" s="255">
        <v>0</v>
      </c>
      <c r="Y90" s="313"/>
      <c r="Z90" s="255">
        <v>0</v>
      </c>
      <c r="AA90" s="255">
        <v>0</v>
      </c>
      <c r="AB90" s="255">
        <v>0</v>
      </c>
      <c r="AC90" s="255">
        <v>0</v>
      </c>
      <c r="AD90" s="313"/>
      <c r="AE90" s="256">
        <v>0</v>
      </c>
      <c r="AF90" s="256">
        <v>0</v>
      </c>
      <c r="AG90" s="256">
        <v>0</v>
      </c>
      <c r="AH90" s="9"/>
      <c r="AI90" s="9"/>
    </row>
    <row r="91" spans="1:35" ht="12.75" hidden="1" customHeight="1" outlineLevel="1" x14ac:dyDescent="0.25">
      <c r="A91" s="9"/>
      <c r="B91" s="9"/>
      <c r="C91" s="9"/>
      <c r="D91" s="9"/>
      <c r="E91" s="9"/>
      <c r="F91" s="312"/>
      <c r="G91" s="312"/>
      <c r="H91" s="312"/>
      <c r="I91" s="312"/>
      <c r="J91" s="313"/>
      <c r="K91" s="312"/>
      <c r="L91" s="312"/>
      <c r="M91" s="312"/>
      <c r="N91" s="312"/>
      <c r="O91" s="313"/>
      <c r="P91" s="312"/>
      <c r="Q91" s="312"/>
      <c r="R91" s="312"/>
      <c r="S91" s="312"/>
      <c r="T91" s="313"/>
      <c r="U91" s="255"/>
      <c r="V91" s="255"/>
      <c r="W91" s="255"/>
      <c r="X91" s="255"/>
      <c r="Y91" s="313"/>
      <c r="Z91" s="255"/>
      <c r="AA91" s="255"/>
      <c r="AB91" s="255"/>
      <c r="AC91" s="255"/>
      <c r="AD91" s="313"/>
      <c r="AE91" s="256"/>
      <c r="AF91" s="256"/>
      <c r="AG91" s="256"/>
      <c r="AH91" s="9"/>
      <c r="AI91" s="9"/>
    </row>
    <row r="92" spans="1:35" ht="12.75" customHeight="1" collapsed="1" x14ac:dyDescent="0.25">
      <c r="A92" s="9"/>
      <c r="B92" s="9"/>
      <c r="C92" s="445" t="s">
        <v>449</v>
      </c>
      <c r="D92" s="446"/>
      <c r="E92" s="446"/>
      <c r="F92" s="447"/>
      <c r="G92" s="448"/>
      <c r="H92" s="448"/>
      <c r="I92" s="448"/>
      <c r="J92" s="448"/>
      <c r="K92" s="448"/>
      <c r="L92" s="448"/>
      <c r="M92" s="448"/>
      <c r="N92" s="448"/>
      <c r="O92" s="448"/>
      <c r="P92" s="448"/>
      <c r="Q92" s="448"/>
      <c r="R92" s="448"/>
      <c r="S92" s="448"/>
      <c r="T92" s="448"/>
      <c r="U92" s="448"/>
      <c r="V92" s="448"/>
      <c r="W92" s="448"/>
      <c r="X92" s="448"/>
      <c r="Y92" s="448"/>
      <c r="Z92" s="448"/>
      <c r="AA92" s="448"/>
      <c r="AB92" s="448"/>
      <c r="AC92" s="448"/>
      <c r="AD92" s="448"/>
      <c r="AE92" s="448"/>
      <c r="AF92" s="448"/>
      <c r="AG92" s="449"/>
      <c r="AH92" s="9"/>
      <c r="AI92" s="9"/>
    </row>
    <row r="93" spans="1:35" ht="12.75" customHeight="1" x14ac:dyDescent="0.25">
      <c r="A93" s="9"/>
      <c r="B93" s="9"/>
      <c r="C93" s="9"/>
      <c r="D93" s="9"/>
      <c r="E93" s="9"/>
      <c r="F93" s="312"/>
      <c r="G93" s="312"/>
      <c r="H93" s="312"/>
      <c r="I93" s="312"/>
      <c r="J93" s="313"/>
      <c r="K93" s="312"/>
      <c r="L93" s="312"/>
      <c r="M93" s="312"/>
      <c r="N93" s="312"/>
      <c r="O93" s="313"/>
      <c r="P93" s="312"/>
      <c r="Q93" s="312"/>
      <c r="R93" s="312"/>
      <c r="S93" s="312"/>
      <c r="T93" s="313"/>
      <c r="U93" s="314"/>
      <c r="V93" s="314"/>
      <c r="W93" s="314"/>
      <c r="X93" s="314"/>
      <c r="Y93" s="313"/>
      <c r="Z93" s="314"/>
      <c r="AA93" s="314"/>
      <c r="AB93" s="314"/>
      <c r="AC93" s="314"/>
      <c r="AD93" s="313"/>
      <c r="AE93" s="132"/>
      <c r="AF93" s="132"/>
      <c r="AG93" s="132"/>
      <c r="AH93" s="9"/>
      <c r="AI93" s="9"/>
    </row>
    <row r="94" spans="1:35" ht="12.75" customHeight="1" x14ac:dyDescent="0.25">
      <c r="A94" s="9"/>
      <c r="B94" s="9"/>
      <c r="C94" s="9" t="str">
        <f>Model!C200</f>
        <v>Capex as a % of Sales</v>
      </c>
      <c r="D94" s="9"/>
      <c r="E94" s="9"/>
      <c r="F94" s="312">
        <f>Model!F200</f>
        <v>2.2909507445589918E-2</v>
      </c>
      <c r="G94" s="312">
        <f>Model!G200</f>
        <v>2.2482659650801245E-2</v>
      </c>
      <c r="H94" s="312">
        <f>Model!H200</f>
        <v>2.3342452994935679E-2</v>
      </c>
      <c r="I94" s="312">
        <f>Model!I200</f>
        <v>2.4004057023722318E-2</v>
      </c>
      <c r="J94" s="313">
        <f>Model!J200</f>
        <v>2.3202303901193516E-2</v>
      </c>
      <c r="K94" s="312">
        <f>Model!K200</f>
        <v>2.2238445555118773E-2</v>
      </c>
      <c r="L94" s="312">
        <f>Model!L200</f>
        <v>3.0711529053650051E-2</v>
      </c>
      <c r="M94" s="312">
        <f>Model!M200</f>
        <v>2.4229192182757334E-2</v>
      </c>
      <c r="N94" s="312">
        <f>Model!N200</f>
        <v>2.5757102716203559E-2</v>
      </c>
      <c r="O94" s="313">
        <f>Model!O200</f>
        <v>2.5754369887198286E-2</v>
      </c>
      <c r="P94" s="312">
        <f>Model!P200</f>
        <v>2.2711667458934135E-2</v>
      </c>
      <c r="Q94" s="312">
        <f>Model!Q200</f>
        <v>3.1054031003862941E-2</v>
      </c>
      <c r="R94" s="312">
        <f>Model!R200</f>
        <v>3.1813980639198325E-2</v>
      </c>
      <c r="S94" s="312">
        <f>Model!S200</f>
        <v>3.4315589353612168E-2</v>
      </c>
      <c r="T94" s="313">
        <f>Model!T200</f>
        <v>3.0138075885810869E-2</v>
      </c>
      <c r="U94" s="314">
        <f>IF(Case_Scenario="Bull",U95,IF(Case_Scenario="Base",U96,IF(Case_Scenario="bear",U97,"N/A")))</f>
        <v>2.9000000000000001E-2</v>
      </c>
      <c r="V94" s="314">
        <f>IF(Case_Scenario="Bull",V95,IF(Case_Scenario="Base",V96,IF(Case_Scenario="bear",V97,"N/A")))</f>
        <v>2.9000000000000001E-2</v>
      </c>
      <c r="W94" s="314">
        <f>IF(Case_Scenario="Bull",W95,IF(Case_Scenario="Base",W96,IF(Case_Scenario="bear",W97,"N/A")))</f>
        <v>2.5999999999999999E-2</v>
      </c>
      <c r="X94" s="314">
        <f>IF(Case_Scenario="Bull",X95,IF(Case_Scenario="Base",X96,IF(Case_Scenario="bear",X97,"N/A")))</f>
        <v>2.5000000000000001E-2</v>
      </c>
      <c r="Y94" s="313">
        <f>Model!Y200</f>
        <v>3.33609468530362E-2</v>
      </c>
      <c r="Z94" s="314">
        <f>IF(Case_Scenario="Bull",Z95,IF(Case_Scenario="Base",Z96,IF(Case_Scenario="bear",Z97,"N/A")))</f>
        <v>2.7E-2</v>
      </c>
      <c r="AA94" s="314">
        <f>IF(Case_Scenario="Bull",AA95,IF(Case_Scenario="Base",AA96,IF(Case_Scenario="bear",AA97,"N/A")))</f>
        <v>2.5000000000000001E-2</v>
      </c>
      <c r="AB94" s="314">
        <f>IF(Case_Scenario="Bull",AB95,IF(Case_Scenario="Base",AB96,IF(Case_Scenario="bear",AB97,"N/A")))</f>
        <v>2.4E-2</v>
      </c>
      <c r="AC94" s="314">
        <f>IF(Case_Scenario="Bull",AC95,IF(Case_Scenario="Base",AC96,IF(Case_Scenario="bear",AC97,"N/A")))</f>
        <v>2.5999999999999999E-2</v>
      </c>
      <c r="AD94" s="313">
        <f>Model!AD200</f>
        <v>2.5482622476195201E-2</v>
      </c>
      <c r="AE94" s="313">
        <f>IF(Case_Scenario="Bull",AE95,IF(Case_Scenario="Base",AE96,IF(Case_Scenario="bear",AE97,"N/A")))</f>
        <v>2.2238445555118773E-2</v>
      </c>
      <c r="AF94" s="313">
        <f>IF(Case_Scenario="Bull",AF95,IF(Case_Scenario="Base",AF96,IF(Case_Scenario="bear",AF97,"N/A")))</f>
        <v>2.7E-2</v>
      </c>
      <c r="AG94" s="313">
        <f>IF(Case_Scenario="Bull",AG95,IF(Case_Scenario="Base",AG96,IF(Case_Scenario="bear",AG97,"N/A")))</f>
        <v>2.4229192182757334E-2</v>
      </c>
      <c r="AH94" s="9"/>
      <c r="AI94" s="9"/>
    </row>
    <row r="95" spans="1:35" ht="12.75" customHeight="1" x14ac:dyDescent="0.25">
      <c r="A95" s="9"/>
      <c r="B95" s="9"/>
      <c r="C95" s="103" t="s">
        <v>246</v>
      </c>
      <c r="D95" s="9"/>
      <c r="E95" s="9"/>
      <c r="F95" s="312"/>
      <c r="G95" s="312"/>
      <c r="H95" s="312"/>
      <c r="I95" s="312"/>
      <c r="J95" s="313"/>
      <c r="K95" s="312"/>
      <c r="L95" s="312"/>
      <c r="M95" s="312"/>
      <c r="N95" s="312"/>
      <c r="O95" s="313"/>
      <c r="P95" s="312"/>
      <c r="Q95" s="312"/>
      <c r="R95" s="312"/>
      <c r="S95" s="312"/>
      <c r="T95" s="313"/>
      <c r="U95" s="255">
        <f>+U96-0.1%</f>
        <v>2.8000000000000001E-2</v>
      </c>
      <c r="V95" s="255">
        <f t="shared" ref="V95:X95" si="58">+V96-0.1%</f>
        <v>2.8000000000000001E-2</v>
      </c>
      <c r="W95" s="255">
        <f t="shared" si="58"/>
        <v>2.4999999999999998E-2</v>
      </c>
      <c r="X95" s="255">
        <f t="shared" si="58"/>
        <v>2.4E-2</v>
      </c>
      <c r="Y95" s="313"/>
      <c r="Z95" s="255">
        <f t="shared" ref="Z95:AC95" si="59">+Z96-0.1%</f>
        <v>2.5999999999999999E-2</v>
      </c>
      <c r="AA95" s="255">
        <f t="shared" si="59"/>
        <v>2.4E-2</v>
      </c>
      <c r="AB95" s="255">
        <f t="shared" si="59"/>
        <v>2.3E-2</v>
      </c>
      <c r="AC95" s="255">
        <f t="shared" si="59"/>
        <v>2.4999999999999998E-2</v>
      </c>
      <c r="AD95" s="313"/>
      <c r="AE95" s="256">
        <f t="shared" ref="AE95" si="60">+AE96-0.1%</f>
        <v>2.1238445555118772E-2</v>
      </c>
      <c r="AF95" s="256">
        <f t="shared" ref="AF95" si="61">+AF96-0.1%</f>
        <v>2.5999999999999999E-2</v>
      </c>
      <c r="AG95" s="256">
        <f t="shared" ref="AG95" si="62">+AG96-0.1%</f>
        <v>2.3229192182757333E-2</v>
      </c>
      <c r="AH95" s="9"/>
      <c r="AI95" s="9"/>
    </row>
    <row r="96" spans="1:35" ht="12.75" customHeight="1" x14ac:dyDescent="0.25">
      <c r="A96" s="9"/>
      <c r="B96" s="9"/>
      <c r="C96" s="103" t="s">
        <v>247</v>
      </c>
      <c r="D96" s="9"/>
      <c r="E96" s="9"/>
      <c r="F96" s="312"/>
      <c r="G96" s="312"/>
      <c r="H96" s="312"/>
      <c r="I96" s="312"/>
      <c r="J96" s="313"/>
      <c r="K96" s="312"/>
      <c r="L96" s="312"/>
      <c r="M96" s="312"/>
      <c r="N96" s="312"/>
      <c r="O96" s="313"/>
      <c r="P96" s="312"/>
      <c r="Q96" s="312"/>
      <c r="R96" s="312"/>
      <c r="S96" s="312"/>
      <c r="T96" s="313"/>
      <c r="U96" s="255">
        <v>2.9000000000000001E-2</v>
      </c>
      <c r="V96" s="255">
        <v>2.9000000000000001E-2</v>
      </c>
      <c r="W96" s="255">
        <v>2.5999999999999999E-2</v>
      </c>
      <c r="X96" s="255">
        <v>2.5000000000000001E-2</v>
      </c>
      <c r="Y96" s="313"/>
      <c r="Z96" s="255">
        <v>2.7E-2</v>
      </c>
      <c r="AA96" s="255">
        <v>2.5000000000000001E-2</v>
      </c>
      <c r="AB96" s="255">
        <v>2.4E-2</v>
      </c>
      <c r="AC96" s="255">
        <v>2.5999999999999999E-2</v>
      </c>
      <c r="AD96" s="313"/>
      <c r="AE96" s="256">
        <v>2.2238445555118773E-2</v>
      </c>
      <c r="AF96" s="256">
        <v>2.7E-2</v>
      </c>
      <c r="AG96" s="256">
        <v>2.4229192182757334E-2</v>
      </c>
      <c r="AH96" s="9"/>
      <c r="AI96" s="9"/>
    </row>
    <row r="97" spans="1:35" ht="12.75" customHeight="1" x14ac:dyDescent="0.25">
      <c r="A97" s="9"/>
      <c r="B97" s="9"/>
      <c r="C97" s="103" t="s">
        <v>248</v>
      </c>
      <c r="D97" s="9"/>
      <c r="E97" s="9"/>
      <c r="F97" s="312"/>
      <c r="G97" s="312"/>
      <c r="H97" s="312"/>
      <c r="I97" s="312"/>
      <c r="J97" s="313"/>
      <c r="K97" s="312"/>
      <c r="L97" s="312"/>
      <c r="M97" s="312"/>
      <c r="N97" s="312"/>
      <c r="O97" s="313"/>
      <c r="P97" s="312"/>
      <c r="Q97" s="312"/>
      <c r="R97" s="312"/>
      <c r="S97" s="312"/>
      <c r="T97" s="313"/>
      <c r="U97" s="255">
        <f>U96+0.1%</f>
        <v>3.0000000000000002E-2</v>
      </c>
      <c r="V97" s="255">
        <f t="shared" ref="V97:X97" si="63">V96+0.1%</f>
        <v>3.0000000000000002E-2</v>
      </c>
      <c r="W97" s="255">
        <f t="shared" si="63"/>
        <v>2.7E-2</v>
      </c>
      <c r="X97" s="255">
        <f t="shared" si="63"/>
        <v>2.6000000000000002E-2</v>
      </c>
      <c r="Y97" s="313"/>
      <c r="Z97" s="255">
        <f t="shared" ref="Z97:AC97" si="64">Z96+0.1%</f>
        <v>2.8000000000000001E-2</v>
      </c>
      <c r="AA97" s="255">
        <f t="shared" si="64"/>
        <v>2.6000000000000002E-2</v>
      </c>
      <c r="AB97" s="255">
        <f t="shared" si="64"/>
        <v>2.5000000000000001E-2</v>
      </c>
      <c r="AC97" s="255">
        <f t="shared" si="64"/>
        <v>2.7E-2</v>
      </c>
      <c r="AD97" s="313"/>
      <c r="AE97" s="256">
        <f t="shared" ref="AE97:AG97" si="65">AE96+0.1%</f>
        <v>2.3238445555118774E-2</v>
      </c>
      <c r="AF97" s="256">
        <f t="shared" si="65"/>
        <v>2.8000000000000001E-2</v>
      </c>
      <c r="AG97" s="256">
        <f t="shared" si="65"/>
        <v>2.5229192182757335E-2</v>
      </c>
      <c r="AH97" s="9"/>
      <c r="AI97" s="9"/>
    </row>
    <row r="98" spans="1:35" ht="12.75" customHeight="1" x14ac:dyDescent="0.25">
      <c r="A98" s="9"/>
      <c r="B98" s="9"/>
      <c r="C98" s="9"/>
      <c r="D98" s="9"/>
      <c r="E98" s="9"/>
      <c r="F98" s="312"/>
      <c r="G98" s="312"/>
      <c r="H98" s="312"/>
      <c r="I98" s="312"/>
      <c r="J98" s="313"/>
      <c r="K98" s="312"/>
      <c r="L98" s="312"/>
      <c r="M98" s="312"/>
      <c r="N98" s="312"/>
      <c r="O98" s="313"/>
      <c r="P98" s="312"/>
      <c r="Q98" s="312"/>
      <c r="R98" s="312"/>
      <c r="S98" s="312"/>
      <c r="T98" s="313"/>
      <c r="U98" s="255"/>
      <c r="V98" s="255"/>
      <c r="W98" s="255"/>
      <c r="X98" s="255"/>
      <c r="Y98" s="313"/>
      <c r="Z98" s="255"/>
      <c r="AA98" s="255"/>
      <c r="AB98" s="255"/>
      <c r="AC98" s="255"/>
      <c r="AD98" s="313"/>
      <c r="AE98" s="256"/>
      <c r="AF98" s="256"/>
      <c r="AG98" s="256"/>
      <c r="AH98" s="9"/>
      <c r="AI98" s="9"/>
    </row>
    <row r="99" spans="1:35" ht="12.75" customHeight="1" x14ac:dyDescent="0.25">
      <c r="A99" s="9"/>
      <c r="B99" s="9"/>
      <c r="C99" s="9" t="str">
        <f>Model!C84</f>
        <v>Proceeds From/(Acquisitions of) Businesses</v>
      </c>
      <c r="D99" s="9"/>
      <c r="E99" s="9"/>
      <c r="F99" s="260">
        <f>Model!F84</f>
        <v>0</v>
      </c>
      <c r="G99" s="260">
        <f>Model!G84</f>
        <v>0</v>
      </c>
      <c r="H99" s="260">
        <f>Model!H84</f>
        <v>0</v>
      </c>
      <c r="I99" s="260">
        <f>Model!I84</f>
        <v>0</v>
      </c>
      <c r="J99" s="261">
        <f>Model!J84</f>
        <v>0</v>
      </c>
      <c r="K99" s="260">
        <f>Model!K84</f>
        <v>0</v>
      </c>
      <c r="L99" s="260">
        <f>Model!L84</f>
        <v>0</v>
      </c>
      <c r="M99" s="260">
        <f>Model!M84</f>
        <v>0</v>
      </c>
      <c r="N99" s="260">
        <f>Model!N84</f>
        <v>0</v>
      </c>
      <c r="O99" s="261">
        <f>Model!O84</f>
        <v>0</v>
      </c>
      <c r="P99" s="260">
        <f>Model!P84</f>
        <v>0</v>
      </c>
      <c r="Q99" s="260">
        <f>Model!Q84</f>
        <v>0</v>
      </c>
      <c r="R99" s="260">
        <f>Model!R84</f>
        <v>0</v>
      </c>
      <c r="S99" s="260">
        <f>Model!S84</f>
        <v>0</v>
      </c>
      <c r="T99" s="261">
        <f>Model!T84</f>
        <v>0</v>
      </c>
      <c r="U99" s="450">
        <v>0</v>
      </c>
      <c r="V99" s="450">
        <v>0</v>
      </c>
      <c r="W99" s="450">
        <v>0</v>
      </c>
      <c r="X99" s="450">
        <v>0</v>
      </c>
      <c r="Y99" s="261">
        <f>Model!Y84</f>
        <v>0</v>
      </c>
      <c r="Z99" s="450">
        <v>0</v>
      </c>
      <c r="AA99" s="450">
        <v>0</v>
      </c>
      <c r="AB99" s="450">
        <v>0</v>
      </c>
      <c r="AC99" s="450">
        <v>0</v>
      </c>
      <c r="AD99" s="261">
        <f>Model!AD84</f>
        <v>0</v>
      </c>
      <c r="AE99" s="451">
        <v>0</v>
      </c>
      <c r="AF99" s="451">
        <v>0</v>
      </c>
      <c r="AG99" s="451">
        <v>0</v>
      </c>
      <c r="AH99" s="9"/>
      <c r="AI99" s="9"/>
    </row>
    <row r="100" spans="1:35" ht="12.75" customHeight="1" x14ac:dyDescent="0.25">
      <c r="A100" s="9"/>
      <c r="B100" s="9"/>
      <c r="C100" s="9"/>
      <c r="D100" s="9"/>
      <c r="E100" s="9"/>
      <c r="F100" s="312"/>
      <c r="G100" s="312"/>
      <c r="H100" s="312"/>
      <c r="I100" s="312"/>
      <c r="J100" s="313"/>
      <c r="K100" s="312"/>
      <c r="L100" s="312"/>
      <c r="M100" s="312"/>
      <c r="N100" s="312"/>
      <c r="O100" s="313"/>
      <c r="P100" s="312"/>
      <c r="Q100" s="312"/>
      <c r="R100" s="312"/>
      <c r="S100" s="312"/>
      <c r="T100" s="313"/>
      <c r="U100" s="255"/>
      <c r="V100" s="255"/>
      <c r="W100" s="255"/>
      <c r="X100" s="255"/>
      <c r="Y100" s="313"/>
      <c r="Z100" s="255"/>
      <c r="AA100" s="255"/>
      <c r="AB100" s="255"/>
      <c r="AC100" s="255"/>
      <c r="AD100" s="313"/>
      <c r="AE100" s="256"/>
      <c r="AF100" s="256"/>
      <c r="AG100" s="256"/>
      <c r="AH100" s="9"/>
      <c r="AI100" s="9"/>
    </row>
    <row r="101" spans="1:35" ht="12.75" customHeight="1" x14ac:dyDescent="0.25">
      <c r="A101" s="9"/>
      <c r="B101" s="9"/>
      <c r="C101" s="445" t="s">
        <v>450</v>
      </c>
      <c r="D101" s="446"/>
      <c r="E101" s="446"/>
      <c r="F101" s="447"/>
      <c r="G101" s="448"/>
      <c r="H101" s="448"/>
      <c r="I101" s="448"/>
      <c r="J101" s="448"/>
      <c r="K101" s="448"/>
      <c r="L101" s="448"/>
      <c r="M101" s="448"/>
      <c r="N101" s="448"/>
      <c r="O101" s="448"/>
      <c r="P101" s="448"/>
      <c r="Q101" s="448"/>
      <c r="R101" s="448"/>
      <c r="S101" s="448"/>
      <c r="T101" s="448"/>
      <c r="U101" s="448"/>
      <c r="V101" s="448"/>
      <c r="W101" s="448"/>
      <c r="X101" s="448"/>
      <c r="Y101" s="448"/>
      <c r="Z101" s="448"/>
      <c r="AA101" s="448"/>
      <c r="AB101" s="448"/>
      <c r="AC101" s="448"/>
      <c r="AD101" s="448"/>
      <c r="AE101" s="448"/>
      <c r="AF101" s="448"/>
      <c r="AG101" s="449"/>
      <c r="AH101" s="9"/>
      <c r="AI101" s="9"/>
    </row>
    <row r="102" spans="1:35" ht="12.75" customHeight="1" x14ac:dyDescent="0.25">
      <c r="A102" s="9"/>
      <c r="B102" s="9"/>
      <c r="C102" s="9"/>
      <c r="D102" s="9"/>
      <c r="E102" s="9"/>
      <c r="F102" s="312"/>
      <c r="G102" s="312"/>
      <c r="H102" s="312"/>
      <c r="I102" s="312"/>
      <c r="J102" s="313"/>
      <c r="K102" s="312"/>
      <c r="L102" s="312"/>
      <c r="M102" s="312"/>
      <c r="N102" s="312"/>
      <c r="O102" s="313"/>
      <c r="P102" s="312"/>
      <c r="Q102" s="312"/>
      <c r="R102" s="312"/>
      <c r="S102" s="312"/>
      <c r="T102" s="313"/>
      <c r="U102" s="314"/>
      <c r="V102" s="314"/>
      <c r="W102" s="314"/>
      <c r="X102" s="314"/>
      <c r="Y102" s="313"/>
      <c r="Z102" s="314"/>
      <c r="AA102" s="314"/>
      <c r="AB102" s="314"/>
      <c r="AC102" s="314"/>
      <c r="AD102" s="313"/>
      <c r="AE102" s="132"/>
      <c r="AF102" s="132"/>
      <c r="AG102" s="132"/>
      <c r="AH102" s="9"/>
      <c r="AI102" s="9"/>
    </row>
    <row r="103" spans="1:35" ht="12.75" customHeight="1" x14ac:dyDescent="0.25">
      <c r="A103" s="9"/>
      <c r="B103" s="9"/>
      <c r="C103" s="9" t="str">
        <f>Model!C273</f>
        <v>Dividends YoY Growth Rate</v>
      </c>
      <c r="D103" s="9"/>
      <c r="E103" s="9"/>
      <c r="F103" s="312"/>
      <c r="G103" s="312"/>
      <c r="H103" s="312"/>
      <c r="I103" s="312"/>
      <c r="J103" s="313"/>
      <c r="K103" s="312">
        <f>Model!K273</f>
        <v>0.12284482758620685</v>
      </c>
      <c r="L103" s="312">
        <f>Model!L273</f>
        <v>0.12608695652173907</v>
      </c>
      <c r="M103" s="312">
        <f>Model!M273</f>
        <v>0.12362030905077259</v>
      </c>
      <c r="N103" s="312">
        <f>Model!N273</f>
        <v>0.12860310421286036</v>
      </c>
      <c r="O103" s="313"/>
      <c r="P103" s="312">
        <f>Model!P273</f>
        <v>0.13243761996161219</v>
      </c>
      <c r="Q103" s="312">
        <f>Model!Q273</f>
        <v>0.14092664092664098</v>
      </c>
      <c r="R103" s="312">
        <f>Model!R273</f>
        <v>0.14145383104125742</v>
      </c>
      <c r="S103" s="312">
        <f>Model!S273</f>
        <v>0.14341846758349708</v>
      </c>
      <c r="T103" s="313"/>
      <c r="U103" s="314">
        <f>IF(Case_Scenario="Bull",U104,IF(Case_Scenario="Base",U105,IF(Case_Scenario="bear",U106,"N/A")))</f>
        <v>0.12</v>
      </c>
      <c r="V103" s="314">
        <f>IF(Case_Scenario="Bull",V104,IF(Case_Scenario="Base",V105,IF(Case_Scenario="bear",V106,"N/A")))</f>
        <v>0.12</v>
      </c>
      <c r="W103" s="314">
        <f>IF(Case_Scenario="Bull",W104,IF(Case_Scenario="Base",W105,IF(Case_Scenario="bear",W106,"N/A")))</f>
        <v>0.13</v>
      </c>
      <c r="X103" s="314">
        <f>IF(Case_Scenario="Bull",X104,IF(Case_Scenario="Base",X105,IF(Case_Scenario="bear",X106,"N/A")))</f>
        <v>0.13</v>
      </c>
      <c r="Y103" s="313"/>
      <c r="Z103" s="314">
        <f>IF(Case_Scenario="Bull",Z104,IF(Case_Scenario="Base",Z105,IF(Case_Scenario="bear",Z106,"N/A")))</f>
        <v>0.13</v>
      </c>
      <c r="AA103" s="314">
        <f>IF(Case_Scenario="Bull",AA104,IF(Case_Scenario="Base",AA105,IF(Case_Scenario="bear",AA106,"N/A")))</f>
        <v>0.13</v>
      </c>
      <c r="AB103" s="314">
        <f>IF(Case_Scenario="Bull",AB104,IF(Case_Scenario="Base",AB105,IF(Case_Scenario="bear",AB106,"N/A")))</f>
        <v>0.13500000000000001</v>
      </c>
      <c r="AC103" s="314">
        <f>IF(Case_Scenario="Bull",AC104,IF(Case_Scenario="Base",AC105,IF(Case_Scenario="bear",AC106,"N/A")))</f>
        <v>0.13200000000000001</v>
      </c>
      <c r="AD103" s="313"/>
      <c r="AE103" s="313">
        <f>IF(Case_Scenario="Bull",AE104,IF(Case_Scenario="Base",AE105,IF(Case_Scenario="bear",AE106,"N/A")))</f>
        <v>0.13</v>
      </c>
      <c r="AF103" s="313">
        <f>IF(Case_Scenario="Bull",AF104,IF(Case_Scenario="Base",AF105,IF(Case_Scenario="bear",AF106,"N/A")))</f>
        <v>-3.2000000000000001E-2</v>
      </c>
      <c r="AG103" s="313">
        <f>IF(Case_Scenario="Bull",AG104,IF(Case_Scenario="Base",AG105,IF(Case_Scenario="bear",AG106,"N/A")))</f>
        <v>0.03</v>
      </c>
      <c r="AH103" s="9"/>
      <c r="AI103" s="9"/>
    </row>
    <row r="104" spans="1:35" ht="12.75" customHeight="1" x14ac:dyDescent="0.25">
      <c r="A104" s="9"/>
      <c r="B104" s="9"/>
      <c r="C104" s="103" t="s">
        <v>246</v>
      </c>
      <c r="D104" s="9"/>
      <c r="E104" s="9"/>
      <c r="F104" s="312"/>
      <c r="G104" s="312"/>
      <c r="H104" s="312"/>
      <c r="I104" s="312"/>
      <c r="J104" s="313"/>
      <c r="K104" s="312"/>
      <c r="L104" s="312"/>
      <c r="M104" s="312"/>
      <c r="N104" s="312"/>
      <c r="O104" s="313"/>
      <c r="P104" s="312"/>
      <c r="Q104" s="312"/>
      <c r="R104" s="312"/>
      <c r="S104" s="312"/>
      <c r="T104" s="313"/>
      <c r="U104" s="255">
        <f>+U105+1%</f>
        <v>0.13</v>
      </c>
      <c r="V104" s="255">
        <f>+V105+2%</f>
        <v>0.13999999999999999</v>
      </c>
      <c r="W104" s="255">
        <f t="shared" ref="W104:X104" si="66">+W105+2%</f>
        <v>0.15</v>
      </c>
      <c r="X104" s="255">
        <f t="shared" si="66"/>
        <v>0.15</v>
      </c>
      <c r="Y104" s="313"/>
      <c r="Z104" s="255">
        <f t="shared" ref="Z104:AC104" si="67">+Z105+2%</f>
        <v>0.15</v>
      </c>
      <c r="AA104" s="255">
        <f t="shared" si="67"/>
        <v>0.15</v>
      </c>
      <c r="AB104" s="255">
        <f t="shared" si="67"/>
        <v>0.155</v>
      </c>
      <c r="AC104" s="255">
        <f t="shared" si="67"/>
        <v>0.152</v>
      </c>
      <c r="AD104" s="313"/>
      <c r="AE104" s="256">
        <f t="shared" ref="AE104:AH104" si="68">+AE105+2%</f>
        <v>0.15</v>
      </c>
      <c r="AF104" s="256">
        <f>+AF105+5%</f>
        <v>1.8000000000000002E-2</v>
      </c>
      <c r="AG104" s="256">
        <f>+AG105+5%</f>
        <v>0.08</v>
      </c>
      <c r="AH104" s="9">
        <f t="shared" si="68"/>
        <v>0.02</v>
      </c>
      <c r="AI104" s="9"/>
    </row>
    <row r="105" spans="1:35" ht="12.75" customHeight="1" x14ac:dyDescent="0.25">
      <c r="A105" s="9"/>
      <c r="B105" s="9"/>
      <c r="C105" s="103" t="s">
        <v>247</v>
      </c>
      <c r="D105" s="9"/>
      <c r="E105" s="9"/>
      <c r="F105" s="312"/>
      <c r="G105" s="312"/>
      <c r="H105" s="312"/>
      <c r="I105" s="312"/>
      <c r="J105" s="313"/>
      <c r="K105" s="312"/>
      <c r="L105" s="312"/>
      <c r="M105" s="312"/>
      <c r="N105" s="312"/>
      <c r="O105" s="313"/>
      <c r="P105" s="312"/>
      <c r="Q105" s="312"/>
      <c r="R105" s="312"/>
      <c r="S105" s="312"/>
      <c r="T105" s="313"/>
      <c r="U105" s="255">
        <v>0.12</v>
      </c>
      <c r="V105" s="255">
        <v>0.12</v>
      </c>
      <c r="W105" s="255">
        <v>0.13</v>
      </c>
      <c r="X105" s="255">
        <v>0.13</v>
      </c>
      <c r="Y105" s="313"/>
      <c r="Z105" s="255">
        <v>0.13</v>
      </c>
      <c r="AA105" s="255">
        <v>0.13</v>
      </c>
      <c r="AB105" s="255">
        <v>0.13500000000000001</v>
      </c>
      <c r="AC105" s="255">
        <v>0.13200000000000001</v>
      </c>
      <c r="AD105" s="313"/>
      <c r="AE105" s="256">
        <v>0.13</v>
      </c>
      <c r="AF105" s="256">
        <v>-3.2000000000000001E-2</v>
      </c>
      <c r="AG105" s="256">
        <v>0.03</v>
      </c>
      <c r="AH105" s="9"/>
      <c r="AI105" s="9"/>
    </row>
    <row r="106" spans="1:35" ht="12.75" customHeight="1" x14ac:dyDescent="0.25">
      <c r="A106" s="9"/>
      <c r="B106" s="9"/>
      <c r="C106" s="103" t="s">
        <v>248</v>
      </c>
      <c r="D106" s="9"/>
      <c r="E106" s="9"/>
      <c r="F106" s="312"/>
      <c r="G106" s="312"/>
      <c r="H106" s="312"/>
      <c r="I106" s="312"/>
      <c r="J106" s="313"/>
      <c r="K106" s="312"/>
      <c r="L106" s="312"/>
      <c r="M106" s="312"/>
      <c r="N106" s="312"/>
      <c r="O106" s="313"/>
      <c r="P106" s="312"/>
      <c r="Q106" s="312"/>
      <c r="R106" s="312"/>
      <c r="S106" s="312"/>
      <c r="T106" s="313"/>
      <c r="U106" s="255">
        <f>+U105-1%</f>
        <v>0.11</v>
      </c>
      <c r="V106" s="255">
        <f t="shared" ref="V106:X106" si="69">+V105-1%</f>
        <v>0.11</v>
      </c>
      <c r="W106" s="255">
        <f t="shared" si="69"/>
        <v>0.12000000000000001</v>
      </c>
      <c r="X106" s="255">
        <f t="shared" si="69"/>
        <v>0.12000000000000001</v>
      </c>
      <c r="Y106" s="313"/>
      <c r="Z106" s="255">
        <f t="shared" ref="Z106:AC106" si="70">+Z105-1%</f>
        <v>0.12000000000000001</v>
      </c>
      <c r="AA106" s="255">
        <f t="shared" si="70"/>
        <v>0.12000000000000001</v>
      </c>
      <c r="AB106" s="255">
        <f t="shared" si="70"/>
        <v>0.125</v>
      </c>
      <c r="AC106" s="255">
        <f t="shared" si="70"/>
        <v>0.12200000000000001</v>
      </c>
      <c r="AD106" s="313"/>
      <c r="AE106" s="256">
        <f t="shared" ref="AE106:AG106" si="71">+AE105-1%</f>
        <v>0.12000000000000001</v>
      </c>
      <c r="AF106" s="256">
        <f t="shared" si="71"/>
        <v>-4.2000000000000003E-2</v>
      </c>
      <c r="AG106" s="256">
        <f t="shared" si="71"/>
        <v>1.9999999999999997E-2</v>
      </c>
      <c r="AH106" s="9"/>
      <c r="AI106" s="9"/>
    </row>
    <row r="107" spans="1:35" ht="12.75" customHeight="1" x14ac:dyDescent="0.25">
      <c r="A107" s="9"/>
      <c r="B107" s="9"/>
      <c r="C107" s="9"/>
      <c r="D107" s="9"/>
      <c r="E107" s="9"/>
      <c r="F107" s="312"/>
      <c r="G107" s="312"/>
      <c r="H107" s="312"/>
      <c r="I107" s="312"/>
      <c r="J107" s="313"/>
      <c r="K107" s="312"/>
      <c r="L107" s="312"/>
      <c r="M107" s="312"/>
      <c r="N107" s="312"/>
      <c r="O107" s="313"/>
      <c r="P107" s="312"/>
      <c r="Q107" s="312"/>
      <c r="R107" s="312"/>
      <c r="S107" s="312"/>
      <c r="T107" s="313"/>
      <c r="U107" s="255"/>
      <c r="V107" s="255"/>
      <c r="W107" s="255"/>
      <c r="X107" s="255"/>
      <c r="Y107" s="313"/>
      <c r="Z107" s="255"/>
      <c r="AA107" s="255"/>
      <c r="AB107" s="255"/>
      <c r="AC107" s="255"/>
      <c r="AD107" s="313"/>
      <c r="AE107" s="256"/>
      <c r="AF107" s="256"/>
      <c r="AG107" s="256"/>
      <c r="AH107" s="9"/>
      <c r="AI107" s="9"/>
    </row>
    <row r="108" spans="1:35" ht="12.75" customHeight="1" x14ac:dyDescent="0.25">
      <c r="A108" s="9"/>
      <c r="B108" s="9"/>
      <c r="C108" s="9" t="str">
        <f>Model!C95</f>
        <v>Change in Noncontrolling Interests</v>
      </c>
      <c r="D108" s="9"/>
      <c r="E108" s="9"/>
      <c r="F108" s="260">
        <f>Model!F95</f>
        <v>0</v>
      </c>
      <c r="G108" s="260">
        <f>Model!G95</f>
        <v>0</v>
      </c>
      <c r="H108" s="260">
        <f>Model!H95</f>
        <v>0</v>
      </c>
      <c r="I108" s="260">
        <f>Model!I95</f>
        <v>0</v>
      </c>
      <c r="J108" s="261">
        <f>Model!J95</f>
        <v>0</v>
      </c>
      <c r="K108" s="260">
        <f>Model!K95</f>
        <v>0</v>
      </c>
      <c r="L108" s="260">
        <f>Model!L95</f>
        <v>0</v>
      </c>
      <c r="M108" s="260">
        <f>Model!M95</f>
        <v>0</v>
      </c>
      <c r="N108" s="260">
        <f>Model!N95</f>
        <v>0</v>
      </c>
      <c r="O108" s="261">
        <f>Model!O95</f>
        <v>0</v>
      </c>
      <c r="P108" s="260">
        <f>Model!P95</f>
        <v>0</v>
      </c>
      <c r="Q108" s="260">
        <f>Model!Q95</f>
        <v>0</v>
      </c>
      <c r="R108" s="260">
        <f>Model!R95</f>
        <v>0</v>
      </c>
      <c r="S108" s="260">
        <f>Model!S95</f>
        <v>0</v>
      </c>
      <c r="T108" s="261">
        <f>Model!T95</f>
        <v>0</v>
      </c>
      <c r="U108" s="450">
        <v>0</v>
      </c>
      <c r="V108" s="450">
        <v>0</v>
      </c>
      <c r="W108" s="450">
        <v>0</v>
      </c>
      <c r="X108" s="450">
        <v>0</v>
      </c>
      <c r="Y108" s="261">
        <f>Model!Y95</f>
        <v>0</v>
      </c>
      <c r="Z108" s="450">
        <v>0</v>
      </c>
      <c r="AA108" s="450">
        <v>0</v>
      </c>
      <c r="AB108" s="450">
        <v>0</v>
      </c>
      <c r="AC108" s="450">
        <v>0</v>
      </c>
      <c r="AD108" s="261">
        <f>Model!AD95</f>
        <v>0</v>
      </c>
      <c r="AE108" s="451">
        <v>0</v>
      </c>
      <c r="AF108" s="451">
        <v>0</v>
      </c>
      <c r="AG108" s="451">
        <v>0</v>
      </c>
      <c r="AH108" s="9"/>
      <c r="AI108" s="9"/>
    </row>
    <row r="109" spans="1:35" ht="12.75" customHeight="1" x14ac:dyDescent="0.25">
      <c r="A109" s="205" t="s">
        <v>0</v>
      </c>
      <c r="B109" s="9"/>
      <c r="C109" s="9"/>
      <c r="D109" s="9"/>
      <c r="E109" s="9"/>
      <c r="F109" s="312"/>
      <c r="G109" s="312"/>
      <c r="H109" s="312"/>
      <c r="I109" s="312"/>
      <c r="J109" s="313"/>
      <c r="K109" s="312"/>
      <c r="L109" s="312"/>
      <c r="M109" s="312"/>
      <c r="N109" s="312"/>
      <c r="O109" s="313"/>
      <c r="P109" s="312"/>
      <c r="Q109" s="312"/>
      <c r="R109" s="312"/>
      <c r="S109" s="312"/>
      <c r="T109" s="313"/>
      <c r="U109" s="255"/>
      <c r="V109" s="255"/>
      <c r="W109" s="255"/>
      <c r="X109" s="255"/>
      <c r="Y109" s="313"/>
      <c r="Z109" s="255"/>
      <c r="AA109" s="255"/>
      <c r="AB109" s="255"/>
      <c r="AC109" s="255"/>
      <c r="AD109" s="313"/>
      <c r="AE109" s="256"/>
      <c r="AF109" s="256"/>
      <c r="AG109" s="256"/>
      <c r="AH109" s="205" t="s">
        <v>0</v>
      </c>
      <c r="AI109" s="205"/>
    </row>
    <row r="110" spans="1:35" ht="12.75" customHeight="1" x14ac:dyDescent="0.25">
      <c r="A110" s="9"/>
      <c r="B110" s="9"/>
      <c r="C110" s="9" t="str">
        <f>Model!C98</f>
        <v>Effect of FX Rate Changes on Cash</v>
      </c>
      <c r="D110" s="9"/>
      <c r="E110" s="9"/>
      <c r="F110" s="260">
        <f>Model!F98</f>
        <v>0</v>
      </c>
      <c r="G110" s="260">
        <f>Model!G98</f>
        <v>0</v>
      </c>
      <c r="H110" s="260">
        <f>Model!H98</f>
        <v>0</v>
      </c>
      <c r="I110" s="260">
        <f>Model!I98</f>
        <v>0</v>
      </c>
      <c r="J110" s="261">
        <f>Model!J98</f>
        <v>0</v>
      </c>
      <c r="K110" s="260">
        <f>Model!K98</f>
        <v>0</v>
      </c>
      <c r="L110" s="260">
        <f>Model!L98</f>
        <v>0</v>
      </c>
      <c r="M110" s="260">
        <f>Model!M98</f>
        <v>0</v>
      </c>
      <c r="N110" s="260">
        <f>Model!N98</f>
        <v>0</v>
      </c>
      <c r="O110" s="261">
        <f>Model!O98</f>
        <v>0</v>
      </c>
      <c r="P110" s="260">
        <f>Model!P98</f>
        <v>0</v>
      </c>
      <c r="Q110" s="260">
        <f>Model!Q98</f>
        <v>0</v>
      </c>
      <c r="R110" s="260">
        <f>Model!R98</f>
        <v>0</v>
      </c>
      <c r="S110" s="260">
        <f>Model!S98</f>
        <v>0</v>
      </c>
      <c r="T110" s="261">
        <f>Model!T98</f>
        <v>0</v>
      </c>
      <c r="U110" s="450">
        <v>0</v>
      </c>
      <c r="V110" s="450">
        <v>0</v>
      </c>
      <c r="W110" s="450">
        <v>0</v>
      </c>
      <c r="X110" s="450">
        <v>0</v>
      </c>
      <c r="Y110" s="261">
        <f>Model!Y98</f>
        <v>0</v>
      </c>
      <c r="Z110" s="450">
        <v>0</v>
      </c>
      <c r="AA110" s="450">
        <v>0</v>
      </c>
      <c r="AB110" s="450">
        <v>0</v>
      </c>
      <c r="AC110" s="450">
        <v>0</v>
      </c>
      <c r="AD110" s="261">
        <f>Model!AD98</f>
        <v>0</v>
      </c>
      <c r="AE110" s="451">
        <v>0</v>
      </c>
      <c r="AF110" s="451">
        <v>0</v>
      </c>
      <c r="AG110" s="451">
        <v>0</v>
      </c>
      <c r="AH110" s="9"/>
      <c r="AI110" s="9"/>
    </row>
    <row r="111" spans="1:35" ht="12.75" customHeight="1" x14ac:dyDescent="0.25">
      <c r="A111" s="9"/>
      <c r="B111" s="9"/>
      <c r="C111" s="9"/>
      <c r="D111" s="9"/>
      <c r="E111" s="9"/>
      <c r="F111" s="312"/>
      <c r="G111" s="312"/>
      <c r="H111" s="312"/>
      <c r="I111" s="312"/>
      <c r="J111" s="313"/>
      <c r="K111" s="312"/>
      <c r="L111" s="312"/>
      <c r="M111" s="312"/>
      <c r="N111" s="312"/>
      <c r="O111" s="313"/>
      <c r="P111" s="312"/>
      <c r="Q111" s="312"/>
      <c r="R111" s="312"/>
      <c r="S111" s="312"/>
      <c r="T111" s="313"/>
      <c r="U111" s="255"/>
      <c r="V111" s="255"/>
      <c r="W111" s="255"/>
      <c r="X111" s="255"/>
      <c r="Y111" s="313"/>
      <c r="Z111" s="255"/>
      <c r="AA111" s="255"/>
      <c r="AB111" s="255"/>
      <c r="AC111" s="255"/>
      <c r="AD111" s="313"/>
      <c r="AE111" s="256"/>
      <c r="AF111" s="256"/>
      <c r="AG111" s="256"/>
      <c r="AH111" s="9"/>
      <c r="AI111" s="9"/>
    </row>
    <row r="112" spans="1:35" ht="12.75" customHeight="1" x14ac:dyDescent="0.25">
      <c r="A112" s="9"/>
      <c r="B112" s="9"/>
      <c r="C112" s="285" t="s">
        <v>451</v>
      </c>
      <c r="D112" s="308"/>
      <c r="E112" s="308"/>
      <c r="F112" s="286" t="str">
        <f>Model!F$25</f>
        <v>1Q23</v>
      </c>
      <c r="G112" s="141" t="str">
        <f>Model!G$25</f>
        <v>2Q23</v>
      </c>
      <c r="H112" s="141" t="str">
        <f>Model!H$25</f>
        <v>3Q23</v>
      </c>
      <c r="I112" s="141" t="str">
        <f>Model!I$25</f>
        <v>4Q23</v>
      </c>
      <c r="J112" s="141">
        <f>Model!J$25</f>
        <v>2023</v>
      </c>
      <c r="K112" s="141" t="str">
        <f>Model!K$25</f>
        <v>1Q24</v>
      </c>
      <c r="L112" s="141" t="str">
        <f>Model!L$25</f>
        <v>2Q24</v>
      </c>
      <c r="M112" s="141" t="str">
        <f>Model!M$25</f>
        <v>3Q24</v>
      </c>
      <c r="N112" s="141" t="str">
        <f>Model!N$25</f>
        <v>4Q24</v>
      </c>
      <c r="O112" s="141">
        <f>Model!O$25</f>
        <v>2024</v>
      </c>
      <c r="P112" s="141" t="str">
        <f>Model!P$25</f>
        <v>1Q25</v>
      </c>
      <c r="Q112" s="141" t="str">
        <f>Model!Q$25</f>
        <v>2Q25</v>
      </c>
      <c r="R112" s="141" t="str">
        <f>Model!R$25</f>
        <v>3Q25</v>
      </c>
      <c r="S112" s="141" t="str">
        <f>Model!S$25</f>
        <v>4Q25</v>
      </c>
      <c r="T112" s="141">
        <f>Model!T$25</f>
        <v>2025</v>
      </c>
      <c r="U112" s="141" t="str">
        <f>Model!U$25</f>
        <v>1Q26</v>
      </c>
      <c r="V112" s="141" t="str">
        <f>Model!V$25</f>
        <v>2Q26e</v>
      </c>
      <c r="W112" s="141" t="str">
        <f>Model!W$25</f>
        <v>3Q26e</v>
      </c>
      <c r="X112" s="141" t="str">
        <f>Model!X$25</f>
        <v>4Q26e</v>
      </c>
      <c r="Y112" s="141" t="str">
        <f>Model!Y$25</f>
        <v>2026e</v>
      </c>
      <c r="Z112" s="141" t="str">
        <f>Model!Z$25</f>
        <v>1Q27e</v>
      </c>
      <c r="AA112" s="141" t="str">
        <f>Model!AA$25</f>
        <v>2Q27e</v>
      </c>
      <c r="AB112" s="141" t="str">
        <f>Model!AB$25</f>
        <v>3Q27e</v>
      </c>
      <c r="AC112" s="141" t="str">
        <f>Model!AC$25</f>
        <v>4Q27e</v>
      </c>
      <c r="AD112" s="141" t="str">
        <f>Model!AD$25</f>
        <v>2027e</v>
      </c>
      <c r="AE112" s="141" t="str">
        <f>Model!AE$25</f>
        <v>2028e</v>
      </c>
      <c r="AF112" s="141" t="str">
        <f>Model!AF$25</f>
        <v>2029e</v>
      </c>
      <c r="AG112" s="287" t="str">
        <f>Model!AG$25</f>
        <v>2030e</v>
      </c>
      <c r="AH112" s="9"/>
      <c r="AI112" s="9"/>
    </row>
    <row r="113" spans="1:35" ht="12.75" customHeight="1" x14ac:dyDescent="0.25">
      <c r="A113" s="9"/>
      <c r="B113" s="9"/>
      <c r="C113" s="440" t="s">
        <v>452</v>
      </c>
      <c r="D113" s="441"/>
      <c r="E113" s="441"/>
      <c r="F113" s="452"/>
      <c r="G113" s="453"/>
      <c r="H113" s="453"/>
      <c r="I113" s="453"/>
      <c r="J113" s="453"/>
      <c r="K113" s="453"/>
      <c r="L113" s="453"/>
      <c r="M113" s="453"/>
      <c r="N113" s="453"/>
      <c r="O113" s="453"/>
      <c r="P113" s="453"/>
      <c r="Q113" s="453"/>
      <c r="R113" s="453"/>
      <c r="S113" s="453"/>
      <c r="T113" s="453"/>
      <c r="U113" s="453"/>
      <c r="V113" s="453"/>
      <c r="W113" s="453"/>
      <c r="X113" s="453"/>
      <c r="Y113" s="453"/>
      <c r="Z113" s="453"/>
      <c r="AA113" s="453"/>
      <c r="AB113" s="453"/>
      <c r="AC113" s="453"/>
      <c r="AD113" s="453"/>
      <c r="AE113" s="453"/>
      <c r="AF113" s="453"/>
      <c r="AG113" s="454"/>
      <c r="AH113" s="9"/>
      <c r="AI113" s="9"/>
    </row>
    <row r="114" spans="1:35" ht="12.75" customHeight="1" x14ac:dyDescent="0.25">
      <c r="A114" s="9"/>
      <c r="B114" s="9"/>
      <c r="C114" s="9"/>
      <c r="D114" s="9"/>
      <c r="E114" s="9"/>
      <c r="F114" s="312"/>
      <c r="G114" s="312"/>
      <c r="H114" s="312"/>
      <c r="I114" s="312"/>
      <c r="J114" s="313"/>
      <c r="K114" s="312"/>
      <c r="L114" s="312"/>
      <c r="M114" s="312"/>
      <c r="N114" s="312"/>
      <c r="O114" s="313"/>
      <c r="P114" s="312"/>
      <c r="Q114" s="312"/>
      <c r="R114" s="312"/>
      <c r="S114" s="312"/>
      <c r="T114" s="313"/>
      <c r="U114" s="314"/>
      <c r="V114" s="314"/>
      <c r="W114" s="314"/>
      <c r="X114" s="314"/>
      <c r="Y114" s="313"/>
      <c r="Z114" s="314"/>
      <c r="AA114" s="314"/>
      <c r="AB114" s="314"/>
      <c r="AC114" s="314"/>
      <c r="AD114" s="313"/>
      <c r="AE114" s="132"/>
      <c r="AF114" s="132"/>
      <c r="AG114" s="132"/>
      <c r="AH114" s="9"/>
      <c r="AI114" s="9"/>
    </row>
    <row r="115" spans="1:35" ht="12.75" customHeight="1" x14ac:dyDescent="0.25">
      <c r="A115" s="9"/>
      <c r="B115" s="9"/>
      <c r="C115" s="9" t="str">
        <f>Model!C182</f>
        <v>Days Sales Outstanding</v>
      </c>
      <c r="D115" s="9"/>
      <c r="E115" s="9"/>
      <c r="F115" s="312"/>
      <c r="G115" s="260">
        <f>Model!G182</f>
        <v>313.64093518297057</v>
      </c>
      <c r="H115" s="260">
        <f>Model!H182</f>
        <v>312.3844228418418</v>
      </c>
      <c r="I115" s="260">
        <f>Model!I182</f>
        <v>308.15619541330932</v>
      </c>
      <c r="J115" s="261">
        <f>Model!J182</f>
        <v>318.07129921026069</v>
      </c>
      <c r="K115" s="260">
        <f>Model!K182</f>
        <v>302.9002639411467</v>
      </c>
      <c r="L115" s="260">
        <f>Model!L182</f>
        <v>294.58387237049521</v>
      </c>
      <c r="M115" s="260">
        <f>Model!M182</f>
        <v>289.95505617977528</v>
      </c>
      <c r="N115" s="260">
        <f>Model!N182</f>
        <v>282.74513476948692</v>
      </c>
      <c r="O115" s="261">
        <f>Model!O182</f>
        <v>293.85793318149354</v>
      </c>
      <c r="P115" s="260">
        <f>Model!P182</f>
        <v>279.50007922674695</v>
      </c>
      <c r="Q115" s="260">
        <f>Model!Q182</f>
        <v>268.80449505844581</v>
      </c>
      <c r="R115" s="260">
        <f>Model!R182</f>
        <v>269.03186262586951</v>
      </c>
      <c r="S115" s="260">
        <f>Model!S182</f>
        <v>268.20361216730038</v>
      </c>
      <c r="T115" s="261">
        <f>Model!T182</f>
        <v>274.64931086337822</v>
      </c>
      <c r="U115" s="262">
        <f>IF(Case_Scenario="Bull",U116,IF(Case_Scenario="Base",U117,IF(Case_Scenario="bear",U118,"N/A")))</f>
        <v>274</v>
      </c>
      <c r="V115" s="262">
        <f>IF(Case_Scenario="Bull",V116,IF(Case_Scenario="Base",V117,IF(Case_Scenario="bear",V118,"N/A")))</f>
        <v>273</v>
      </c>
      <c r="W115" s="262">
        <f>IF(Case_Scenario="Bull",W116,IF(Case_Scenario="Base",W117,IF(Case_Scenario="bear",W118,"N/A")))</f>
        <v>272</v>
      </c>
      <c r="X115" s="262">
        <f>IF(Case_Scenario="Bull",X116,IF(Case_Scenario="Base",X117,IF(Case_Scenario="bear",X118,"N/A")))</f>
        <v>272</v>
      </c>
      <c r="Y115" s="261">
        <f>Model!Y182</f>
        <v>269.88107923045789</v>
      </c>
      <c r="Z115" s="262">
        <f>IF(Case_Scenario="Bull",Z116,IF(Case_Scenario="Base",Z117,IF(Case_Scenario="bear",Z118,"N/A")))</f>
        <v>272</v>
      </c>
      <c r="AA115" s="262">
        <f>IF(Case_Scenario="Bull",AA116,IF(Case_Scenario="Base",AA117,IF(Case_Scenario="bear",AA118,"N/A")))</f>
        <v>271.5</v>
      </c>
      <c r="AB115" s="262">
        <f>IF(Case_Scenario="Bull",AB116,IF(Case_Scenario="Base",AB117,IF(Case_Scenario="bear",AB118,"N/A")))</f>
        <v>271.5</v>
      </c>
      <c r="AC115" s="262">
        <f>IF(Case_Scenario="Bull",AC116,IF(Case_Scenario="Base",AC117,IF(Case_Scenario="bear",AC118,"N/A")))</f>
        <v>271</v>
      </c>
      <c r="AD115" s="261">
        <f>Model!AD182</f>
        <v>270.04552911685471</v>
      </c>
      <c r="AE115" s="261">
        <f>IF(Case_Scenario="Bull",AE116,IF(Case_Scenario="Base",AE117,IF(Case_Scenario="bear",AE118,"N/A")))</f>
        <v>271</v>
      </c>
      <c r="AF115" s="261">
        <f>IF(Case_Scenario="Bull",AF116,IF(Case_Scenario="Base",AF117,IF(Case_Scenario="bear",AF118,"N/A")))</f>
        <v>271</v>
      </c>
      <c r="AG115" s="261">
        <f>IF(Case_Scenario="Bull",AG116,IF(Case_Scenario="Base",AG117,IF(Case_Scenario="bear",AG118,"N/A")))</f>
        <v>270</v>
      </c>
      <c r="AH115" s="9"/>
      <c r="AI115" s="9"/>
    </row>
    <row r="116" spans="1:35" ht="12.75" customHeight="1" x14ac:dyDescent="0.25">
      <c r="A116" s="9"/>
      <c r="B116" s="9"/>
      <c r="C116" s="103" t="s">
        <v>246</v>
      </c>
      <c r="D116" s="9"/>
      <c r="E116" s="9"/>
      <c r="F116" s="312"/>
      <c r="G116" s="312"/>
      <c r="H116" s="312"/>
      <c r="I116" s="312"/>
      <c r="J116" s="313"/>
      <c r="K116" s="312"/>
      <c r="L116" s="312"/>
      <c r="M116" s="312"/>
      <c r="N116" s="312"/>
      <c r="O116" s="313"/>
      <c r="P116" s="312"/>
      <c r="Q116" s="312"/>
      <c r="R116" s="312"/>
      <c r="S116" s="312"/>
      <c r="T116" s="313"/>
      <c r="U116" s="456">
        <f>+U117-20</f>
        <v>254</v>
      </c>
      <c r="V116" s="456">
        <f t="shared" ref="V116:X116" si="72">+V117-20</f>
        <v>253</v>
      </c>
      <c r="W116" s="456">
        <f t="shared" si="72"/>
        <v>252</v>
      </c>
      <c r="X116" s="456">
        <f t="shared" si="72"/>
        <v>252</v>
      </c>
      <c r="Y116" s="313"/>
      <c r="Z116" s="456">
        <f t="shared" ref="Z116:AC116" si="73">+Z117-20</f>
        <v>252</v>
      </c>
      <c r="AA116" s="456">
        <f t="shared" si="73"/>
        <v>251.5</v>
      </c>
      <c r="AB116" s="456">
        <f t="shared" si="73"/>
        <v>251.5</v>
      </c>
      <c r="AC116" s="456">
        <f t="shared" si="73"/>
        <v>251</v>
      </c>
      <c r="AD116" s="313"/>
      <c r="AE116" s="457">
        <f t="shared" ref="AE116" si="74">+AE117-20</f>
        <v>251</v>
      </c>
      <c r="AF116" s="457">
        <f t="shared" ref="AF116" si="75">+AF117-20</f>
        <v>251</v>
      </c>
      <c r="AG116" s="457">
        <f t="shared" ref="AG116" si="76">+AG117-20</f>
        <v>250</v>
      </c>
      <c r="AH116" s="9">
        <f t="shared" ref="AH116" si="77">+AH117-50</f>
        <v>221.38501226959067</v>
      </c>
      <c r="AI116" s="9"/>
    </row>
    <row r="117" spans="1:35" ht="12.75" customHeight="1" x14ac:dyDescent="0.25">
      <c r="A117" s="9"/>
      <c r="B117" s="9"/>
      <c r="C117" s="103" t="s">
        <v>247</v>
      </c>
      <c r="D117" s="9"/>
      <c r="E117" s="9"/>
      <c r="F117" s="312"/>
      <c r="G117" s="312"/>
      <c r="H117" s="312"/>
      <c r="I117" s="312"/>
      <c r="J117" s="313"/>
      <c r="K117" s="312"/>
      <c r="L117" s="312"/>
      <c r="M117" s="312"/>
      <c r="N117" s="312"/>
      <c r="O117" s="313"/>
      <c r="P117" s="312"/>
      <c r="Q117" s="312"/>
      <c r="R117" s="312"/>
      <c r="S117" s="312"/>
      <c r="T117" s="313"/>
      <c r="U117" s="456">
        <v>274</v>
      </c>
      <c r="V117" s="456">
        <v>273</v>
      </c>
      <c r="W117" s="456">
        <v>272</v>
      </c>
      <c r="X117" s="456">
        <v>272</v>
      </c>
      <c r="Y117" s="313"/>
      <c r="Z117" s="456">
        <v>272</v>
      </c>
      <c r="AA117" s="456">
        <v>271.5</v>
      </c>
      <c r="AB117" s="456">
        <v>271.5</v>
      </c>
      <c r="AC117" s="456">
        <v>271</v>
      </c>
      <c r="AD117" s="313"/>
      <c r="AE117" s="457">
        <v>271</v>
      </c>
      <c r="AF117" s="457">
        <v>271</v>
      </c>
      <c r="AG117" s="457">
        <v>270</v>
      </c>
      <c r="AH117" s="9">
        <f t="shared" ref="AH117" si="78">+AVERAGE($P$115:$S$115)</f>
        <v>271.38501226959067</v>
      </c>
      <c r="AI117" s="9"/>
    </row>
    <row r="118" spans="1:35" ht="12.75" customHeight="1" x14ac:dyDescent="0.25">
      <c r="A118" s="9"/>
      <c r="B118" s="9"/>
      <c r="C118" s="103" t="s">
        <v>248</v>
      </c>
      <c r="D118" s="9"/>
      <c r="E118" s="9"/>
      <c r="F118" s="312"/>
      <c r="G118" s="312"/>
      <c r="H118" s="312"/>
      <c r="I118" s="312"/>
      <c r="J118" s="313"/>
      <c r="K118" s="312"/>
      <c r="L118" s="312"/>
      <c r="M118" s="312"/>
      <c r="N118" s="312"/>
      <c r="O118" s="313"/>
      <c r="P118" s="312"/>
      <c r="Q118" s="312"/>
      <c r="R118" s="312"/>
      <c r="S118" s="312"/>
      <c r="T118" s="313"/>
      <c r="U118" s="456">
        <f>+U117+10</f>
        <v>284</v>
      </c>
      <c r="V118" s="456">
        <f t="shared" ref="V118:X118" si="79">+V117+10</f>
        <v>283</v>
      </c>
      <c r="W118" s="456">
        <f t="shared" si="79"/>
        <v>282</v>
      </c>
      <c r="X118" s="456">
        <f t="shared" si="79"/>
        <v>282</v>
      </c>
      <c r="Y118" s="313"/>
      <c r="Z118" s="456">
        <f t="shared" ref="Z118:AC118" si="80">+Z117+10</f>
        <v>282</v>
      </c>
      <c r="AA118" s="456">
        <f t="shared" si="80"/>
        <v>281.5</v>
      </c>
      <c r="AB118" s="456">
        <f t="shared" si="80"/>
        <v>281.5</v>
      </c>
      <c r="AC118" s="456">
        <f t="shared" si="80"/>
        <v>281</v>
      </c>
      <c r="AD118" s="313"/>
      <c r="AE118" s="457">
        <f t="shared" ref="AE118:AG118" si="81">+AE117+10</f>
        <v>281</v>
      </c>
      <c r="AF118" s="457">
        <f t="shared" si="81"/>
        <v>281</v>
      </c>
      <c r="AG118" s="457">
        <f t="shared" si="81"/>
        <v>280</v>
      </c>
      <c r="AH118" s="9">
        <f t="shared" ref="AH118" si="82">+AH117+50</f>
        <v>321.38501226959067</v>
      </c>
      <c r="AI118" s="9"/>
    </row>
    <row r="119" spans="1:35" ht="12.75" hidden="1" customHeight="1" outlineLevel="1" x14ac:dyDescent="0.25">
      <c r="A119" s="9"/>
      <c r="B119" s="9"/>
      <c r="C119" s="9"/>
      <c r="D119" s="9"/>
      <c r="E119" s="9"/>
      <c r="F119" s="312"/>
      <c r="G119" s="312"/>
      <c r="H119" s="312"/>
      <c r="I119" s="312"/>
      <c r="J119" s="313"/>
      <c r="K119" s="312"/>
      <c r="L119" s="312"/>
      <c r="M119" s="312"/>
      <c r="N119" s="312"/>
      <c r="O119" s="313"/>
      <c r="P119" s="312"/>
      <c r="Q119" s="312"/>
      <c r="R119" s="312"/>
      <c r="S119" s="312"/>
      <c r="T119" s="313"/>
      <c r="U119" s="255"/>
      <c r="V119" s="255"/>
      <c r="W119" s="255"/>
      <c r="X119" s="255"/>
      <c r="Y119" s="313"/>
      <c r="Z119" s="255"/>
      <c r="AA119" s="255"/>
      <c r="AB119" s="255"/>
      <c r="AC119" s="255"/>
      <c r="AD119" s="313"/>
      <c r="AE119" s="256"/>
      <c r="AF119" s="256"/>
      <c r="AG119" s="256"/>
      <c r="AH119" s="9"/>
      <c r="AI119" s="9"/>
    </row>
    <row r="120" spans="1:35" ht="12.75" hidden="1" customHeight="1" outlineLevel="1" x14ac:dyDescent="0.25">
      <c r="A120" s="9"/>
      <c r="B120" s="9"/>
      <c r="C120" s="9" t="str">
        <f>Model!C183</f>
        <v>Days Inventory Outstanding</v>
      </c>
      <c r="D120" s="9"/>
      <c r="E120" s="9"/>
      <c r="F120" s="312"/>
      <c r="G120" s="260">
        <f>Model!G183</f>
        <v>0</v>
      </c>
      <c r="H120" s="260">
        <f>Model!H183</f>
        <v>0</v>
      </c>
      <c r="I120" s="260">
        <f>Model!I183</f>
        <v>0</v>
      </c>
      <c r="J120" s="261">
        <f>Model!J183</f>
        <v>0</v>
      </c>
      <c r="K120" s="260">
        <f>Model!K183</f>
        <v>0</v>
      </c>
      <c r="L120" s="260">
        <f>Model!L183</f>
        <v>0</v>
      </c>
      <c r="M120" s="260">
        <f>Model!M183</f>
        <v>0</v>
      </c>
      <c r="N120" s="260">
        <f>Model!N183</f>
        <v>0</v>
      </c>
      <c r="O120" s="261">
        <f>Model!O183</f>
        <v>0</v>
      </c>
      <c r="P120" s="260">
        <f>Model!P183</f>
        <v>0</v>
      </c>
      <c r="Q120" s="260">
        <f>Model!Q183</f>
        <v>0</v>
      </c>
      <c r="R120" s="260">
        <f>Model!R183</f>
        <v>0</v>
      </c>
      <c r="S120" s="260">
        <f>Model!S183</f>
        <v>0</v>
      </c>
      <c r="T120" s="261">
        <f>Model!T183</f>
        <v>0</v>
      </c>
      <c r="U120" s="262">
        <f>IF(Case_Scenario="Bull",U121,IF(Case_Scenario="Base",U122,IF(Case_Scenario="bear",U123,"N/A")))</f>
        <v>0</v>
      </c>
      <c r="V120" s="262">
        <f>IF(Case_Scenario="Bull",V121,IF(Case_Scenario="Base",V122,IF(Case_Scenario="bear",V123,"N/A")))</f>
        <v>0</v>
      </c>
      <c r="W120" s="262">
        <f>IF(Case_Scenario="Bull",W121,IF(Case_Scenario="Base",W122,IF(Case_Scenario="bear",W123,"N/A")))</f>
        <v>0</v>
      </c>
      <c r="X120" s="262">
        <f>IF(Case_Scenario="Bull",X121,IF(Case_Scenario="Base",X122,IF(Case_Scenario="bear",X123,"N/A")))</f>
        <v>0</v>
      </c>
      <c r="Y120" s="261">
        <f>Model!Y183</f>
        <v>0</v>
      </c>
      <c r="Z120" s="262">
        <f>IF(Case_Scenario="Bull",Z121,IF(Case_Scenario="Base",Z122,IF(Case_Scenario="bear",Z123,"N/A")))</f>
        <v>0</v>
      </c>
      <c r="AA120" s="262">
        <f>IF(Case_Scenario="Bull",AA121,IF(Case_Scenario="Base",AA122,IF(Case_Scenario="bear",AA123,"N/A")))</f>
        <v>0</v>
      </c>
      <c r="AB120" s="262">
        <f>IF(Case_Scenario="Bull",AB121,IF(Case_Scenario="Base",AB122,IF(Case_Scenario="bear",AB123,"N/A")))</f>
        <v>0</v>
      </c>
      <c r="AC120" s="262">
        <f>IF(Case_Scenario="Bull",AC121,IF(Case_Scenario="Base",AC122,IF(Case_Scenario="bear",AC123,"N/A")))</f>
        <v>0</v>
      </c>
      <c r="AD120" s="261">
        <f>Model!AD183</f>
        <v>0</v>
      </c>
      <c r="AE120" s="261">
        <f>IF(Case_Scenario="Bull",AE121,IF(Case_Scenario="Base",AE122,IF(Case_Scenario="bear",AE123,"N/A")))</f>
        <v>0</v>
      </c>
      <c r="AF120" s="261">
        <f>IF(Case_Scenario="Bull",AF121,IF(Case_Scenario="Base",AF122,IF(Case_Scenario="bear",AF123,"N/A")))</f>
        <v>0</v>
      </c>
      <c r="AG120" s="261">
        <f>IF(Case_Scenario="Bull",AG121,IF(Case_Scenario="Base",AG122,IF(Case_Scenario="bear",AG123,"N/A")))</f>
        <v>0</v>
      </c>
      <c r="AH120" s="9"/>
      <c r="AI120" s="9"/>
    </row>
    <row r="121" spans="1:35" ht="12.75" hidden="1" customHeight="1" outlineLevel="1" x14ac:dyDescent="0.25">
      <c r="A121" s="9"/>
      <c r="B121" s="9"/>
      <c r="C121" s="103" t="s">
        <v>246</v>
      </c>
      <c r="D121" s="9"/>
      <c r="E121" s="9"/>
      <c r="F121" s="312"/>
      <c r="G121" s="312"/>
      <c r="H121" s="312"/>
      <c r="I121" s="312"/>
      <c r="J121" s="313"/>
      <c r="K121" s="312"/>
      <c r="L121" s="312"/>
      <c r="M121" s="312"/>
      <c r="N121" s="312"/>
      <c r="O121" s="313"/>
      <c r="P121" s="312"/>
      <c r="Q121" s="312"/>
      <c r="R121" s="312"/>
      <c r="S121" s="312"/>
      <c r="T121" s="313"/>
      <c r="U121" s="456">
        <v>0</v>
      </c>
      <c r="V121" s="456">
        <v>0</v>
      </c>
      <c r="W121" s="456">
        <v>0</v>
      </c>
      <c r="X121" s="456">
        <v>0</v>
      </c>
      <c r="Y121" s="313"/>
      <c r="Z121" s="456">
        <v>0</v>
      </c>
      <c r="AA121" s="456">
        <v>0</v>
      </c>
      <c r="AB121" s="456">
        <v>0</v>
      </c>
      <c r="AC121" s="456">
        <v>0</v>
      </c>
      <c r="AD121" s="313"/>
      <c r="AE121" s="457">
        <v>0</v>
      </c>
      <c r="AF121" s="457">
        <v>0</v>
      </c>
      <c r="AG121" s="457">
        <v>0</v>
      </c>
      <c r="AH121" s="9"/>
      <c r="AI121" s="9"/>
    </row>
    <row r="122" spans="1:35" ht="12.75" hidden="1" customHeight="1" outlineLevel="1" x14ac:dyDescent="0.25">
      <c r="A122" s="9"/>
      <c r="B122" s="9"/>
      <c r="C122" s="103" t="s">
        <v>247</v>
      </c>
      <c r="D122" s="9"/>
      <c r="E122" s="9"/>
      <c r="F122" s="312"/>
      <c r="G122" s="312"/>
      <c r="H122" s="312"/>
      <c r="I122" s="312"/>
      <c r="J122" s="313"/>
      <c r="K122" s="312"/>
      <c r="L122" s="312"/>
      <c r="M122" s="312"/>
      <c r="N122" s="312"/>
      <c r="O122" s="313"/>
      <c r="P122" s="312"/>
      <c r="Q122" s="312"/>
      <c r="R122" s="312"/>
      <c r="S122" s="312"/>
      <c r="T122" s="313"/>
      <c r="U122" s="456">
        <v>0</v>
      </c>
      <c r="V122" s="456">
        <v>0</v>
      </c>
      <c r="W122" s="456">
        <v>0</v>
      </c>
      <c r="X122" s="456">
        <v>0</v>
      </c>
      <c r="Y122" s="313"/>
      <c r="Z122" s="456">
        <v>0</v>
      </c>
      <c r="AA122" s="456">
        <v>0</v>
      </c>
      <c r="AB122" s="456">
        <v>0</v>
      </c>
      <c r="AC122" s="456">
        <v>0</v>
      </c>
      <c r="AD122" s="313"/>
      <c r="AE122" s="457">
        <v>0</v>
      </c>
      <c r="AF122" s="457">
        <v>0</v>
      </c>
      <c r="AG122" s="457">
        <v>0</v>
      </c>
      <c r="AH122" s="9"/>
      <c r="AI122" s="9"/>
    </row>
    <row r="123" spans="1:35" ht="12.75" hidden="1" customHeight="1" outlineLevel="1" x14ac:dyDescent="0.25">
      <c r="A123" s="9"/>
      <c r="B123" s="9"/>
      <c r="C123" s="103" t="s">
        <v>248</v>
      </c>
      <c r="D123" s="9"/>
      <c r="E123" s="9"/>
      <c r="F123" s="312"/>
      <c r="G123" s="312"/>
      <c r="H123" s="312"/>
      <c r="I123" s="312"/>
      <c r="J123" s="313"/>
      <c r="K123" s="312"/>
      <c r="L123" s="312"/>
      <c r="M123" s="312"/>
      <c r="N123" s="312"/>
      <c r="O123" s="313"/>
      <c r="P123" s="312"/>
      <c r="Q123" s="312"/>
      <c r="R123" s="312"/>
      <c r="S123" s="312"/>
      <c r="T123" s="313"/>
      <c r="U123" s="456">
        <v>0</v>
      </c>
      <c r="V123" s="456">
        <v>0</v>
      </c>
      <c r="W123" s="456">
        <v>0</v>
      </c>
      <c r="X123" s="456">
        <v>0</v>
      </c>
      <c r="Y123" s="313"/>
      <c r="Z123" s="456">
        <v>0</v>
      </c>
      <c r="AA123" s="456">
        <v>0</v>
      </c>
      <c r="AB123" s="456">
        <v>0</v>
      </c>
      <c r="AC123" s="456">
        <v>0</v>
      </c>
      <c r="AD123" s="313"/>
      <c r="AE123" s="457">
        <v>0</v>
      </c>
      <c r="AF123" s="457">
        <v>0</v>
      </c>
      <c r="AG123" s="457">
        <v>0</v>
      </c>
      <c r="AH123" s="9"/>
      <c r="AI123" s="9"/>
    </row>
    <row r="124" spans="1:35" ht="12.75" hidden="1" customHeight="1" outlineLevel="1" collapsed="1" x14ac:dyDescent="0.25">
      <c r="A124" s="9"/>
      <c r="B124" s="9"/>
      <c r="C124" s="9"/>
      <c r="D124" s="9"/>
      <c r="E124" s="9"/>
      <c r="F124" s="312"/>
      <c r="G124" s="312"/>
      <c r="H124" s="312"/>
      <c r="I124" s="312"/>
      <c r="J124" s="313"/>
      <c r="K124" s="312"/>
      <c r="L124" s="312"/>
      <c r="M124" s="312"/>
      <c r="N124" s="312"/>
      <c r="O124" s="313"/>
      <c r="P124" s="312"/>
      <c r="Q124" s="312"/>
      <c r="R124" s="312"/>
      <c r="S124" s="312"/>
      <c r="T124" s="313"/>
      <c r="U124" s="255"/>
      <c r="V124" s="255"/>
      <c r="W124" s="255"/>
      <c r="X124" s="255"/>
      <c r="Y124" s="313"/>
      <c r="Z124" s="255"/>
      <c r="AA124" s="255"/>
      <c r="AB124" s="255"/>
      <c r="AC124" s="255"/>
      <c r="AD124" s="313"/>
      <c r="AE124" s="256"/>
      <c r="AF124" s="256"/>
      <c r="AG124" s="256"/>
      <c r="AH124" s="9"/>
      <c r="AI124" s="9"/>
    </row>
    <row r="125" spans="1:35" ht="12.75" hidden="1" customHeight="1" outlineLevel="1" x14ac:dyDescent="0.25">
      <c r="A125" s="9"/>
      <c r="B125" s="9"/>
      <c r="C125" s="9" t="str">
        <f>Model!C186</f>
        <v>Prepaid &amp; Other Current Assets as a % of Sales</v>
      </c>
      <c r="D125" s="9"/>
      <c r="E125" s="9"/>
      <c r="F125" s="312">
        <f>Model!F186</f>
        <v>0</v>
      </c>
      <c r="G125" s="312">
        <f>Model!G186</f>
        <v>0</v>
      </c>
      <c r="H125" s="312">
        <f>Model!H186</f>
        <v>0</v>
      </c>
      <c r="I125" s="312">
        <f>Model!I186</f>
        <v>0</v>
      </c>
      <c r="J125" s="313">
        <f>Model!J186</f>
        <v>0</v>
      </c>
      <c r="K125" s="312">
        <f>Model!K186</f>
        <v>0</v>
      </c>
      <c r="L125" s="312">
        <f>Model!L186</f>
        <v>0</v>
      </c>
      <c r="M125" s="312">
        <f>Model!M186</f>
        <v>0</v>
      </c>
      <c r="N125" s="312">
        <f>Model!N186</f>
        <v>0</v>
      </c>
      <c r="O125" s="313">
        <f>Model!O186</f>
        <v>0</v>
      </c>
      <c r="P125" s="312">
        <f>Model!P186</f>
        <v>0</v>
      </c>
      <c r="Q125" s="312">
        <f>Model!Q186</f>
        <v>0</v>
      </c>
      <c r="R125" s="312">
        <f>Model!R186</f>
        <v>0</v>
      </c>
      <c r="S125" s="312">
        <f>Model!S186</f>
        <v>0</v>
      </c>
      <c r="T125" s="313">
        <f>Model!T186</f>
        <v>0</v>
      </c>
      <c r="U125" s="314">
        <f>IF(Case_Scenario="Bull",U126,IF(Case_Scenario="Base",U127,IF(Case_Scenario="bear",U128,"N/A")))</f>
        <v>0</v>
      </c>
      <c r="V125" s="314">
        <f>IF(Case_Scenario="Bull",V126,IF(Case_Scenario="Base",V127,IF(Case_Scenario="bear",V128,"N/A")))</f>
        <v>0</v>
      </c>
      <c r="W125" s="314">
        <f>IF(Case_Scenario="Bull",W126,IF(Case_Scenario="Base",W127,IF(Case_Scenario="bear",W128,"N/A")))</f>
        <v>0</v>
      </c>
      <c r="X125" s="314">
        <f>IF(Case_Scenario="Bull",X126,IF(Case_Scenario="Base",X127,IF(Case_Scenario="bear",X128,"N/A")))</f>
        <v>0</v>
      </c>
      <c r="Y125" s="313">
        <f>Model!Y186</f>
        <v>0</v>
      </c>
      <c r="Z125" s="314">
        <f>IF(Case_Scenario="Bull",Z126,IF(Case_Scenario="Base",Z127,IF(Case_Scenario="bear",Z128,"N/A")))</f>
        <v>0</v>
      </c>
      <c r="AA125" s="314">
        <f>IF(Case_Scenario="Bull",AA126,IF(Case_Scenario="Base",AA127,IF(Case_Scenario="bear",AA128,"N/A")))</f>
        <v>0</v>
      </c>
      <c r="AB125" s="314">
        <f>IF(Case_Scenario="Bull",AB126,IF(Case_Scenario="Base",AB127,IF(Case_Scenario="bear",AB128,"N/A")))</f>
        <v>0</v>
      </c>
      <c r="AC125" s="314">
        <f>IF(Case_Scenario="Bull",AC126,IF(Case_Scenario="Base",AC127,IF(Case_Scenario="bear",AC128,"N/A")))</f>
        <v>0</v>
      </c>
      <c r="AD125" s="313">
        <f>Model!AD186</f>
        <v>0</v>
      </c>
      <c r="AE125" s="313">
        <f>IF(Case_Scenario="Bull",AE126,IF(Case_Scenario="Base",AE127,IF(Case_Scenario="bear",AE128,"N/A")))</f>
        <v>0</v>
      </c>
      <c r="AF125" s="313">
        <f>IF(Case_Scenario="Bull",AF126,IF(Case_Scenario="Base",AF127,IF(Case_Scenario="bear",AF128,"N/A")))</f>
        <v>0</v>
      </c>
      <c r="AG125" s="313">
        <f>IF(Case_Scenario="Bull",AG126,IF(Case_Scenario="Base",AG127,IF(Case_Scenario="bear",AG128,"N/A")))</f>
        <v>0</v>
      </c>
      <c r="AH125" s="9">
        <f>IF(Case_Scenario="Bull",AH126,IF(Case_Scenario="Base",AH127,IF(Case_Scenario="bear",AH128,"N/A")))</f>
        <v>0</v>
      </c>
      <c r="AI125" s="9"/>
    </row>
    <row r="126" spans="1:35" ht="12.75" hidden="1" customHeight="1" outlineLevel="1" x14ac:dyDescent="0.25">
      <c r="A126" s="9"/>
      <c r="B126" s="9"/>
      <c r="C126" s="103" t="s">
        <v>246</v>
      </c>
      <c r="D126" s="9"/>
      <c r="E126" s="9"/>
      <c r="F126" s="312"/>
      <c r="G126" s="312"/>
      <c r="H126" s="312"/>
      <c r="I126" s="312"/>
      <c r="J126" s="313"/>
      <c r="K126" s="312"/>
      <c r="L126" s="312"/>
      <c r="M126" s="312"/>
      <c r="N126" s="312"/>
      <c r="O126" s="313"/>
      <c r="P126" s="312"/>
      <c r="Q126" s="312"/>
      <c r="R126" s="312"/>
      <c r="S126" s="312"/>
      <c r="T126" s="313"/>
      <c r="U126" s="255">
        <v>0</v>
      </c>
      <c r="V126" s="255">
        <v>0</v>
      </c>
      <c r="W126" s="255">
        <v>0</v>
      </c>
      <c r="X126" s="255">
        <v>0</v>
      </c>
      <c r="Y126" s="313"/>
      <c r="Z126" s="255">
        <v>0</v>
      </c>
      <c r="AA126" s="255">
        <v>0</v>
      </c>
      <c r="AB126" s="255">
        <v>0</v>
      </c>
      <c r="AC126" s="255">
        <v>0</v>
      </c>
      <c r="AD126" s="313"/>
      <c r="AE126" s="256">
        <v>0</v>
      </c>
      <c r="AF126" s="256">
        <v>0</v>
      </c>
      <c r="AG126" s="256">
        <v>0</v>
      </c>
      <c r="AH126" s="9">
        <v>0</v>
      </c>
      <c r="AI126" s="9"/>
    </row>
    <row r="127" spans="1:35" ht="12.75" hidden="1" customHeight="1" outlineLevel="1" x14ac:dyDescent="0.25">
      <c r="A127" s="9"/>
      <c r="B127" s="9"/>
      <c r="C127" s="103" t="s">
        <v>247</v>
      </c>
      <c r="D127" s="9"/>
      <c r="E127" s="9"/>
      <c r="F127" s="312"/>
      <c r="G127" s="312"/>
      <c r="H127" s="312"/>
      <c r="I127" s="312"/>
      <c r="J127" s="313"/>
      <c r="K127" s="312"/>
      <c r="L127" s="312"/>
      <c r="M127" s="312"/>
      <c r="N127" s="312"/>
      <c r="O127" s="313"/>
      <c r="P127" s="312"/>
      <c r="Q127" s="312"/>
      <c r="R127" s="312"/>
      <c r="S127" s="312"/>
      <c r="T127" s="313"/>
      <c r="U127" s="255">
        <v>0</v>
      </c>
      <c r="V127" s="255">
        <v>0</v>
      </c>
      <c r="W127" s="255">
        <v>0</v>
      </c>
      <c r="X127" s="255">
        <v>0</v>
      </c>
      <c r="Y127" s="313"/>
      <c r="Z127" s="255">
        <v>0</v>
      </c>
      <c r="AA127" s="255">
        <v>0</v>
      </c>
      <c r="AB127" s="255">
        <v>0</v>
      </c>
      <c r="AC127" s="255">
        <v>0</v>
      </c>
      <c r="AD127" s="313"/>
      <c r="AE127" s="256">
        <v>0</v>
      </c>
      <c r="AF127" s="256">
        <v>0</v>
      </c>
      <c r="AG127" s="256">
        <v>0</v>
      </c>
      <c r="AH127" s="9">
        <v>0</v>
      </c>
      <c r="AI127" s="9"/>
    </row>
    <row r="128" spans="1:35" ht="12.75" hidden="1" customHeight="1" outlineLevel="1" x14ac:dyDescent="0.25">
      <c r="A128" s="9"/>
      <c r="B128" s="9"/>
      <c r="C128" s="103" t="s">
        <v>248</v>
      </c>
      <c r="D128" s="9"/>
      <c r="E128" s="9"/>
      <c r="F128" s="312"/>
      <c r="G128" s="312"/>
      <c r="H128" s="312"/>
      <c r="I128" s="312"/>
      <c r="J128" s="313"/>
      <c r="K128" s="312"/>
      <c r="L128" s="312"/>
      <c r="M128" s="312"/>
      <c r="N128" s="312"/>
      <c r="O128" s="313"/>
      <c r="P128" s="312"/>
      <c r="Q128" s="312"/>
      <c r="R128" s="312"/>
      <c r="S128" s="312"/>
      <c r="T128" s="313"/>
      <c r="U128" s="255">
        <v>0</v>
      </c>
      <c r="V128" s="255">
        <v>0</v>
      </c>
      <c r="W128" s="255">
        <v>0</v>
      </c>
      <c r="X128" s="255">
        <v>0</v>
      </c>
      <c r="Y128" s="313"/>
      <c r="Z128" s="255">
        <v>0</v>
      </c>
      <c r="AA128" s="255">
        <v>0</v>
      </c>
      <c r="AB128" s="255">
        <v>0</v>
      </c>
      <c r="AC128" s="255">
        <v>0</v>
      </c>
      <c r="AD128" s="313"/>
      <c r="AE128" s="256">
        <v>0</v>
      </c>
      <c r="AF128" s="256">
        <v>0</v>
      </c>
      <c r="AG128" s="256">
        <v>0</v>
      </c>
      <c r="AH128" s="9">
        <v>0</v>
      </c>
      <c r="AI128" s="9"/>
    </row>
    <row r="129" spans="1:35" ht="12.75" customHeight="1" collapsed="1" x14ac:dyDescent="0.25">
      <c r="A129" s="9"/>
      <c r="B129" s="9"/>
      <c r="C129" s="103"/>
      <c r="D129" s="9"/>
      <c r="E129" s="9"/>
      <c r="F129" s="312"/>
      <c r="G129" s="312"/>
      <c r="H129" s="312"/>
      <c r="I129" s="312"/>
      <c r="J129" s="313"/>
      <c r="K129" s="312"/>
      <c r="L129" s="312"/>
      <c r="M129" s="312"/>
      <c r="N129" s="312"/>
      <c r="O129" s="313"/>
      <c r="P129" s="312"/>
      <c r="Q129" s="312"/>
      <c r="R129" s="312"/>
      <c r="S129" s="312"/>
      <c r="T129" s="313"/>
      <c r="U129" s="255"/>
      <c r="V129" s="255"/>
      <c r="W129" s="255"/>
      <c r="X129" s="255"/>
      <c r="Y129" s="313"/>
      <c r="Z129" s="255"/>
      <c r="AA129" s="255"/>
      <c r="AB129" s="255"/>
      <c r="AC129" s="255"/>
      <c r="AD129" s="313"/>
      <c r="AE129" s="256"/>
      <c r="AF129" s="256"/>
      <c r="AG129" s="256"/>
      <c r="AH129" s="9"/>
      <c r="AI129" s="9"/>
    </row>
    <row r="130" spans="1:35" ht="12.75" customHeight="1" x14ac:dyDescent="0.25">
      <c r="A130" s="9"/>
      <c r="B130" s="9"/>
      <c r="C130" s="9" t="str">
        <f>Model!C232</f>
        <v>% Change in LT Assets</v>
      </c>
      <c r="D130" s="9"/>
      <c r="E130" s="9"/>
      <c r="F130" s="312">
        <f>Model!F232</f>
        <v>0</v>
      </c>
      <c r="G130" s="312">
        <f>Model!G232</f>
        <v>3.771743742044964E-2</v>
      </c>
      <c r="H130" s="312">
        <f>Model!H232</f>
        <v>8.2914264687844907E-2</v>
      </c>
      <c r="I130" s="312">
        <f>Model!I232</f>
        <v>-1.5592554838222528E-2</v>
      </c>
      <c r="J130" s="313">
        <f>Model!J232</f>
        <v>0</v>
      </c>
      <c r="K130" s="312">
        <f>Model!K232</f>
        <v>2.4238705223594392E-2</v>
      </c>
      <c r="L130" s="312">
        <f>Model!L232</f>
        <v>4.2911705234778719E-2</v>
      </c>
      <c r="M130" s="312">
        <f>Model!M232</f>
        <v>2.8256498635645499E-2</v>
      </c>
      <c r="N130" s="312">
        <f>Model!N232</f>
        <v>5.5099689234959337E-2</v>
      </c>
      <c r="O130" s="313">
        <f>Model!O232</f>
        <v>0.15889391731226499</v>
      </c>
      <c r="P130" s="312">
        <f>Model!P232</f>
        <v>9.398682860641383E-3</v>
      </c>
      <c r="Q130" s="312">
        <f>Model!Q232</f>
        <v>6.1637323366446894E-2</v>
      </c>
      <c r="R130" s="312">
        <f>Model!R232</f>
        <v>3.1963188289428901E-2</v>
      </c>
      <c r="S130" s="312">
        <f>Model!S232</f>
        <v>4.3452238448647318E-2</v>
      </c>
      <c r="T130" s="313">
        <f>Model!T232</f>
        <v>0.15391997881986952</v>
      </c>
      <c r="U130" s="314">
        <f>IF(Case_Scenario="Bull",U131,IF(Case_Scenario="Base",U132,IF(Case_Scenario="bear",U133,"N/A")))</f>
        <v>5.2999999999999999E-2</v>
      </c>
      <c r="V130" s="314">
        <f>IF(Case_Scenario="Bull",V131,IF(Case_Scenario="Base",V132,IF(Case_Scenario="bear",V133,"N/A")))</f>
        <v>4.2000000000000003E-2</v>
      </c>
      <c r="W130" s="314">
        <f>IF(Case_Scenario="Bull",W131,IF(Case_Scenario="Base",W132,IF(Case_Scenario="bear",W133,"N/A")))</f>
        <v>3.2000000000000001E-2</v>
      </c>
      <c r="X130" s="314">
        <f>IF(Case_Scenario="Bull",X131,IF(Case_Scenario="Base",X132,IF(Case_Scenario="bear",X133,"N/A")))</f>
        <v>3.5000000000000003E-2</v>
      </c>
      <c r="Y130" s="313">
        <f>Model!Y232</f>
        <v>0.13468653234828509</v>
      </c>
      <c r="Z130" s="314">
        <f>IF(Case_Scenario="Bull",Z131,IF(Case_Scenario="Base",Z132,IF(Case_Scenario="bear",Z133,"N/A")))</f>
        <v>4.2999999999999997E-2</v>
      </c>
      <c r="AA130" s="314">
        <f>IF(Case_Scenario="Bull",AA131,IF(Case_Scenario="Base",AA132,IF(Case_Scenario="bear",AA133,"N/A")))</f>
        <v>3.4000000000000002E-2</v>
      </c>
      <c r="AB130" s="314">
        <f>IF(Case_Scenario="Bull",AB131,IF(Case_Scenario="Base",AB132,IF(Case_Scenario="bear",AB133,"N/A")))</f>
        <v>3.1E-2</v>
      </c>
      <c r="AC130" s="314">
        <f>IF(Case_Scenario="Bull",AC131,IF(Case_Scenario="Base",AC132,IF(Case_Scenario="bear",AC133,"N/A")))</f>
        <v>3.5999999999999997E-2</v>
      </c>
      <c r="AD130" s="313">
        <f>Model!AD232</f>
        <v>0.15192251759199982</v>
      </c>
      <c r="AE130" s="313">
        <f>IF(Case_Scenario="Bull",AE131,IF(Case_Scenario="Base",AE132,IF(Case_Scenario="bear",AE133,"N/A")))</f>
        <v>0.14499999999999999</v>
      </c>
      <c r="AF130" s="313">
        <f>IF(Case_Scenario="Bull",AF131,IF(Case_Scenario="Base",AF132,IF(Case_Scenario="bear",AF133,"N/A")))</f>
        <v>0.14000000000000001</v>
      </c>
      <c r="AG130" s="313">
        <f>IF(Case_Scenario="Bull",AG131,IF(Case_Scenario="Base",AG132,IF(Case_Scenario="bear",AG133,"N/A")))</f>
        <v>0.13500000000000001</v>
      </c>
      <c r="AH130" s="9"/>
      <c r="AI130" s="9"/>
    </row>
    <row r="131" spans="1:35" ht="12.75" customHeight="1" x14ac:dyDescent="0.25">
      <c r="A131" s="9"/>
      <c r="B131" s="9"/>
      <c r="C131" s="103" t="s">
        <v>246</v>
      </c>
      <c r="D131" s="9"/>
      <c r="E131" s="9"/>
      <c r="F131" s="312"/>
      <c r="G131" s="312"/>
      <c r="H131" s="312"/>
      <c r="I131" s="312"/>
      <c r="J131" s="313"/>
      <c r="K131" s="312"/>
      <c r="L131" s="312"/>
      <c r="M131" s="312"/>
      <c r="N131" s="312"/>
      <c r="O131" s="313"/>
      <c r="P131" s="312"/>
      <c r="Q131" s="312"/>
      <c r="R131" s="312"/>
      <c r="S131" s="312"/>
      <c r="T131" s="313"/>
      <c r="U131" s="255">
        <f>U132-0.25%</f>
        <v>5.0499999999999996E-2</v>
      </c>
      <c r="V131" s="255">
        <f t="shared" ref="V131:X131" si="83">V132-0.25%</f>
        <v>3.95E-2</v>
      </c>
      <c r="W131" s="255">
        <f t="shared" si="83"/>
        <v>2.9500000000000002E-2</v>
      </c>
      <c r="X131" s="255">
        <f t="shared" si="83"/>
        <v>3.2500000000000001E-2</v>
      </c>
      <c r="Y131" s="313"/>
      <c r="Z131" s="255">
        <f>Z132-0.5%</f>
        <v>3.7999999999999999E-2</v>
      </c>
      <c r="AA131" s="255">
        <f t="shared" ref="AA131:AC131" si="84">AA132-0.5%</f>
        <v>2.9000000000000001E-2</v>
      </c>
      <c r="AB131" s="255">
        <f t="shared" si="84"/>
        <v>2.5999999999999999E-2</v>
      </c>
      <c r="AC131" s="255">
        <f t="shared" si="84"/>
        <v>3.0999999999999996E-2</v>
      </c>
      <c r="AD131" s="313"/>
      <c r="AE131" s="256">
        <f t="shared" ref="AE131" si="85">AE132-0.5%</f>
        <v>0.13999999999999999</v>
      </c>
      <c r="AF131" s="256">
        <f t="shared" ref="AF131" si="86">AF132-0.5%</f>
        <v>0.13500000000000001</v>
      </c>
      <c r="AG131" s="256">
        <f t="shared" ref="AG131" si="87">AG132-0.5%</f>
        <v>0.13</v>
      </c>
      <c r="AH131" s="9"/>
      <c r="AI131" s="9"/>
    </row>
    <row r="132" spans="1:35" ht="12.75" customHeight="1" x14ac:dyDescent="0.25">
      <c r="A132" s="9"/>
      <c r="B132" s="9"/>
      <c r="C132" s="103" t="s">
        <v>247</v>
      </c>
      <c r="D132" s="9"/>
      <c r="E132" s="9"/>
      <c r="F132" s="312"/>
      <c r="G132" s="312"/>
      <c r="H132" s="312"/>
      <c r="I132" s="312"/>
      <c r="J132" s="313"/>
      <c r="K132" s="312"/>
      <c r="L132" s="312"/>
      <c r="M132" s="312"/>
      <c r="N132" s="312"/>
      <c r="O132" s="313"/>
      <c r="P132" s="312"/>
      <c r="Q132" s="312"/>
      <c r="R132" s="312"/>
      <c r="S132" s="312"/>
      <c r="T132" s="313"/>
      <c r="U132" s="255">
        <v>5.2999999999999999E-2</v>
      </c>
      <c r="V132" s="255">
        <v>4.2000000000000003E-2</v>
      </c>
      <c r="W132" s="255">
        <v>3.2000000000000001E-2</v>
      </c>
      <c r="X132" s="255">
        <v>3.5000000000000003E-2</v>
      </c>
      <c r="Y132" s="313"/>
      <c r="Z132" s="255">
        <v>4.2999999999999997E-2</v>
      </c>
      <c r="AA132" s="255">
        <v>3.4000000000000002E-2</v>
      </c>
      <c r="AB132" s="255">
        <v>3.1E-2</v>
      </c>
      <c r="AC132" s="255">
        <v>3.5999999999999997E-2</v>
      </c>
      <c r="AD132" s="313"/>
      <c r="AE132" s="256">
        <v>0.14499999999999999</v>
      </c>
      <c r="AF132" s="256">
        <v>0.14000000000000001</v>
      </c>
      <c r="AG132" s="256">
        <v>0.13500000000000001</v>
      </c>
      <c r="AH132" s="9"/>
      <c r="AI132" s="9"/>
    </row>
    <row r="133" spans="1:35" ht="12.75" customHeight="1" x14ac:dyDescent="0.25">
      <c r="A133" s="9"/>
      <c r="B133" s="9"/>
      <c r="C133" s="103" t="s">
        <v>248</v>
      </c>
      <c r="D133" s="9"/>
      <c r="E133" s="9"/>
      <c r="F133" s="312"/>
      <c r="G133" s="312"/>
      <c r="H133" s="312"/>
      <c r="I133" s="312"/>
      <c r="J133" s="313"/>
      <c r="K133" s="312"/>
      <c r="L133" s="312"/>
      <c r="M133" s="312"/>
      <c r="N133" s="312"/>
      <c r="O133" s="313"/>
      <c r="P133" s="312"/>
      <c r="Q133" s="312"/>
      <c r="R133" s="312"/>
      <c r="S133" s="312"/>
      <c r="T133" s="313"/>
      <c r="U133" s="255">
        <f>U132+0.25%</f>
        <v>5.5500000000000001E-2</v>
      </c>
      <c r="V133" s="255">
        <f t="shared" ref="V133:X133" si="88">V132+0.25%</f>
        <v>4.4500000000000005E-2</v>
      </c>
      <c r="W133" s="255">
        <f t="shared" si="88"/>
        <v>3.4500000000000003E-2</v>
      </c>
      <c r="X133" s="255">
        <f t="shared" si="88"/>
        <v>3.7500000000000006E-2</v>
      </c>
      <c r="Y133" s="313"/>
      <c r="Z133" s="255">
        <f>Z132+0.75%</f>
        <v>5.0499999999999996E-2</v>
      </c>
      <c r="AA133" s="255">
        <f t="shared" ref="AA133:AC133" si="89">AA132+0.75%</f>
        <v>4.1500000000000002E-2</v>
      </c>
      <c r="AB133" s="255">
        <f t="shared" si="89"/>
        <v>3.85E-2</v>
      </c>
      <c r="AC133" s="255">
        <f t="shared" si="89"/>
        <v>4.3499999999999997E-2</v>
      </c>
      <c r="AD133" s="313"/>
      <c r="AE133" s="256">
        <f t="shared" ref="AE133" si="90">AE132+0.75%</f>
        <v>0.1525</v>
      </c>
      <c r="AF133" s="256">
        <f t="shared" ref="AF133" si="91">AF132+0.75%</f>
        <v>0.14750000000000002</v>
      </c>
      <c r="AG133" s="256">
        <f t="shared" ref="AG133" si="92">AG132+0.75%</f>
        <v>0.14250000000000002</v>
      </c>
      <c r="AH133" s="9"/>
      <c r="AI133" s="9"/>
    </row>
    <row r="134" spans="1:35" ht="12.75" customHeight="1" x14ac:dyDescent="0.25">
      <c r="A134" s="9"/>
      <c r="B134" s="9"/>
      <c r="C134" s="9"/>
      <c r="D134" s="9"/>
      <c r="E134" s="9"/>
      <c r="F134" s="312"/>
      <c r="G134" s="312"/>
      <c r="H134" s="312"/>
      <c r="I134" s="312"/>
      <c r="J134" s="313"/>
      <c r="K134" s="312"/>
      <c r="L134" s="312"/>
      <c r="M134" s="312"/>
      <c r="N134" s="312"/>
      <c r="O134" s="313"/>
      <c r="P134" s="312"/>
      <c r="Q134" s="312"/>
      <c r="R134" s="312"/>
      <c r="S134" s="312"/>
      <c r="T134" s="313"/>
      <c r="U134" s="255"/>
      <c r="V134" s="255"/>
      <c r="W134" s="255"/>
      <c r="X134" s="255"/>
      <c r="Y134" s="313"/>
      <c r="Z134" s="255"/>
      <c r="AA134" s="255"/>
      <c r="AB134" s="255"/>
      <c r="AC134" s="255"/>
      <c r="AD134" s="313"/>
      <c r="AE134" s="256"/>
      <c r="AF134" s="256"/>
      <c r="AG134" s="256"/>
      <c r="AH134" s="9"/>
      <c r="AI134" s="9"/>
    </row>
    <row r="135" spans="1:35" ht="12.75" customHeight="1" x14ac:dyDescent="0.25">
      <c r="A135" s="9"/>
      <c r="B135" s="9"/>
      <c r="C135" s="445" t="s">
        <v>453</v>
      </c>
      <c r="D135" s="446"/>
      <c r="E135" s="446"/>
      <c r="F135" s="447"/>
      <c r="G135" s="448"/>
      <c r="H135" s="448"/>
      <c r="I135" s="448"/>
      <c r="J135" s="448"/>
      <c r="K135" s="448"/>
      <c r="L135" s="448"/>
      <c r="M135" s="448"/>
      <c r="N135" s="448"/>
      <c r="O135" s="448"/>
      <c r="P135" s="448"/>
      <c r="Q135" s="448"/>
      <c r="R135" s="448"/>
      <c r="S135" s="448"/>
      <c r="T135" s="448"/>
      <c r="U135" s="448"/>
      <c r="V135" s="448"/>
      <c r="W135" s="448"/>
      <c r="X135" s="448"/>
      <c r="Y135" s="448"/>
      <c r="Z135" s="448"/>
      <c r="AA135" s="448"/>
      <c r="AB135" s="448"/>
      <c r="AC135" s="448"/>
      <c r="AD135" s="448"/>
      <c r="AE135" s="448"/>
      <c r="AF135" s="448"/>
      <c r="AG135" s="449"/>
      <c r="AH135" s="9"/>
      <c r="AI135" s="9"/>
    </row>
    <row r="136" spans="1:35" ht="12.75" hidden="1" customHeight="1" outlineLevel="1" x14ac:dyDescent="0.25">
      <c r="A136" s="9"/>
      <c r="B136" s="9"/>
      <c r="C136" s="9"/>
      <c r="D136" s="9"/>
      <c r="E136" s="9"/>
      <c r="F136" s="312"/>
      <c r="G136" s="312"/>
      <c r="H136" s="312"/>
      <c r="I136" s="312"/>
      <c r="J136" s="313"/>
      <c r="K136" s="312"/>
      <c r="L136" s="312"/>
      <c r="M136" s="312"/>
      <c r="N136" s="312"/>
      <c r="O136" s="313"/>
      <c r="P136" s="312"/>
      <c r="Q136" s="312"/>
      <c r="R136" s="312"/>
      <c r="S136" s="312"/>
      <c r="T136" s="313"/>
      <c r="U136" s="314"/>
      <c r="V136" s="314"/>
      <c r="W136" s="314"/>
      <c r="X136" s="314"/>
      <c r="Y136" s="313"/>
      <c r="Z136" s="314"/>
      <c r="AA136" s="314"/>
      <c r="AB136" s="314"/>
      <c r="AC136" s="314"/>
      <c r="AD136" s="313"/>
      <c r="AE136" s="132"/>
      <c r="AF136" s="132"/>
      <c r="AG136" s="132"/>
      <c r="AH136" s="9"/>
      <c r="AI136" s="9"/>
    </row>
    <row r="137" spans="1:35" ht="12.75" hidden="1" customHeight="1" outlineLevel="1" x14ac:dyDescent="0.25">
      <c r="A137" s="9"/>
      <c r="B137" s="9"/>
      <c r="C137" s="9" t="str">
        <f>Model!C184</f>
        <v>Days Payables Outstanding (from SG&amp;A)</v>
      </c>
      <c r="D137" s="9"/>
      <c r="E137" s="9"/>
      <c r="F137" s="312"/>
      <c r="G137" s="260">
        <f>Model!G184</f>
        <v>118.24013157894737</v>
      </c>
      <c r="H137" s="260">
        <f>Model!H184</f>
        <v>124.48692152917505</v>
      </c>
      <c r="I137" s="260">
        <f>Model!I184</f>
        <v>124.02931529315293</v>
      </c>
      <c r="J137" s="261">
        <f>Model!J184</f>
        <v>122.3841189381271</v>
      </c>
      <c r="K137" s="260">
        <f>Model!K184</f>
        <v>120.41166380789022</v>
      </c>
      <c r="L137" s="260">
        <f>Model!L184</f>
        <v>118.0324313763798</v>
      </c>
      <c r="M137" s="260">
        <f>Model!M184</f>
        <v>117.53321678321677</v>
      </c>
      <c r="N137" s="260">
        <f>Model!N184</f>
        <v>112.47771449236053</v>
      </c>
      <c r="O137" s="261">
        <f>Model!O184</f>
        <v>117.84562100951693</v>
      </c>
      <c r="P137" s="260">
        <f>Model!P184</f>
        <v>113.93413891707407</v>
      </c>
      <c r="Q137" s="260">
        <f>Model!Q184</f>
        <v>112.31988408381633</v>
      </c>
      <c r="R137" s="260">
        <f>Model!R184</f>
        <v>114.97607074735564</v>
      </c>
      <c r="S137" s="260">
        <f>Model!S184</f>
        <v>107.35401952226013</v>
      </c>
      <c r="T137" s="261">
        <f>Model!T184</f>
        <v>112.78682535558875</v>
      </c>
      <c r="U137" s="262">
        <f>IF(Case_Scenario="Bull",U138,IF(Case_Scenario="Base",U139,IF(Case_Scenario="bear",U140,"N/A")))</f>
        <v>104</v>
      </c>
      <c r="V137" s="262">
        <f>IF(Case_Scenario="Bull",V138,IF(Case_Scenario="Base",V139,IF(Case_Scenario="bear",V140,"N/A")))</f>
        <v>104</v>
      </c>
      <c r="W137" s="262">
        <f>IF(Case_Scenario="Bull",W138,IF(Case_Scenario="Base",W139,IF(Case_Scenario="bear",W140,"N/A")))</f>
        <v>104</v>
      </c>
      <c r="X137" s="262">
        <f>IF(Case_Scenario="Bull",X138,IF(Case_Scenario="Base",X139,IF(Case_Scenario="bear",X140,"N/A")))</f>
        <v>104</v>
      </c>
      <c r="Y137" s="261">
        <f>Model!Y184</f>
        <v>104.48826778189597</v>
      </c>
      <c r="Z137" s="262">
        <f>IF(Case_Scenario="Bull",Z138,IF(Case_Scenario="Base",Z139,IF(Case_Scenario="bear",Z140,"N/A")))</f>
        <v>105.5</v>
      </c>
      <c r="AA137" s="262">
        <f>IF(Case_Scenario="Bull",AA138,IF(Case_Scenario="Base",AA139,IF(Case_Scenario="bear",AA140,"N/A")))</f>
        <v>105.5</v>
      </c>
      <c r="AB137" s="262">
        <f>IF(Case_Scenario="Bull",AB138,IF(Case_Scenario="Base",AB139,IF(Case_Scenario="bear",AB140,"N/A")))</f>
        <v>105.5</v>
      </c>
      <c r="AC137" s="262">
        <f>IF(Case_Scenario="Bull",AC138,IF(Case_Scenario="Base",AC139,IF(Case_Scenario="bear",AC140,"N/A")))</f>
        <v>105.5</v>
      </c>
      <c r="AD137" s="261">
        <f>Model!AD184</f>
        <v>105.48811653731919</v>
      </c>
      <c r="AE137" s="261">
        <f>IF(Case_Scenario="Bull",AE138,IF(Case_Scenario="Base",AE139,IF(Case_Scenario="bear",AE140,"N/A")))</f>
        <v>102.5</v>
      </c>
      <c r="AF137" s="261">
        <f>IF(Case_Scenario="Bull",AF138,IF(Case_Scenario="Base",AF139,IF(Case_Scenario="bear",AF140,"N/A")))</f>
        <v>102.5</v>
      </c>
      <c r="AG137" s="261">
        <f>IF(Case_Scenario="Bull",AG138,IF(Case_Scenario="Base",AG139,IF(Case_Scenario="bear",AG140,"N/A")))</f>
        <v>102.5</v>
      </c>
      <c r="AH137" s="9"/>
      <c r="AI137" s="9"/>
    </row>
    <row r="138" spans="1:35" ht="12.75" hidden="1" customHeight="1" outlineLevel="1" x14ac:dyDescent="0.25">
      <c r="A138" s="9"/>
      <c r="B138" s="9"/>
      <c r="C138" s="103" t="s">
        <v>246</v>
      </c>
      <c r="D138" s="9"/>
      <c r="E138" s="9"/>
      <c r="F138" s="312"/>
      <c r="G138" s="312"/>
      <c r="H138" s="312"/>
      <c r="I138" s="312"/>
      <c r="J138" s="313"/>
      <c r="K138" s="312"/>
      <c r="L138" s="312"/>
      <c r="M138" s="312"/>
      <c r="N138" s="312"/>
      <c r="O138" s="313"/>
      <c r="P138" s="312"/>
      <c r="Q138" s="312"/>
      <c r="R138" s="312"/>
      <c r="S138" s="312"/>
      <c r="T138" s="313"/>
      <c r="U138" s="456">
        <f>+U139+3</f>
        <v>107</v>
      </c>
      <c r="V138" s="456">
        <f t="shared" ref="V138:X138" si="93">+V139+3</f>
        <v>107</v>
      </c>
      <c r="W138" s="456">
        <f t="shared" si="93"/>
        <v>107</v>
      </c>
      <c r="X138" s="456">
        <f t="shared" si="93"/>
        <v>107</v>
      </c>
      <c r="Y138" s="313"/>
      <c r="Z138" s="456">
        <f>+Z139+3</f>
        <v>108.5</v>
      </c>
      <c r="AA138" s="456">
        <f t="shared" ref="AA138" si="94">+AA139+3</f>
        <v>108.5</v>
      </c>
      <c r="AB138" s="456">
        <f t="shared" ref="AB138" si="95">+AB139+3</f>
        <v>108.5</v>
      </c>
      <c r="AC138" s="456">
        <f t="shared" ref="AC138" si="96">+AC139+3</f>
        <v>108.5</v>
      </c>
      <c r="AD138" s="313"/>
      <c r="AE138" s="457">
        <f t="shared" ref="AE138:AG138" si="97">+AE139+3</f>
        <v>105.5</v>
      </c>
      <c r="AF138" s="457">
        <f t="shared" si="97"/>
        <v>105.5</v>
      </c>
      <c r="AG138" s="457">
        <f t="shared" si="97"/>
        <v>105.5</v>
      </c>
      <c r="AH138" s="9"/>
      <c r="AI138" s="9"/>
    </row>
    <row r="139" spans="1:35" ht="12.75" hidden="1" customHeight="1" outlineLevel="1" x14ac:dyDescent="0.25">
      <c r="A139" s="9"/>
      <c r="B139" s="9"/>
      <c r="C139" s="103" t="s">
        <v>247</v>
      </c>
      <c r="D139" s="9"/>
      <c r="E139" s="9"/>
      <c r="F139" s="312"/>
      <c r="G139" s="312"/>
      <c r="H139" s="312"/>
      <c r="I139" s="312"/>
      <c r="J139" s="313"/>
      <c r="K139" s="312"/>
      <c r="L139" s="312"/>
      <c r="M139" s="312"/>
      <c r="N139" s="312"/>
      <c r="O139" s="313"/>
      <c r="P139" s="312"/>
      <c r="Q139" s="312"/>
      <c r="R139" s="312"/>
      <c r="S139" s="312"/>
      <c r="T139" s="313"/>
      <c r="U139" s="456">
        <v>104</v>
      </c>
      <c r="V139" s="456">
        <v>104</v>
      </c>
      <c r="W139" s="456">
        <v>104</v>
      </c>
      <c r="X139" s="456">
        <v>104</v>
      </c>
      <c r="Y139" s="313"/>
      <c r="Z139" s="456">
        <v>105.5</v>
      </c>
      <c r="AA139" s="456">
        <v>105.5</v>
      </c>
      <c r="AB139" s="456">
        <v>105.5</v>
      </c>
      <c r="AC139" s="456">
        <v>105.5</v>
      </c>
      <c r="AD139" s="313"/>
      <c r="AE139" s="457">
        <v>102.5</v>
      </c>
      <c r="AF139" s="457">
        <v>102.5</v>
      </c>
      <c r="AG139" s="457">
        <v>102.5</v>
      </c>
      <c r="AH139" s="9"/>
      <c r="AI139" s="9"/>
    </row>
    <row r="140" spans="1:35" ht="12.75" hidden="1" customHeight="1" outlineLevel="1" x14ac:dyDescent="0.25">
      <c r="A140" s="9"/>
      <c r="B140" s="9"/>
      <c r="C140" s="103" t="s">
        <v>248</v>
      </c>
      <c r="D140" s="9"/>
      <c r="E140" s="9"/>
      <c r="F140" s="312"/>
      <c r="G140" s="312"/>
      <c r="H140" s="312"/>
      <c r="I140" s="312"/>
      <c r="J140" s="313"/>
      <c r="K140" s="312"/>
      <c r="L140" s="312"/>
      <c r="M140" s="312"/>
      <c r="N140" s="312"/>
      <c r="O140" s="313"/>
      <c r="P140" s="312"/>
      <c r="Q140" s="312"/>
      <c r="R140" s="312"/>
      <c r="S140" s="312"/>
      <c r="T140" s="313"/>
      <c r="U140" s="456">
        <f>+U139-2</f>
        <v>102</v>
      </c>
      <c r="V140" s="456">
        <f t="shared" ref="V140:X140" si="98">+V139-2</f>
        <v>102</v>
      </c>
      <c r="W140" s="456">
        <f t="shared" si="98"/>
        <v>102</v>
      </c>
      <c r="X140" s="456">
        <f t="shared" si="98"/>
        <v>102</v>
      </c>
      <c r="Y140" s="313"/>
      <c r="Z140" s="456">
        <f>+Z139-2</f>
        <v>103.5</v>
      </c>
      <c r="AA140" s="456">
        <f t="shared" ref="AA140" si="99">+AA139-2</f>
        <v>103.5</v>
      </c>
      <c r="AB140" s="456">
        <f t="shared" ref="AB140" si="100">+AB139-2</f>
        <v>103.5</v>
      </c>
      <c r="AC140" s="456">
        <f t="shared" ref="AC140" si="101">+AC139-2</f>
        <v>103.5</v>
      </c>
      <c r="AD140" s="313"/>
      <c r="AE140" s="457">
        <f t="shared" ref="AE140:AG140" si="102">+AE139-2</f>
        <v>100.5</v>
      </c>
      <c r="AF140" s="457">
        <f t="shared" si="102"/>
        <v>100.5</v>
      </c>
      <c r="AG140" s="457">
        <f t="shared" si="102"/>
        <v>100.5</v>
      </c>
      <c r="AH140" s="9"/>
      <c r="AI140" s="9"/>
    </row>
    <row r="141" spans="1:35" ht="12.75" customHeight="1" collapsed="1" x14ac:dyDescent="0.25">
      <c r="A141" s="9"/>
      <c r="B141" s="9"/>
      <c r="C141" s="9"/>
      <c r="D141" s="9"/>
      <c r="E141" s="9"/>
      <c r="F141" s="312"/>
      <c r="G141" s="312"/>
      <c r="H141" s="312"/>
      <c r="I141" s="312"/>
      <c r="J141" s="313"/>
      <c r="K141" s="312"/>
      <c r="L141" s="312"/>
      <c r="M141" s="312"/>
      <c r="N141" s="312"/>
      <c r="O141" s="313"/>
      <c r="P141" s="312"/>
      <c r="Q141" s="312"/>
      <c r="R141" s="312"/>
      <c r="S141" s="312"/>
      <c r="T141" s="313"/>
      <c r="U141" s="255"/>
      <c r="V141" s="255"/>
      <c r="W141" s="255"/>
      <c r="X141" s="255"/>
      <c r="Y141" s="313"/>
      <c r="Z141" s="255"/>
      <c r="AA141" s="255"/>
      <c r="AB141" s="255"/>
      <c r="AC141" s="255"/>
      <c r="AD141" s="313"/>
      <c r="AE141" s="256"/>
      <c r="AF141" s="256"/>
      <c r="AG141" s="256"/>
      <c r="AH141" s="9"/>
      <c r="AI141" s="9"/>
    </row>
    <row r="142" spans="1:35" ht="12.75" customHeight="1" x14ac:dyDescent="0.25">
      <c r="A142" s="9"/>
      <c r="B142" s="9"/>
      <c r="C142" s="9" t="str">
        <f>Model!C187</f>
        <v>Customer Deposits as a % of Member Receivables</v>
      </c>
      <c r="D142" s="9"/>
      <c r="E142" s="9"/>
      <c r="F142" s="312">
        <f>Model!F187</f>
        <v>2.1093747271743117</v>
      </c>
      <c r="G142" s="312">
        <f>Model!G187</f>
        <v>2.1160814328317041</v>
      </c>
      <c r="H142" s="312">
        <f>Model!H187</f>
        <v>2.1216859047586571</v>
      </c>
      <c r="I142" s="312">
        <f>Model!I187</f>
        <v>2.1439314706907715</v>
      </c>
      <c r="J142" s="313">
        <f>Model!J187</f>
        <v>2.1439314706907715</v>
      </c>
      <c r="K142" s="312">
        <f>Model!K187</f>
        <v>2.2544277472158862</v>
      </c>
      <c r="L142" s="312">
        <f>Model!L187</f>
        <v>2.2483987559889047</v>
      </c>
      <c r="M142" s="312">
        <f>Model!M187</f>
        <v>2.3000033963930306</v>
      </c>
      <c r="N142" s="312">
        <f>Model!N187</f>
        <v>2.3533592167454422</v>
      </c>
      <c r="O142" s="313">
        <f>Model!O187</f>
        <v>2.3533592167454422</v>
      </c>
      <c r="P142" s="312">
        <f>Model!P187</f>
        <v>2.5087139062633881</v>
      </c>
      <c r="Q142" s="312">
        <f>Model!Q187</f>
        <v>2.514704149482367</v>
      </c>
      <c r="R142" s="312">
        <f>Model!R187</f>
        <v>2.4642487217006726</v>
      </c>
      <c r="S142" s="312">
        <f>Model!S187</f>
        <v>2.4654088050314464</v>
      </c>
      <c r="T142" s="313">
        <f>Model!T187</f>
        <v>2.4654088050314464</v>
      </c>
      <c r="U142" s="314">
        <f>IF(Case_Scenario="Bull",U143,IF(Case_Scenario="Base",U144,IF(Case_Scenario="bear",U145,"N/A")))</f>
        <v>2.4929999999999999</v>
      </c>
      <c r="V142" s="314">
        <f>IF(Case_Scenario="Bull",V143,IF(Case_Scenario="Base",V144,IF(Case_Scenario="bear",V145,"N/A")))</f>
        <v>2.5</v>
      </c>
      <c r="W142" s="314">
        <f>IF(Case_Scenario="Bull",W143,IF(Case_Scenario="Base",W144,IF(Case_Scenario="bear",W145,"N/A")))</f>
        <v>2.5059999999999998</v>
      </c>
      <c r="X142" s="314">
        <f>IF(Case_Scenario="Bull",X143,IF(Case_Scenario="Base",X144,IF(Case_Scenario="bear",X145,"N/A")))</f>
        <v>2.5049999999999999</v>
      </c>
      <c r="Y142" s="313">
        <f>Model!Y187</f>
        <v>2.5049999999999999</v>
      </c>
      <c r="Z142" s="314">
        <f>IF(Case_Scenario="Bull",Z143,IF(Case_Scenario="Base",Z144,IF(Case_Scenario="bear",Z145,"N/A")))</f>
        <v>2.5099999999999998</v>
      </c>
      <c r="AA142" s="314">
        <f>IF(Case_Scenario="Bull",AA143,IF(Case_Scenario="Base",AA144,IF(Case_Scenario="bear",AA145,"N/A")))</f>
        <v>2.516</v>
      </c>
      <c r="AB142" s="314">
        <f>IF(Case_Scenario="Bull",AB143,IF(Case_Scenario="Base",AB144,IF(Case_Scenario="bear",AB145,"N/A")))</f>
        <v>2.5219999999999998</v>
      </c>
      <c r="AC142" s="314">
        <f>IF(Case_Scenario="Bull",AC143,IF(Case_Scenario="Base",AC144,IF(Case_Scenario="bear",AC145,"N/A")))</f>
        <v>2.52</v>
      </c>
      <c r="AD142" s="313">
        <f>Model!AD187</f>
        <v>2.52</v>
      </c>
      <c r="AE142" s="313">
        <f>IF(Case_Scenario="Bull",AE143,IF(Case_Scenario="Base",AE144,IF(Case_Scenario="bear",AE145,"N/A")))</f>
        <v>2.5299999999999998</v>
      </c>
      <c r="AF142" s="313">
        <f>IF(Case_Scenario="Bull",AF143,IF(Case_Scenario="Base",AF144,IF(Case_Scenario="bear",AF145,"N/A")))</f>
        <v>2.54</v>
      </c>
      <c r="AG142" s="313">
        <f>IF(Case_Scenario="Bull",AG143,IF(Case_Scenario="Base",AG144,IF(Case_Scenario="bear",AG145,"N/A")))</f>
        <v>2.5499999999999998</v>
      </c>
      <c r="AH142" s="9"/>
      <c r="AI142" s="9"/>
    </row>
    <row r="143" spans="1:35" ht="12.75" customHeight="1" x14ac:dyDescent="0.25">
      <c r="A143" s="9"/>
      <c r="B143" s="9"/>
      <c r="C143" s="103" t="s">
        <v>246</v>
      </c>
      <c r="D143" s="9"/>
      <c r="E143" s="9"/>
      <c r="F143" s="312"/>
      <c r="G143" s="312"/>
      <c r="H143" s="312"/>
      <c r="I143" s="312"/>
      <c r="J143" s="313"/>
      <c r="K143" s="312"/>
      <c r="L143" s="312"/>
      <c r="M143" s="312"/>
      <c r="N143" s="312"/>
      <c r="O143" s="313"/>
      <c r="P143" s="312"/>
      <c r="Q143" s="312"/>
      <c r="R143" s="312"/>
      <c r="S143" s="312"/>
      <c r="T143" s="313"/>
      <c r="U143" s="255">
        <f>+U144+0.005</f>
        <v>2.4979999999999998</v>
      </c>
      <c r="V143" s="255">
        <f t="shared" ref="V143:X143" si="103">+V144+0.005</f>
        <v>2.5049999999999999</v>
      </c>
      <c r="W143" s="255">
        <f t="shared" si="103"/>
        <v>2.5109999999999997</v>
      </c>
      <c r="X143" s="255">
        <f t="shared" si="103"/>
        <v>2.5099999999999998</v>
      </c>
      <c r="Y143" s="313"/>
      <c r="Z143" s="255">
        <f>+Z144+0.005</f>
        <v>2.5149999999999997</v>
      </c>
      <c r="AA143" s="255">
        <f t="shared" ref="AA143" si="104">+AA144+0.005</f>
        <v>2.5209999999999999</v>
      </c>
      <c r="AB143" s="255">
        <f t="shared" ref="AB143" si="105">+AB144+0.005</f>
        <v>2.5269999999999997</v>
      </c>
      <c r="AC143" s="255">
        <f t="shared" ref="AC143" si="106">+AC144+0.005</f>
        <v>2.5249999999999999</v>
      </c>
      <c r="AD143" s="313"/>
      <c r="AE143" s="256">
        <v>2.4932688956194684</v>
      </c>
      <c r="AF143" s="256">
        <v>2.4932688956194684</v>
      </c>
      <c r="AG143" s="256">
        <v>2.4932688956194684</v>
      </c>
      <c r="AH143" s="9"/>
      <c r="AI143" s="9"/>
    </row>
    <row r="144" spans="1:35" ht="12.75" customHeight="1" x14ac:dyDescent="0.25">
      <c r="A144" s="9"/>
      <c r="B144" s="9"/>
      <c r="C144" s="103" t="s">
        <v>247</v>
      </c>
      <c r="D144" s="9"/>
      <c r="E144" s="9"/>
      <c r="F144" s="312"/>
      <c r="G144" s="312"/>
      <c r="H144" s="312"/>
      <c r="I144" s="312"/>
      <c r="J144" s="313"/>
      <c r="K144" s="312"/>
      <c r="L144" s="312"/>
      <c r="M144" s="312"/>
      <c r="N144" s="312"/>
      <c r="O144" s="313"/>
      <c r="P144" s="312"/>
      <c r="Q144" s="312"/>
      <c r="R144" s="312"/>
      <c r="S144" s="312"/>
      <c r="T144" s="313"/>
      <c r="U144" s="255">
        <v>2.4929999999999999</v>
      </c>
      <c r="V144" s="255">
        <v>2.5</v>
      </c>
      <c r="W144" s="255">
        <v>2.5059999999999998</v>
      </c>
      <c r="X144" s="255">
        <v>2.5049999999999999</v>
      </c>
      <c r="Y144" s="313"/>
      <c r="Z144" s="255">
        <v>2.5099999999999998</v>
      </c>
      <c r="AA144" s="255">
        <v>2.516</v>
      </c>
      <c r="AB144" s="255">
        <v>2.5219999999999998</v>
      </c>
      <c r="AC144" s="255">
        <v>2.52</v>
      </c>
      <c r="AD144" s="313"/>
      <c r="AE144" s="256">
        <v>2.5299999999999998</v>
      </c>
      <c r="AF144" s="256">
        <v>2.54</v>
      </c>
      <c r="AG144" s="256">
        <v>2.5499999999999998</v>
      </c>
      <c r="AH144" s="9"/>
      <c r="AI144" s="9"/>
    </row>
    <row r="145" spans="1:35" ht="12.75" customHeight="1" x14ac:dyDescent="0.25">
      <c r="A145" s="205" t="s">
        <v>0</v>
      </c>
      <c r="B145" s="205" t="s">
        <v>0</v>
      </c>
      <c r="C145" s="103" t="s">
        <v>248</v>
      </c>
      <c r="D145" s="9"/>
      <c r="E145" s="9"/>
      <c r="F145" s="312"/>
      <c r="G145" s="312"/>
      <c r="H145" s="312"/>
      <c r="I145" s="312"/>
      <c r="J145" s="313"/>
      <c r="K145" s="312"/>
      <c r="L145" s="312"/>
      <c r="M145" s="312"/>
      <c r="N145" s="312"/>
      <c r="O145" s="313"/>
      <c r="P145" s="312"/>
      <c r="Q145" s="312"/>
      <c r="R145" s="312"/>
      <c r="S145" s="312"/>
      <c r="T145" s="313"/>
      <c r="U145" s="255">
        <f>+U144-0.005</f>
        <v>2.488</v>
      </c>
      <c r="V145" s="255">
        <f t="shared" ref="V145:X145" si="107">+V144-0.005</f>
        <v>2.4950000000000001</v>
      </c>
      <c r="W145" s="255">
        <f t="shared" si="107"/>
        <v>2.5009999999999999</v>
      </c>
      <c r="X145" s="255">
        <f t="shared" si="107"/>
        <v>2.5</v>
      </c>
      <c r="Y145" s="313"/>
      <c r="Z145" s="255">
        <f>+Z144-0.005</f>
        <v>2.5049999999999999</v>
      </c>
      <c r="AA145" s="255">
        <f t="shared" ref="AA145" si="108">+AA144-0.005</f>
        <v>2.5110000000000001</v>
      </c>
      <c r="AB145" s="255">
        <f t="shared" ref="AB145" si="109">+AB144-0.005</f>
        <v>2.5169999999999999</v>
      </c>
      <c r="AC145" s="255">
        <f t="shared" ref="AC145" si="110">+AC144-0.005</f>
        <v>2.5150000000000001</v>
      </c>
      <c r="AD145" s="313"/>
      <c r="AE145" s="256">
        <v>2.4832688956194686</v>
      </c>
      <c r="AF145" s="256">
        <v>2.4832688956194686</v>
      </c>
      <c r="AG145" s="256">
        <v>2.4832688956194686</v>
      </c>
      <c r="AH145" s="205">
        <v>2.4832688956194686</v>
      </c>
      <c r="AI145" s="205"/>
    </row>
    <row r="146" spans="1:35" ht="12.75" customHeight="1" x14ac:dyDescent="0.25">
      <c r="A146" s="9"/>
      <c r="B146" s="9"/>
      <c r="C146" s="9"/>
      <c r="D146" s="9"/>
      <c r="E146" s="9"/>
      <c r="F146" s="312"/>
      <c r="G146" s="312"/>
      <c r="H146" s="312"/>
      <c r="I146" s="312"/>
      <c r="J146" s="313"/>
      <c r="K146" s="312"/>
      <c r="L146" s="312"/>
      <c r="M146" s="312"/>
      <c r="N146" s="312"/>
      <c r="O146" s="313"/>
      <c r="P146" s="312"/>
      <c r="Q146" s="312"/>
      <c r="R146" s="312"/>
      <c r="S146" s="312"/>
      <c r="T146" s="313"/>
      <c r="U146" s="255"/>
      <c r="V146" s="255"/>
      <c r="W146" s="255"/>
      <c r="X146" s="255"/>
      <c r="Y146" s="313"/>
      <c r="Z146" s="255"/>
      <c r="AA146" s="255"/>
      <c r="AB146" s="255"/>
      <c r="AC146" s="255"/>
      <c r="AD146" s="313"/>
      <c r="AE146" s="256"/>
      <c r="AF146" s="256"/>
      <c r="AG146" s="256"/>
      <c r="AH146" s="9"/>
      <c r="AI146" s="9"/>
    </row>
    <row r="147" spans="1:35" ht="12.75" hidden="1" customHeight="1" outlineLevel="1" x14ac:dyDescent="0.25">
      <c r="A147" s="9" t="s">
        <v>846</v>
      </c>
      <c r="B147" s="9"/>
      <c r="C147" s="9" t="str">
        <f>Model!C188</f>
        <v>Other Current Liabilities as a % of COGS</v>
      </c>
      <c r="D147" s="9"/>
      <c r="E147" s="9"/>
      <c r="F147" s="312">
        <f>Model!F188</f>
        <v>0</v>
      </c>
      <c r="G147" s="312">
        <f>Model!G188</f>
        <v>0</v>
      </c>
      <c r="H147" s="312">
        <f>Model!H188</f>
        <v>0</v>
      </c>
      <c r="I147" s="312">
        <f>Model!I188</f>
        <v>0</v>
      </c>
      <c r="J147" s="313">
        <f>Model!J188</f>
        <v>0</v>
      </c>
      <c r="K147" s="312">
        <f>Model!K188</f>
        <v>0</v>
      </c>
      <c r="L147" s="312">
        <f>Model!L188</f>
        <v>0</v>
      </c>
      <c r="M147" s="312">
        <f>Model!M188</f>
        <v>0</v>
      </c>
      <c r="N147" s="312">
        <f>Model!N188</f>
        <v>0</v>
      </c>
      <c r="O147" s="313">
        <f>Model!O188</f>
        <v>0</v>
      </c>
      <c r="P147" s="312">
        <f>Model!P188</f>
        <v>0</v>
      </c>
      <c r="Q147" s="312">
        <f>Model!Q188</f>
        <v>0</v>
      </c>
      <c r="R147" s="312">
        <f>Model!R188</f>
        <v>0</v>
      </c>
      <c r="S147" s="312">
        <f>Model!S188</f>
        <v>0</v>
      </c>
      <c r="T147" s="313">
        <f>Model!T188</f>
        <v>0</v>
      </c>
      <c r="U147" s="314">
        <f>IF(Case_Scenario="Bull",U148,IF(Case_Scenario="Base",U149,IF(Case_Scenario="bear",U150,"N/A")))</f>
        <v>0</v>
      </c>
      <c r="V147" s="314">
        <f>IF(Case_Scenario="Bull",V148,IF(Case_Scenario="Base",V149,IF(Case_Scenario="bear",V150,"N/A")))</f>
        <v>0</v>
      </c>
      <c r="W147" s="314">
        <f>IF(Case_Scenario="Bull",W148,IF(Case_Scenario="Base",W149,IF(Case_Scenario="bear",W150,"N/A")))</f>
        <v>0</v>
      </c>
      <c r="X147" s="314">
        <f>IF(Case_Scenario="Bull",X148,IF(Case_Scenario="Base",X149,IF(Case_Scenario="bear",X150,"N/A")))</f>
        <v>0</v>
      </c>
      <c r="Y147" s="313">
        <f>Model!Y188</f>
        <v>0</v>
      </c>
      <c r="Z147" s="314">
        <f>IF(Case_Scenario="Bull",Z148,IF(Case_Scenario="Base",Z149,IF(Case_Scenario="bear",Z150,"N/A")))</f>
        <v>0</v>
      </c>
      <c r="AA147" s="314">
        <f>IF(Case_Scenario="Bull",AA148,IF(Case_Scenario="Base",AA149,IF(Case_Scenario="bear",AA150,"N/A")))</f>
        <v>0</v>
      </c>
      <c r="AB147" s="314">
        <f>IF(Case_Scenario="Bull",AB148,IF(Case_Scenario="Base",AB149,IF(Case_Scenario="bear",AB150,"N/A")))</f>
        <v>0</v>
      </c>
      <c r="AC147" s="314">
        <f>IF(Case_Scenario="Bull",AC148,IF(Case_Scenario="Base",AC149,IF(Case_Scenario="bear",AC150,"N/A")))</f>
        <v>0</v>
      </c>
      <c r="AD147" s="313">
        <f>Model!AD188</f>
        <v>0</v>
      </c>
      <c r="AE147" s="313">
        <f>IF(Case_Scenario="Bull",AE148,IF(Case_Scenario="Base",AE149,IF(Case_Scenario="bear",AE150,"N/A")))</f>
        <v>0</v>
      </c>
      <c r="AF147" s="313">
        <f>IF(Case_Scenario="Bull",AF148,IF(Case_Scenario="Base",AF149,IF(Case_Scenario="bear",AF150,"N/A")))</f>
        <v>0</v>
      </c>
      <c r="AG147" s="313">
        <f>IF(Case_Scenario="Bull",AG148,IF(Case_Scenario="Base",AG149,IF(Case_Scenario="bear",AG150,"N/A")))</f>
        <v>0</v>
      </c>
      <c r="AH147" s="9"/>
      <c r="AI147" s="9"/>
    </row>
    <row r="148" spans="1:35" ht="12.75" hidden="1" customHeight="1" outlineLevel="1" x14ac:dyDescent="0.25">
      <c r="A148" s="205" t="s">
        <v>0</v>
      </c>
      <c r="B148" s="205" t="s">
        <v>0</v>
      </c>
      <c r="C148" s="103" t="s">
        <v>246</v>
      </c>
      <c r="D148" s="9"/>
      <c r="E148" s="9"/>
      <c r="F148" s="312"/>
      <c r="G148" s="312"/>
      <c r="H148" s="312"/>
      <c r="I148" s="312"/>
      <c r="J148" s="313"/>
      <c r="K148" s="312"/>
      <c r="L148" s="312"/>
      <c r="M148" s="312"/>
      <c r="N148" s="312"/>
      <c r="O148" s="313"/>
      <c r="P148" s="312"/>
      <c r="Q148" s="312"/>
      <c r="R148" s="312"/>
      <c r="S148" s="312"/>
      <c r="T148" s="313"/>
      <c r="U148" s="255">
        <v>0</v>
      </c>
      <c r="V148" s="255">
        <v>0</v>
      </c>
      <c r="W148" s="255">
        <v>0</v>
      </c>
      <c r="X148" s="255">
        <v>0</v>
      </c>
      <c r="Y148" s="313"/>
      <c r="Z148" s="255">
        <v>0</v>
      </c>
      <c r="AA148" s="255">
        <v>0</v>
      </c>
      <c r="AB148" s="255">
        <v>0</v>
      </c>
      <c r="AC148" s="255">
        <v>0</v>
      </c>
      <c r="AD148" s="313"/>
      <c r="AE148" s="256">
        <v>0</v>
      </c>
      <c r="AF148" s="256">
        <v>0</v>
      </c>
      <c r="AG148" s="256">
        <v>0</v>
      </c>
      <c r="AH148" s="9"/>
      <c r="AI148" s="9"/>
    </row>
    <row r="149" spans="1:35" ht="12.75" hidden="1" customHeight="1" outlineLevel="1" x14ac:dyDescent="0.25">
      <c r="A149" s="9"/>
      <c r="B149" s="9"/>
      <c r="C149" s="103" t="s">
        <v>247</v>
      </c>
      <c r="D149" s="9"/>
      <c r="E149" s="9"/>
      <c r="F149" s="312"/>
      <c r="G149" s="312"/>
      <c r="H149" s="312"/>
      <c r="I149" s="312"/>
      <c r="J149" s="313"/>
      <c r="K149" s="312"/>
      <c r="L149" s="312"/>
      <c r="M149" s="312"/>
      <c r="N149" s="312"/>
      <c r="O149" s="313"/>
      <c r="P149" s="312"/>
      <c r="Q149" s="312"/>
      <c r="R149" s="312"/>
      <c r="S149" s="312"/>
      <c r="T149" s="313"/>
      <c r="U149" s="255">
        <v>0</v>
      </c>
      <c r="V149" s="255">
        <v>0</v>
      </c>
      <c r="W149" s="255">
        <v>0</v>
      </c>
      <c r="X149" s="255">
        <v>0</v>
      </c>
      <c r="Y149" s="313"/>
      <c r="Z149" s="255">
        <v>0</v>
      </c>
      <c r="AA149" s="255">
        <v>0</v>
      </c>
      <c r="AB149" s="255">
        <v>0</v>
      </c>
      <c r="AC149" s="255">
        <v>0</v>
      </c>
      <c r="AD149" s="313"/>
      <c r="AE149" s="256">
        <v>0</v>
      </c>
      <c r="AF149" s="256">
        <v>0</v>
      </c>
      <c r="AG149" s="256">
        <v>0</v>
      </c>
      <c r="AH149" s="9"/>
      <c r="AI149" s="9"/>
    </row>
    <row r="150" spans="1:35" ht="12.75" hidden="1" customHeight="1" outlineLevel="1" x14ac:dyDescent="0.25">
      <c r="A150" s="9"/>
      <c r="B150" s="9"/>
      <c r="C150" s="103" t="s">
        <v>248</v>
      </c>
      <c r="D150" s="9"/>
      <c r="E150" s="9"/>
      <c r="F150" s="312"/>
      <c r="G150" s="312"/>
      <c r="H150" s="312"/>
      <c r="I150" s="312"/>
      <c r="J150" s="313"/>
      <c r="K150" s="312"/>
      <c r="L150" s="312"/>
      <c r="M150" s="312"/>
      <c r="N150" s="312"/>
      <c r="O150" s="313"/>
      <c r="P150" s="312"/>
      <c r="Q150" s="312"/>
      <c r="R150" s="312"/>
      <c r="S150" s="312"/>
      <c r="T150" s="313"/>
      <c r="U150" s="255">
        <v>0</v>
      </c>
      <c r="V150" s="255">
        <v>0</v>
      </c>
      <c r="W150" s="255">
        <v>0</v>
      </c>
      <c r="X150" s="255">
        <v>0</v>
      </c>
      <c r="Y150" s="313"/>
      <c r="Z150" s="255">
        <v>0</v>
      </c>
      <c r="AA150" s="255">
        <v>0</v>
      </c>
      <c r="AB150" s="255">
        <v>0</v>
      </c>
      <c r="AC150" s="255">
        <v>0</v>
      </c>
      <c r="AD150" s="313"/>
      <c r="AE150" s="256">
        <v>0</v>
      </c>
      <c r="AF150" s="256">
        <v>0</v>
      </c>
      <c r="AG150" s="256">
        <v>0</v>
      </c>
      <c r="AH150" s="9"/>
      <c r="AI150" s="9"/>
    </row>
    <row r="151" spans="1:35" ht="12.75" hidden="1" customHeight="1" outlineLevel="1" x14ac:dyDescent="0.25">
      <c r="A151" s="9"/>
      <c r="B151" s="9"/>
      <c r="C151" s="103"/>
      <c r="D151" s="9"/>
      <c r="E151" s="9"/>
      <c r="F151" s="312"/>
      <c r="G151" s="312"/>
      <c r="H151" s="312"/>
      <c r="I151" s="312"/>
      <c r="J151" s="313"/>
      <c r="K151" s="312"/>
      <c r="L151" s="312"/>
      <c r="M151" s="312"/>
      <c r="N151" s="312"/>
      <c r="O151" s="313"/>
      <c r="P151" s="312"/>
      <c r="Q151" s="312"/>
      <c r="R151" s="312"/>
      <c r="S151" s="312"/>
      <c r="T151" s="313"/>
      <c r="U151" s="255"/>
      <c r="V151" s="255"/>
      <c r="W151" s="255"/>
      <c r="X151" s="255"/>
      <c r="Y151" s="313"/>
      <c r="Z151" s="255"/>
      <c r="AA151" s="255"/>
      <c r="AB151" s="255"/>
      <c r="AC151" s="255"/>
      <c r="AD151" s="313"/>
      <c r="AE151" s="256"/>
      <c r="AF151" s="256"/>
      <c r="AG151" s="256"/>
      <c r="AH151" s="9"/>
      <c r="AI151" s="9"/>
    </row>
    <row r="152" spans="1:35" ht="12.75" customHeight="1" collapsed="1" x14ac:dyDescent="0.25">
      <c r="A152" s="9"/>
      <c r="B152" s="9"/>
      <c r="C152" s="445" t="s">
        <v>454</v>
      </c>
      <c r="D152" s="446"/>
      <c r="E152" s="446"/>
      <c r="F152" s="447"/>
      <c r="G152" s="448"/>
      <c r="H152" s="448"/>
      <c r="I152" s="448"/>
      <c r="J152" s="448"/>
      <c r="K152" s="448"/>
      <c r="L152" s="448"/>
      <c r="M152" s="448"/>
      <c r="N152" s="448"/>
      <c r="O152" s="448"/>
      <c r="P152" s="448"/>
      <c r="Q152" s="448"/>
      <c r="R152" s="448"/>
      <c r="S152" s="448"/>
      <c r="T152" s="448"/>
      <c r="U152" s="448"/>
      <c r="V152" s="448"/>
      <c r="W152" s="448"/>
      <c r="X152" s="448"/>
      <c r="Y152" s="448"/>
      <c r="Z152" s="448"/>
      <c r="AA152" s="448"/>
      <c r="AB152" s="448"/>
      <c r="AC152" s="448"/>
      <c r="AD152" s="448"/>
      <c r="AE152" s="448"/>
      <c r="AF152" s="448"/>
      <c r="AG152" s="449"/>
      <c r="AH152" s="9"/>
      <c r="AI152" s="9"/>
    </row>
    <row r="153" spans="1:35" ht="12.75" customHeight="1" x14ac:dyDescent="0.25">
      <c r="A153" s="9"/>
      <c r="B153" s="9"/>
      <c r="C153" s="9"/>
      <c r="D153" s="9"/>
      <c r="E153" s="9"/>
      <c r="F153" s="312"/>
      <c r="G153" s="312"/>
      <c r="H153" s="312"/>
      <c r="I153" s="312"/>
      <c r="J153" s="313"/>
      <c r="K153" s="312"/>
      <c r="L153" s="312"/>
      <c r="M153" s="312"/>
      <c r="N153" s="312"/>
      <c r="O153" s="313"/>
      <c r="P153" s="312"/>
      <c r="Q153" s="312"/>
      <c r="R153" s="312"/>
      <c r="S153" s="312"/>
      <c r="T153" s="313"/>
      <c r="U153" s="314"/>
      <c r="V153" s="314"/>
      <c r="W153" s="314"/>
      <c r="X153" s="314"/>
      <c r="Y153" s="313"/>
      <c r="Z153" s="314"/>
      <c r="AA153" s="314"/>
      <c r="AB153" s="314"/>
      <c r="AC153" s="314"/>
      <c r="AD153" s="313"/>
      <c r="AE153" s="132"/>
      <c r="AF153" s="132"/>
      <c r="AG153" s="132"/>
      <c r="AH153" s="9"/>
      <c r="AI153" s="9"/>
    </row>
    <row r="154" spans="1:35" ht="12.75" customHeight="1" x14ac:dyDescent="0.25">
      <c r="A154" s="9"/>
      <c r="B154" s="9"/>
      <c r="C154" s="9" t="str">
        <f>Model!C308</f>
        <v>Issuance of Debt</v>
      </c>
      <c r="D154" s="9"/>
      <c r="E154" s="9"/>
      <c r="F154" s="288">
        <f>Model!F308</f>
        <v>0</v>
      </c>
      <c r="G154" s="288">
        <f>Model!G308</f>
        <v>5587</v>
      </c>
      <c r="H154" s="288">
        <f>Model!H308</f>
        <v>0</v>
      </c>
      <c r="I154" s="288">
        <f>Model!I308</f>
        <v>1419</v>
      </c>
      <c r="J154" s="222">
        <f>+SUM(F154:I154)</f>
        <v>7006</v>
      </c>
      <c r="K154" s="288">
        <f>Model!K308</f>
        <v>960</v>
      </c>
      <c r="L154" s="288">
        <f>Model!L308</f>
        <v>2695</v>
      </c>
      <c r="M154" s="288">
        <f>Model!M308</f>
        <v>2025</v>
      </c>
      <c r="N154" s="288">
        <f>Model!N308</f>
        <v>0</v>
      </c>
      <c r="O154" s="222">
        <f>+SUM(K154:N154)</f>
        <v>5680</v>
      </c>
      <c r="P154" s="288">
        <f>Model!P308</f>
        <v>1521</v>
      </c>
      <c r="Q154" s="288">
        <f>Model!Q308</f>
        <v>6966</v>
      </c>
      <c r="R154" s="288">
        <f>Model!R308</f>
        <v>0</v>
      </c>
      <c r="S154" s="288">
        <f>Model!S308</f>
        <v>0</v>
      </c>
      <c r="T154" s="222">
        <f>+SUM(P154:S154)</f>
        <v>8487</v>
      </c>
      <c r="U154" s="458">
        <f>IF(Case_Scenario="Bull",U155,IF(Case_Scenario="Base",U156,IF(Case_Scenario="bear",U157,"N/A")))</f>
        <v>1200</v>
      </c>
      <c r="V154" s="458">
        <f>IF(Case_Scenario="Bull",V155,IF(Case_Scenario="Base",V156,IF(Case_Scenario="bear",V157,"N/A")))</f>
        <v>3200</v>
      </c>
      <c r="W154" s="458">
        <f>IF(Case_Scenario="Bull",W155,IF(Case_Scenario="Base",W156,IF(Case_Scenario="bear",W157,"N/A")))</f>
        <v>3000</v>
      </c>
      <c r="X154" s="458">
        <f>IF(Case_Scenario="Bull",X155,IF(Case_Scenario="Base",X156,IF(Case_Scenario="bear",X157,"N/A")))</f>
        <v>0</v>
      </c>
      <c r="Y154" s="222">
        <f>SUM(U154:X154)</f>
        <v>7400</v>
      </c>
      <c r="Z154" s="458">
        <f>IF(Case_Scenario="Bull",Z155,IF(Case_Scenario="Base",Z156,IF(Case_Scenario="bear",Z157,"N/A")))</f>
        <v>1200</v>
      </c>
      <c r="AA154" s="458">
        <f>IF(Case_Scenario="Bull",AA155,IF(Case_Scenario="Base",AA156,IF(Case_Scenario="bear",AA157,"N/A")))</f>
        <v>3500</v>
      </c>
      <c r="AB154" s="458">
        <f>IF(Case_Scenario="Bull",AB155,IF(Case_Scenario="Base",AB156,IF(Case_Scenario="bear",AB157,"N/A")))</f>
        <v>0</v>
      </c>
      <c r="AC154" s="458">
        <f>IF(Case_Scenario="Bull",AC155,IF(Case_Scenario="Base",AC156,IF(Case_Scenario="bear",AC157,"N/A")))</f>
        <v>0</v>
      </c>
      <c r="AD154" s="222">
        <f>SUM(Z154:AC154)</f>
        <v>4700</v>
      </c>
      <c r="AE154" s="459">
        <f>IF(Case_Scenario="Bull",AE155,IF(Case_Scenario="Base",AE156,IF(Case_Scenario="bear",AE157,"N/A")))</f>
        <v>6000</v>
      </c>
      <c r="AF154" s="459">
        <f>IF(Case_Scenario="Bull",AF155,IF(Case_Scenario="Base",AF156,IF(Case_Scenario="bear",AF157,"N/A")))</f>
        <v>6200</v>
      </c>
      <c r="AG154" s="459">
        <f>IF(Case_Scenario="Bull",AG155,IF(Case_Scenario="Base",AG156,IF(Case_Scenario="bear",AG157,"N/A")))</f>
        <v>6000</v>
      </c>
      <c r="AH154" s="9"/>
      <c r="AI154" s="9"/>
    </row>
    <row r="155" spans="1:35" ht="12.75" customHeight="1" x14ac:dyDescent="0.25">
      <c r="A155" s="9"/>
      <c r="B155" s="9"/>
      <c r="C155" s="103" t="s">
        <v>246</v>
      </c>
      <c r="D155" s="9"/>
      <c r="E155" s="9"/>
      <c r="F155" s="312"/>
      <c r="G155" s="312"/>
      <c r="H155" s="312"/>
      <c r="I155" s="312"/>
      <c r="J155" s="313"/>
      <c r="K155" s="312"/>
      <c r="L155" s="312"/>
      <c r="M155" s="312"/>
      <c r="N155" s="312"/>
      <c r="O155" s="313"/>
      <c r="P155" s="312"/>
      <c r="Q155" s="312"/>
      <c r="R155" s="312"/>
      <c r="S155" s="312"/>
      <c r="T155" s="313"/>
      <c r="U155" s="460">
        <f t="shared" ref="U155:W155" si="111">+U156-500</f>
        <v>700</v>
      </c>
      <c r="V155" s="460">
        <f t="shared" si="111"/>
        <v>2700</v>
      </c>
      <c r="W155" s="460">
        <f t="shared" si="111"/>
        <v>2500</v>
      </c>
      <c r="X155" s="460">
        <v>0</v>
      </c>
      <c r="Y155" s="313"/>
      <c r="Z155" s="460">
        <f>+Z156-500</f>
        <v>700</v>
      </c>
      <c r="AA155" s="460">
        <f t="shared" ref="AA155" si="112">+AA156-500</f>
        <v>3000</v>
      </c>
      <c r="AB155" s="460">
        <v>0</v>
      </c>
      <c r="AC155" s="460">
        <v>0</v>
      </c>
      <c r="AD155" s="313"/>
      <c r="AE155" s="461">
        <f>+AE156-1000</f>
        <v>5000</v>
      </c>
      <c r="AF155" s="461">
        <f t="shared" ref="AF155:AG155" si="113">+AF156-1000</f>
        <v>5200</v>
      </c>
      <c r="AG155" s="461">
        <f t="shared" si="113"/>
        <v>5000</v>
      </c>
      <c r="AH155" s="9"/>
      <c r="AI155" s="9"/>
    </row>
    <row r="156" spans="1:35" ht="12.75" customHeight="1" x14ac:dyDescent="0.25">
      <c r="A156" s="9"/>
      <c r="B156" s="9"/>
      <c r="C156" s="103" t="s">
        <v>247</v>
      </c>
      <c r="D156" s="9"/>
      <c r="E156" s="9"/>
      <c r="F156" s="312"/>
      <c r="G156" s="312"/>
      <c r="H156" s="312"/>
      <c r="I156" s="312"/>
      <c r="J156" s="313"/>
      <c r="K156" s="312"/>
      <c r="L156" s="312"/>
      <c r="M156" s="312"/>
      <c r="N156" s="312"/>
      <c r="O156" s="313"/>
      <c r="P156" s="312"/>
      <c r="Q156" s="312"/>
      <c r="R156" s="312"/>
      <c r="S156" s="312"/>
      <c r="T156" s="313"/>
      <c r="U156" s="460">
        <v>1200</v>
      </c>
      <c r="V156" s="460">
        <v>3200</v>
      </c>
      <c r="W156" s="460">
        <v>3000</v>
      </c>
      <c r="X156" s="460">
        <v>0</v>
      </c>
      <c r="Y156" s="313"/>
      <c r="Z156" s="460">
        <v>1200</v>
      </c>
      <c r="AA156" s="460">
        <v>3500</v>
      </c>
      <c r="AB156" s="460">
        <v>0</v>
      </c>
      <c r="AC156" s="460">
        <v>0</v>
      </c>
      <c r="AD156" s="313"/>
      <c r="AE156" s="461">
        <v>6000</v>
      </c>
      <c r="AF156" s="461">
        <v>6200</v>
      </c>
      <c r="AG156" s="461">
        <v>6000</v>
      </c>
      <c r="AH156" s="9"/>
      <c r="AI156" s="9"/>
    </row>
    <row r="157" spans="1:35" ht="12.75" customHeight="1" x14ac:dyDescent="0.25">
      <c r="A157" s="9"/>
      <c r="B157" s="9"/>
      <c r="C157" s="103" t="s">
        <v>248</v>
      </c>
      <c r="D157" s="9"/>
      <c r="E157" s="9"/>
      <c r="F157" s="312"/>
      <c r="G157" s="312"/>
      <c r="H157" s="312"/>
      <c r="I157" s="312"/>
      <c r="J157" s="313"/>
      <c r="K157" s="312"/>
      <c r="L157" s="312"/>
      <c r="M157" s="312"/>
      <c r="N157" s="312"/>
      <c r="O157" s="313"/>
      <c r="P157" s="312"/>
      <c r="Q157" s="312"/>
      <c r="R157" s="312"/>
      <c r="S157" s="312"/>
      <c r="T157" s="313"/>
      <c r="U157" s="460">
        <f t="shared" ref="U157:W157" si="114">+U158-500</f>
        <v>-500</v>
      </c>
      <c r="V157" s="460">
        <f t="shared" si="114"/>
        <v>-500</v>
      </c>
      <c r="W157" s="460">
        <f t="shared" si="114"/>
        <v>-500</v>
      </c>
      <c r="X157" s="460">
        <f>+X156+1000</f>
        <v>1000</v>
      </c>
      <c r="Y157" s="313"/>
      <c r="Z157" s="460">
        <f t="shared" ref="Z157:AC157" si="115">+Z156+1000</f>
        <v>2200</v>
      </c>
      <c r="AA157" s="460">
        <f t="shared" si="115"/>
        <v>4500</v>
      </c>
      <c r="AB157" s="460">
        <v>0</v>
      </c>
      <c r="AC157" s="460">
        <f t="shared" si="115"/>
        <v>1000</v>
      </c>
      <c r="AD157" s="313"/>
      <c r="AE157" s="461">
        <f>+AE156+2000</f>
        <v>8000</v>
      </c>
      <c r="AF157" s="461">
        <f>+AF156+1000</f>
        <v>7200</v>
      </c>
      <c r="AG157" s="461">
        <f>+AG156+1000</f>
        <v>7000</v>
      </c>
      <c r="AH157" s="9"/>
      <c r="AI157" s="9"/>
    </row>
    <row r="158" spans="1:35" ht="12.75" customHeight="1" x14ac:dyDescent="0.25">
      <c r="A158" s="9"/>
      <c r="B158" s="9"/>
      <c r="C158" s="103"/>
      <c r="D158" s="9"/>
      <c r="E158" s="9"/>
      <c r="F158" s="312"/>
      <c r="G158" s="312"/>
      <c r="H158" s="312"/>
      <c r="I158" s="312"/>
      <c r="J158" s="313"/>
      <c r="K158" s="312"/>
      <c r="L158" s="312"/>
      <c r="M158" s="312"/>
      <c r="N158" s="312"/>
      <c r="O158" s="313"/>
      <c r="P158" s="312"/>
      <c r="Q158" s="312"/>
      <c r="R158" s="312"/>
      <c r="S158" s="312"/>
      <c r="T158" s="313"/>
      <c r="U158" s="460"/>
      <c r="V158" s="460"/>
      <c r="W158" s="460"/>
      <c r="X158" s="460"/>
      <c r="Y158" s="313"/>
      <c r="Z158" s="460"/>
      <c r="AA158" s="460"/>
      <c r="AB158" s="460"/>
      <c r="AC158" s="460"/>
      <c r="AD158" s="313"/>
      <c r="AE158" s="462"/>
      <c r="AF158" s="462"/>
      <c r="AG158" s="462"/>
      <c r="AH158" s="9"/>
      <c r="AI158" s="9"/>
    </row>
    <row r="159" spans="1:35" ht="12.75" customHeight="1" x14ac:dyDescent="0.25">
      <c r="A159" s="9"/>
      <c r="B159" s="9"/>
      <c r="C159" s="9" t="str">
        <f>Model!C309</f>
        <v>Repayment of Debt</v>
      </c>
      <c r="D159" s="9"/>
      <c r="E159" s="9"/>
      <c r="F159" s="288">
        <f>Model!F309</f>
        <v>-1435</v>
      </c>
      <c r="G159" s="288">
        <f>Model!G309</f>
        <v>0</v>
      </c>
      <c r="H159" s="288">
        <f>Model!H309</f>
        <v>-278</v>
      </c>
      <c r="I159" s="288">
        <f>Model!I309</f>
        <v>0</v>
      </c>
      <c r="J159" s="222">
        <f>Model!J309</f>
        <v>0</v>
      </c>
      <c r="K159" s="288">
        <f>Model!K309</f>
        <v>0</v>
      </c>
      <c r="L159" s="288">
        <f>Model!L309</f>
        <v>0</v>
      </c>
      <c r="M159" s="288">
        <f>Model!M309</f>
        <v>0</v>
      </c>
      <c r="N159" s="288">
        <f>Model!N309</f>
        <v>-3831</v>
      </c>
      <c r="O159" s="222">
        <f>Model!O309</f>
        <v>0</v>
      </c>
      <c r="P159" s="288">
        <f>Model!P309</f>
        <v>0</v>
      </c>
      <c r="Q159" s="288">
        <f>Model!Q309</f>
        <v>0</v>
      </c>
      <c r="R159" s="288">
        <f>Model!R309</f>
        <v>-415</v>
      </c>
      <c r="S159" s="288">
        <f>Model!S309</f>
        <v>-1400</v>
      </c>
      <c r="T159" s="222">
        <f>Model!T309</f>
        <v>0</v>
      </c>
      <c r="U159" s="226">
        <f>IF(Case_Scenario="Bull",U160,IF(Case_Scenario="Base",U161,IF(Case_Scenario="bear",U162,"N/A")))</f>
        <v>0</v>
      </c>
      <c r="V159" s="226">
        <f>IF(Case_Scenario="Bull",V160,IF(Case_Scenario="Base",V161,IF(Case_Scenario="bear",V162,"N/A")))</f>
        <v>0</v>
      </c>
      <c r="W159" s="226">
        <f>IF(Case_Scenario="Bull",W160,IF(Case_Scenario="Base",W161,IF(Case_Scenario="bear",W162,"N/A")))</f>
        <v>0</v>
      </c>
      <c r="X159" s="226">
        <f>IF(Case_Scenario="Bull",X160,IF(Case_Scenario="Base",X161,IF(Case_Scenario="bear",X162,"N/A")))</f>
        <v>-2500</v>
      </c>
      <c r="Y159" s="222">
        <f>SUM(U159:X159)</f>
        <v>-2500</v>
      </c>
      <c r="Z159" s="226">
        <f>IF(Case_Scenario="Bull",Z160,IF(Case_Scenario="Base",Z161,IF(Case_Scenario="bear",Z162,"N/A")))</f>
        <v>0</v>
      </c>
      <c r="AA159" s="226">
        <f>IF(Case_Scenario="Bull",AA160,IF(Case_Scenario="Base",AA161,IF(Case_Scenario="bear",AA162,"N/A")))</f>
        <v>0</v>
      </c>
      <c r="AB159" s="226">
        <f>IF(Case_Scenario="Bull",AB160,IF(Case_Scenario="Base",AB161,IF(Case_Scenario="bear",AB162,"N/A")))</f>
        <v>0</v>
      </c>
      <c r="AC159" s="226">
        <f>IF(Case_Scenario="Bull",AC160,IF(Case_Scenario="Base",AC161,IF(Case_Scenario="bear",AC162,"N/A")))</f>
        <v>-3500</v>
      </c>
      <c r="AD159" s="222">
        <f>SUM(Z159:AC159)</f>
        <v>-3500</v>
      </c>
      <c r="AE159" s="227">
        <f>IF(Case_Scenario="Bull",AE160,IF(Case_Scenario="Base",AE161,IF(Case_Scenario="bear",AE162,"N/A")))</f>
        <v>-2000</v>
      </c>
      <c r="AF159" s="227">
        <f>IF(Case_Scenario="Bull",AF160,IF(Case_Scenario="Base",AF161,IF(Case_Scenario="bear",AF162,"N/A")))</f>
        <v>-2000</v>
      </c>
      <c r="AG159" s="227">
        <f>IF(Case_Scenario="Bull",AG160,IF(Case_Scenario="Base",AG161,IF(Case_Scenario="bear",AG162,"N/A")))</f>
        <v>-2000</v>
      </c>
      <c r="AH159" s="9"/>
      <c r="AI159" s="9"/>
    </row>
    <row r="160" spans="1:35" ht="12.75" customHeight="1" x14ac:dyDescent="0.25">
      <c r="A160" s="9"/>
      <c r="B160" s="9"/>
      <c r="C160" s="103" t="s">
        <v>246</v>
      </c>
      <c r="D160" s="9"/>
      <c r="E160" s="9"/>
      <c r="F160" s="312"/>
      <c r="G160" s="312"/>
      <c r="H160" s="312"/>
      <c r="I160" s="312"/>
      <c r="J160" s="313"/>
      <c r="K160" s="312"/>
      <c r="L160" s="312"/>
      <c r="M160" s="312"/>
      <c r="N160" s="312"/>
      <c r="O160" s="313"/>
      <c r="P160" s="312"/>
      <c r="Q160" s="312"/>
      <c r="R160" s="312"/>
      <c r="S160" s="312"/>
      <c r="T160" s="313"/>
      <c r="U160" s="463">
        <v>-500</v>
      </c>
      <c r="V160" s="463">
        <v>-500</v>
      </c>
      <c r="W160" s="463">
        <v>-500</v>
      </c>
      <c r="X160" s="463">
        <v>-3000</v>
      </c>
      <c r="Y160" s="313"/>
      <c r="Z160" s="463">
        <v>-500</v>
      </c>
      <c r="AA160" s="463">
        <v>-500</v>
      </c>
      <c r="AB160" s="463">
        <v>-500</v>
      </c>
      <c r="AC160" s="463">
        <v>-4500</v>
      </c>
      <c r="AD160" s="313"/>
      <c r="AE160" s="464">
        <f>+AE161-1000</f>
        <v>-3000</v>
      </c>
      <c r="AF160" s="464">
        <f t="shared" ref="AF160:AG160" si="116">+AF161-1000</f>
        <v>-3000</v>
      </c>
      <c r="AG160" s="464">
        <f t="shared" si="116"/>
        <v>-3000</v>
      </c>
      <c r="AH160" s="9"/>
      <c r="AI160" s="9"/>
    </row>
    <row r="161" spans="1:35" ht="12.75" customHeight="1" x14ac:dyDescent="0.25">
      <c r="A161" s="9"/>
      <c r="B161" s="9"/>
      <c r="C161" s="103" t="s">
        <v>247</v>
      </c>
      <c r="D161" s="9"/>
      <c r="E161" s="9"/>
      <c r="F161" s="312"/>
      <c r="G161" s="312"/>
      <c r="H161" s="312"/>
      <c r="I161" s="312"/>
      <c r="J161" s="313"/>
      <c r="K161" s="312"/>
      <c r="L161" s="312"/>
      <c r="M161" s="312"/>
      <c r="N161" s="312"/>
      <c r="O161" s="313"/>
      <c r="P161" s="312"/>
      <c r="Q161" s="312"/>
      <c r="R161" s="312"/>
      <c r="S161" s="312"/>
      <c r="T161" s="313"/>
      <c r="U161" s="463">
        <v>0</v>
      </c>
      <c r="V161" s="463">
        <v>0</v>
      </c>
      <c r="W161" s="463">
        <v>0</v>
      </c>
      <c r="X161" s="463">
        <v>-2500</v>
      </c>
      <c r="Y161" s="313"/>
      <c r="Z161" s="463">
        <v>0</v>
      </c>
      <c r="AA161" s="463">
        <v>0</v>
      </c>
      <c r="AB161" s="463">
        <v>0</v>
      </c>
      <c r="AC161" s="463">
        <v>-3500</v>
      </c>
      <c r="AD161" s="313"/>
      <c r="AE161" s="464">
        <v>-2000</v>
      </c>
      <c r="AF161" s="464">
        <v>-2000</v>
      </c>
      <c r="AG161" s="464">
        <v>-2000</v>
      </c>
      <c r="AH161" s="9"/>
      <c r="AI161" s="9"/>
    </row>
    <row r="162" spans="1:35" ht="12.75" customHeight="1" x14ac:dyDescent="0.25">
      <c r="A162" s="9"/>
      <c r="B162" s="9"/>
      <c r="C162" s="103" t="s">
        <v>248</v>
      </c>
      <c r="D162" s="9"/>
      <c r="E162" s="9"/>
      <c r="F162" s="312"/>
      <c r="G162" s="312"/>
      <c r="H162" s="312"/>
      <c r="I162" s="312"/>
      <c r="J162" s="313"/>
      <c r="K162" s="312"/>
      <c r="L162" s="312"/>
      <c r="M162" s="312"/>
      <c r="N162" s="312"/>
      <c r="O162" s="313"/>
      <c r="P162" s="312"/>
      <c r="Q162" s="312"/>
      <c r="R162" s="312"/>
      <c r="S162" s="312"/>
      <c r="T162" s="313"/>
      <c r="U162" s="463">
        <v>0</v>
      </c>
      <c r="V162" s="463">
        <v>0</v>
      </c>
      <c r="W162" s="463">
        <v>0</v>
      </c>
      <c r="X162" s="463">
        <v>-2000</v>
      </c>
      <c r="Y162" s="313"/>
      <c r="Z162" s="463">
        <v>0</v>
      </c>
      <c r="AA162" s="463">
        <v>0</v>
      </c>
      <c r="AB162" s="463">
        <v>0</v>
      </c>
      <c r="AC162" s="463">
        <v>-3000</v>
      </c>
      <c r="AD162" s="313"/>
      <c r="AE162" s="464">
        <v>-1000</v>
      </c>
      <c r="AF162" s="464">
        <v>-1000</v>
      </c>
      <c r="AG162" s="464">
        <v>-1000</v>
      </c>
      <c r="AH162" s="9"/>
      <c r="AI162" s="9"/>
    </row>
    <row r="163" spans="1:35" ht="12.75" customHeight="1" x14ac:dyDescent="0.25">
      <c r="A163" s="9"/>
      <c r="B163" s="9"/>
      <c r="C163" s="103"/>
      <c r="D163" s="9"/>
      <c r="E163" s="9"/>
      <c r="F163" s="312"/>
      <c r="G163" s="312"/>
      <c r="H163" s="312"/>
      <c r="I163" s="312"/>
      <c r="J163" s="313"/>
      <c r="K163" s="312"/>
      <c r="L163" s="312"/>
      <c r="M163" s="312"/>
      <c r="N163" s="312"/>
      <c r="O163" s="313"/>
      <c r="P163" s="312"/>
      <c r="Q163" s="312"/>
      <c r="R163" s="312"/>
      <c r="S163" s="312"/>
      <c r="T163" s="313"/>
      <c r="U163" s="463"/>
      <c r="V163" s="463"/>
      <c r="W163" s="463"/>
      <c r="X163" s="463"/>
      <c r="Y163" s="313"/>
      <c r="Z163" s="463"/>
      <c r="AA163" s="463"/>
      <c r="AB163" s="463"/>
      <c r="AC163" s="463"/>
      <c r="AD163" s="313"/>
      <c r="AE163" s="464"/>
      <c r="AF163" s="464"/>
      <c r="AG163" s="464"/>
      <c r="AH163" s="9"/>
      <c r="AI163" s="9"/>
    </row>
    <row r="164" spans="1:35" ht="12.75" customHeight="1" x14ac:dyDescent="0.25">
      <c r="A164" s="9"/>
      <c r="B164" s="9"/>
      <c r="C164" s="285" t="s">
        <v>455</v>
      </c>
      <c r="D164" s="308"/>
      <c r="E164" s="308"/>
      <c r="F164" s="286" t="str">
        <f>Model!F$25</f>
        <v>1Q23</v>
      </c>
      <c r="G164" s="141" t="str">
        <f>Model!G$25</f>
        <v>2Q23</v>
      </c>
      <c r="H164" s="141" t="str">
        <f>Model!H$25</f>
        <v>3Q23</v>
      </c>
      <c r="I164" s="141" t="str">
        <f>Model!I$25</f>
        <v>4Q23</v>
      </c>
      <c r="J164" s="141">
        <f>Model!J$25</f>
        <v>2023</v>
      </c>
      <c r="K164" s="141" t="str">
        <f>Model!K$25</f>
        <v>1Q24</v>
      </c>
      <c r="L164" s="141" t="str">
        <f>Model!L$25</f>
        <v>2Q24</v>
      </c>
      <c r="M164" s="141" t="str">
        <f>Model!M$25</f>
        <v>3Q24</v>
      </c>
      <c r="N164" s="141" t="str">
        <f>Model!N$25</f>
        <v>4Q24</v>
      </c>
      <c r="O164" s="141">
        <f>Model!O$25</f>
        <v>2024</v>
      </c>
      <c r="P164" s="141" t="str">
        <f>Model!P$25</f>
        <v>1Q25</v>
      </c>
      <c r="Q164" s="141" t="str">
        <f>Model!Q$25</f>
        <v>2Q25</v>
      </c>
      <c r="R164" s="141" t="str">
        <f>Model!R$25</f>
        <v>3Q25</v>
      </c>
      <c r="S164" s="141" t="str">
        <f>Model!S$25</f>
        <v>4Q25</v>
      </c>
      <c r="T164" s="141">
        <f>Model!T$25</f>
        <v>2025</v>
      </c>
      <c r="U164" s="141" t="str">
        <f>Model!U$25</f>
        <v>1Q26</v>
      </c>
      <c r="V164" s="141" t="str">
        <f>Model!V$25</f>
        <v>2Q26e</v>
      </c>
      <c r="W164" s="141" t="str">
        <f>Model!W$25</f>
        <v>3Q26e</v>
      </c>
      <c r="X164" s="141" t="str">
        <f>Model!X$25</f>
        <v>4Q26e</v>
      </c>
      <c r="Y164" s="141" t="str">
        <f>Model!Y$25</f>
        <v>2026e</v>
      </c>
      <c r="Z164" s="141" t="str">
        <f>Model!Z$25</f>
        <v>1Q27e</v>
      </c>
      <c r="AA164" s="141" t="str">
        <f>Model!AA$25</f>
        <v>2Q27e</v>
      </c>
      <c r="AB164" s="141" t="str">
        <f>Model!AB$25</f>
        <v>3Q27e</v>
      </c>
      <c r="AC164" s="141" t="str">
        <f>Model!AC$25</f>
        <v>4Q27e</v>
      </c>
      <c r="AD164" s="141" t="str">
        <f>Model!AD$25</f>
        <v>2027e</v>
      </c>
      <c r="AE164" s="141" t="str">
        <f>Model!AE$25</f>
        <v>2028e</v>
      </c>
      <c r="AF164" s="141" t="str">
        <f>Model!AF$25</f>
        <v>2029e</v>
      </c>
      <c r="AG164" s="287" t="str">
        <f>Model!AG$25</f>
        <v>2030e</v>
      </c>
      <c r="AH164" s="9"/>
      <c r="AI164" s="9"/>
    </row>
    <row r="165" spans="1:35" ht="12.75" customHeight="1" x14ac:dyDescent="0.25">
      <c r="A165" s="9"/>
      <c r="B165" s="9"/>
      <c r="C165" s="445" t="s">
        <v>456</v>
      </c>
      <c r="D165" s="446"/>
      <c r="E165" s="446"/>
      <c r="F165" s="447"/>
      <c r="G165" s="448"/>
      <c r="H165" s="448"/>
      <c r="I165" s="448"/>
      <c r="J165" s="448"/>
      <c r="K165" s="448"/>
      <c r="L165" s="448"/>
      <c r="M165" s="448"/>
      <c r="N165" s="448"/>
      <c r="O165" s="448"/>
      <c r="P165" s="448"/>
      <c r="Q165" s="448"/>
      <c r="R165" s="448"/>
      <c r="S165" s="448"/>
      <c r="T165" s="448"/>
      <c r="U165" s="448"/>
      <c r="V165" s="448"/>
      <c r="W165" s="448"/>
      <c r="X165" s="448"/>
      <c r="Y165" s="448"/>
      <c r="Z165" s="448"/>
      <c r="AA165" s="448"/>
      <c r="AB165" s="448"/>
      <c r="AC165" s="448"/>
      <c r="AD165" s="448"/>
      <c r="AE165" s="448"/>
      <c r="AF165" s="448"/>
      <c r="AG165" s="449"/>
      <c r="AH165" s="9"/>
      <c r="AI165" s="9"/>
    </row>
    <row r="166" spans="1:35" ht="12.75" customHeight="1" x14ac:dyDescent="0.25">
      <c r="A166" s="9"/>
      <c r="B166" s="9"/>
      <c r="C166" s="103"/>
      <c r="D166" s="9"/>
      <c r="E166" s="9"/>
      <c r="F166" s="312"/>
      <c r="G166" s="312"/>
      <c r="H166" s="312"/>
      <c r="I166" s="312"/>
      <c r="J166" s="313"/>
      <c r="K166" s="312"/>
      <c r="L166" s="312"/>
      <c r="M166" s="312"/>
      <c r="N166" s="312"/>
      <c r="O166" s="313"/>
      <c r="P166" s="312"/>
      <c r="Q166" s="312"/>
      <c r="R166" s="312"/>
      <c r="S166" s="312"/>
      <c r="T166" s="313"/>
      <c r="U166" s="463"/>
      <c r="V166" s="463"/>
      <c r="W166" s="463"/>
      <c r="X166" s="463"/>
      <c r="Y166" s="313"/>
      <c r="Z166" s="463"/>
      <c r="AA166" s="463"/>
      <c r="AB166" s="463"/>
      <c r="AC166" s="463"/>
      <c r="AD166" s="313"/>
      <c r="AE166" s="464"/>
      <c r="AF166" s="464"/>
      <c r="AG166" s="464"/>
      <c r="AH166" s="9"/>
      <c r="AI166" s="9"/>
    </row>
    <row r="167" spans="1:35" ht="12.75" customHeight="1" x14ac:dyDescent="0.25">
      <c r="A167" s="9"/>
      <c r="B167" s="9"/>
      <c r="C167" s="9" t="str">
        <f>Model!C272</f>
        <v>Share Repurchase Guidance</v>
      </c>
      <c r="D167" s="9"/>
      <c r="E167" s="9"/>
      <c r="F167" s="288">
        <f>Model!F272</f>
        <v>140</v>
      </c>
      <c r="G167" s="288">
        <f>Model!G272</f>
        <v>108</v>
      </c>
      <c r="H167" s="288">
        <f>Model!H272</f>
        <v>93</v>
      </c>
      <c r="I167" s="288">
        <f>Model!I272</f>
        <v>109</v>
      </c>
      <c r="J167" s="222">
        <f>Model!J272</f>
        <v>450</v>
      </c>
      <c r="K167" s="288">
        <f>Model!K272</f>
        <v>176</v>
      </c>
      <c r="L167" s="288">
        <f>Model!L272</f>
        <v>104</v>
      </c>
      <c r="M167" s="288">
        <f>Model!M272</f>
        <v>113</v>
      </c>
      <c r="N167" s="288">
        <f>Model!N272</f>
        <v>111</v>
      </c>
      <c r="O167" s="222">
        <f>Model!O272</f>
        <v>504</v>
      </c>
      <c r="P167" s="288">
        <f>Model!P272</f>
        <v>158</v>
      </c>
      <c r="Q167" s="288">
        <f>Model!Q272</f>
        <v>127</v>
      </c>
      <c r="R167" s="288">
        <f>Model!R272</f>
        <v>125</v>
      </c>
      <c r="S167" s="288">
        <f>Model!S272</f>
        <v>141</v>
      </c>
      <c r="T167" s="222">
        <f>Model!T272</f>
        <v>551</v>
      </c>
      <c r="U167" s="458">
        <f>IF(Case_Scenario="Bull",U168,IF(Case_Scenario="Base",U169,IF(Case_Scenario="bear",U170,"N/A")))</f>
        <v>144.21250000000001</v>
      </c>
      <c r="V167" s="458">
        <f>IF(Case_Scenario="Bull",V168,IF(Case_Scenario="Base",V169,IF(Case_Scenario="bear",V170,"N/A")))</f>
        <v>144.21250000000001</v>
      </c>
      <c r="W167" s="458">
        <f>IF(Case_Scenario="Bull",W168,IF(Case_Scenario="Base",W169,IF(Case_Scenario="bear",W170,"N/A")))</f>
        <v>144.21250000000001</v>
      </c>
      <c r="X167" s="458">
        <f>IF(Case_Scenario="Bull",X168,IF(Case_Scenario="Base",X169,IF(Case_Scenario="bear",X170,"N/A")))</f>
        <v>144.21250000000001</v>
      </c>
      <c r="Y167" s="222">
        <f>SUM(U167:X167)</f>
        <v>576.85</v>
      </c>
      <c r="Z167" s="458">
        <f>IF(Case_Scenario="Bull",Z168,IF(Case_Scenario="Base",Z169,IF(Case_Scenario="bear",Z170,"N/A")))</f>
        <v>141.84888026861498</v>
      </c>
      <c r="AA167" s="458">
        <f>IF(Case_Scenario="Bull",AA168,IF(Case_Scenario="Base",AA169,IF(Case_Scenario="bear",AA170,"N/A")))</f>
        <v>141.84888026861498</v>
      </c>
      <c r="AB167" s="458">
        <f>IF(Case_Scenario="Bull",AB168,IF(Case_Scenario="Base",AB169,IF(Case_Scenario="bear",AB170,"N/A")))</f>
        <v>141.84888026861498</v>
      </c>
      <c r="AC167" s="458">
        <f>IF(Case_Scenario="Bull",AC168,IF(Case_Scenario="Base",AC169,IF(Case_Scenario="bear",AC170,"N/A")))</f>
        <v>141.84888026861498</v>
      </c>
      <c r="AD167" s="222">
        <f>SUM(Z167:AC167)</f>
        <v>567.39552107445991</v>
      </c>
      <c r="AE167" s="227">
        <f>IF(Case_Scenario="Bull",AE168,IF(Case_Scenario="Base",AE169,IF(Case_Scenario="bear",AE170,"N/A")))</f>
        <v>565.88144480616063</v>
      </c>
      <c r="AF167" s="227">
        <f>IF(Case_Scenario="Bull",AF168,IF(Case_Scenario="Base",AF169,IF(Case_Scenario="bear",AF170,"N/A")))</f>
        <v>564.37140880053721</v>
      </c>
      <c r="AG167" s="227">
        <f>IF(Case_Scenario="Bull",AG168,IF(Case_Scenario="Base",AG169,IF(Case_Scenario="bear",AG170,"N/A")))</f>
        <v>562.86540227628166</v>
      </c>
      <c r="AH167" s="9"/>
      <c r="AI167" s="9"/>
    </row>
    <row r="168" spans="1:35" ht="12.75" customHeight="1" x14ac:dyDescent="0.25">
      <c r="A168" s="9"/>
      <c r="B168" s="9"/>
      <c r="C168" s="103" t="s">
        <v>246</v>
      </c>
      <c r="D168" s="9"/>
      <c r="E168" s="9"/>
      <c r="F168" s="312"/>
      <c r="G168" s="312"/>
      <c r="H168" s="312"/>
      <c r="I168" s="312"/>
      <c r="J168" s="313"/>
      <c r="K168" s="312"/>
      <c r="L168" s="312"/>
      <c r="M168" s="312"/>
      <c r="N168" s="312"/>
      <c r="O168" s="313"/>
      <c r="P168" s="312"/>
      <c r="Q168" s="312"/>
      <c r="R168" s="312"/>
      <c r="S168" s="312"/>
      <c r="T168" s="313"/>
      <c r="U168" s="460">
        <f>+U169+10</f>
        <v>154.21250000000001</v>
      </c>
      <c r="V168" s="460">
        <f t="shared" ref="V168:X168" si="117">+V169+10</f>
        <v>154.21250000000001</v>
      </c>
      <c r="W168" s="460">
        <f t="shared" si="117"/>
        <v>154.21250000000001</v>
      </c>
      <c r="X168" s="460">
        <f t="shared" si="117"/>
        <v>154.21250000000001</v>
      </c>
      <c r="Y168" s="313"/>
      <c r="Z168" s="460">
        <f t="shared" ref="Z168:AC168" si="118">+Z169+10</f>
        <v>151.84888026861498</v>
      </c>
      <c r="AA168" s="460">
        <f t="shared" si="118"/>
        <v>151.84888026861498</v>
      </c>
      <c r="AB168" s="460">
        <f t="shared" si="118"/>
        <v>151.84888026861498</v>
      </c>
      <c r="AC168" s="460">
        <f t="shared" si="118"/>
        <v>151.84888026861498</v>
      </c>
      <c r="AD168" s="313"/>
      <c r="AE168" s="464">
        <f>+AE169+10</f>
        <v>575.88144480616063</v>
      </c>
      <c r="AF168" s="464">
        <f t="shared" ref="AF168:AG168" si="119">+AF169+10</f>
        <v>574.37140880053721</v>
      </c>
      <c r="AG168" s="464">
        <f t="shared" si="119"/>
        <v>572.86540227628166</v>
      </c>
      <c r="AH168" s="9"/>
      <c r="AI168" s="9"/>
    </row>
    <row r="169" spans="1:35" ht="12.75" customHeight="1" x14ac:dyDescent="0.25">
      <c r="A169" s="9"/>
      <c r="B169" s="9"/>
      <c r="C169" s="103" t="s">
        <v>247</v>
      </c>
      <c r="D169" s="9"/>
      <c r="E169" s="9"/>
      <c r="F169" s="312"/>
      <c r="G169" s="312"/>
      <c r="H169" s="312"/>
      <c r="I169" s="312"/>
      <c r="J169" s="313"/>
      <c r="K169" s="312"/>
      <c r="L169" s="312"/>
      <c r="M169" s="312"/>
      <c r="N169" s="312"/>
      <c r="O169" s="313"/>
      <c r="P169" s="312"/>
      <c r="Q169" s="312"/>
      <c r="R169" s="312"/>
      <c r="S169" s="312"/>
      <c r="T169" s="313"/>
      <c r="U169" s="460">
        <f>(Model!$T$280*(1-0.17)/4)</f>
        <v>144.21250000000001</v>
      </c>
      <c r="V169" s="460">
        <f>(Model!$T$280*(1-0.17)/4)</f>
        <v>144.21250000000001</v>
      </c>
      <c r="W169" s="460">
        <f>(Model!$T$280*(1-0.17)/4)</f>
        <v>144.21250000000001</v>
      </c>
      <c r="X169" s="460">
        <f>(Model!$T$280*(1-0.17)/4)</f>
        <v>144.21250000000001</v>
      </c>
      <c r="Y169" s="313"/>
      <c r="Z169" s="460">
        <f>(Model!$Y$280*(1-0.17)/4)</f>
        <v>141.84888026861498</v>
      </c>
      <c r="AA169" s="460">
        <f>(Model!$Y$280*(1-0.17)/4)</f>
        <v>141.84888026861498</v>
      </c>
      <c r="AB169" s="460">
        <f>(Model!$Y$280*(1-0.17)/4)</f>
        <v>141.84888026861498</v>
      </c>
      <c r="AC169" s="460">
        <f>(Model!$Y$280*(1-0.17)/4)</f>
        <v>141.84888026861498</v>
      </c>
      <c r="AD169" s="313"/>
      <c r="AE169" s="464">
        <f>(Model!AD280*(1-0.17))</f>
        <v>565.88144480616063</v>
      </c>
      <c r="AF169" s="464">
        <f>(Model!AE280*(1-0.17))</f>
        <v>564.37140880053721</v>
      </c>
      <c r="AG169" s="464">
        <f>(Model!AF280*(1-0.17))</f>
        <v>562.86540227628166</v>
      </c>
      <c r="AH169" s="9"/>
      <c r="AI169" s="9"/>
    </row>
    <row r="170" spans="1:35" ht="12.75" customHeight="1" x14ac:dyDescent="0.25">
      <c r="A170" s="9"/>
      <c r="B170" s="9"/>
      <c r="C170" s="103" t="s">
        <v>248</v>
      </c>
      <c r="D170" s="9"/>
      <c r="E170" s="9"/>
      <c r="F170" s="312"/>
      <c r="G170" s="312"/>
      <c r="H170" s="312"/>
      <c r="I170" s="312"/>
      <c r="J170" s="313"/>
      <c r="K170" s="312"/>
      <c r="L170" s="312"/>
      <c r="M170" s="312"/>
      <c r="N170" s="312"/>
      <c r="O170" s="313"/>
      <c r="P170" s="312"/>
      <c r="Q170" s="312"/>
      <c r="R170" s="312"/>
      <c r="S170" s="312"/>
      <c r="T170" s="313"/>
      <c r="U170" s="460">
        <f>+U169-10</f>
        <v>134.21250000000001</v>
      </c>
      <c r="V170" s="460">
        <f t="shared" ref="V170:X170" si="120">+V169-10</f>
        <v>134.21250000000001</v>
      </c>
      <c r="W170" s="460">
        <f t="shared" si="120"/>
        <v>134.21250000000001</v>
      </c>
      <c r="X170" s="460">
        <f t="shared" si="120"/>
        <v>134.21250000000001</v>
      </c>
      <c r="Y170" s="313"/>
      <c r="Z170" s="460">
        <f t="shared" ref="Z170:AC170" si="121">+Z169-10</f>
        <v>131.84888026861498</v>
      </c>
      <c r="AA170" s="460">
        <f t="shared" si="121"/>
        <v>131.84888026861498</v>
      </c>
      <c r="AB170" s="460">
        <f t="shared" si="121"/>
        <v>131.84888026861498</v>
      </c>
      <c r="AC170" s="460">
        <f t="shared" si="121"/>
        <v>131.84888026861498</v>
      </c>
      <c r="AD170" s="313"/>
      <c r="AE170" s="464">
        <f>+AE169-10</f>
        <v>555.88144480616063</v>
      </c>
      <c r="AF170" s="464">
        <f t="shared" ref="AF170:AG170" si="122">+AF169-10</f>
        <v>554.37140880053721</v>
      </c>
      <c r="AG170" s="464">
        <f t="shared" si="122"/>
        <v>552.86540227628166</v>
      </c>
      <c r="AH170" s="9"/>
      <c r="AI170" s="9"/>
    </row>
    <row r="171" spans="1:35" ht="12.75" customHeight="1" x14ac:dyDescent="0.25">
      <c r="A171" s="9"/>
      <c r="B171" s="9"/>
      <c r="C171" s="9"/>
      <c r="D171" s="9"/>
      <c r="E171" s="9"/>
      <c r="F171" s="332"/>
      <c r="G171" s="332"/>
      <c r="H171" s="332"/>
      <c r="I171" s="332"/>
      <c r="J171" s="333"/>
      <c r="K171" s="332"/>
      <c r="L171" s="332"/>
      <c r="M171" s="332"/>
      <c r="N171" s="332"/>
      <c r="O171" s="333"/>
      <c r="P171" s="332"/>
      <c r="Q171" s="332"/>
      <c r="R171" s="332"/>
      <c r="S171" s="332"/>
      <c r="T171" s="333"/>
      <c r="U171" s="276"/>
      <c r="V171" s="276"/>
      <c r="W171" s="276"/>
      <c r="X171" s="276"/>
      <c r="Y171" s="277"/>
      <c r="Z171" s="276"/>
      <c r="AA171" s="276"/>
      <c r="AB171" s="276"/>
      <c r="AC171" s="276"/>
      <c r="AD171" s="9"/>
      <c r="AE171" s="277"/>
      <c r="AF171" s="277"/>
      <c r="AG171" s="277"/>
      <c r="AH171" s="9"/>
      <c r="AI171" s="9"/>
    </row>
    <row r="172" spans="1:35" ht="12.75" customHeight="1" x14ac:dyDescent="0.25">
      <c r="A172" s="9"/>
      <c r="B172" s="9"/>
      <c r="C172" s="50" t="s">
        <v>256</v>
      </c>
      <c r="D172" s="12"/>
      <c r="E172" s="12"/>
      <c r="F172" s="248"/>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2"/>
      <c r="AH172" s="9"/>
      <c r="AI172" s="9"/>
    </row>
    <row r="173" spans="1:35" ht="12.75" customHeight="1"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row>
    <row r="174" spans="1:35" ht="12.75" customHeight="1"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row>
    <row r="175" spans="1:35" ht="12.7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row>
    <row r="176" spans="1:35" ht="12.75" customHeight="1"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row>
    <row r="177" spans="1:35" ht="12.75" customHeight="1"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row>
    <row r="178" spans="1:35" ht="12.75" customHeight="1"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row>
    <row r="179" spans="1:35" ht="12.75" customHeight="1"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row>
    <row r="180" spans="1:35" ht="12.75" customHeight="1"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row>
    <row r="181" spans="1:35" ht="12.75" customHeight="1"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row>
    <row r="182" spans="1:35" ht="12.75" customHeight="1"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row>
    <row r="183" spans="1:35" ht="12.7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row>
    <row r="184" spans="1:35" ht="12.75" customHeight="1"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row>
    <row r="185" spans="1:35" ht="12.7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row>
    <row r="186" spans="1:35" ht="12.75" customHeight="1"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row>
    <row r="187" spans="1:35" ht="12.75" customHeight="1"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row>
    <row r="188" spans="1:35" ht="12.75" customHeight="1"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row>
    <row r="189" spans="1:35" ht="12.75" customHeight="1"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row>
    <row r="190" spans="1:35" ht="12.75" customHeight="1"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row>
    <row r="191" spans="1:35" ht="12.75" customHeight="1"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row>
    <row r="192" spans="1:35" ht="12.75" customHeight="1"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row>
    <row r="193" spans="1:35" ht="12.75" customHeight="1"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row>
    <row r="194" spans="1:35" ht="12.75" customHeight="1"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row>
    <row r="195" spans="1:35" ht="12.75" customHeight="1"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row>
    <row r="196" spans="1:35" ht="12.75" customHeight="1"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row>
    <row r="197" spans="1:35" ht="12.75" customHeight="1"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row>
    <row r="198" spans="1:35" ht="12.75" customHeight="1"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row>
    <row r="199" spans="1:35" ht="12.75" customHeight="1"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row>
    <row r="200" spans="1:35" ht="12.75" customHeight="1"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row>
    <row r="201" spans="1:35" ht="12.75" customHeight="1"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row>
    <row r="202" spans="1:35" ht="12.75" customHeight="1"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row>
    <row r="203" spans="1:35" ht="12.75" customHeight="1"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row>
    <row r="204" spans="1:35" ht="12.75" customHeight="1"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row>
    <row r="205" spans="1:35" ht="12.75" customHeight="1"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row>
    <row r="206" spans="1:35" ht="12.75" customHeight="1"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row>
    <row r="207" spans="1:35" ht="12.75" customHeight="1"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row>
    <row r="208" spans="1:35" ht="12.75" customHeight="1"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row>
    <row r="209" spans="1:35" ht="12.75" customHeight="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row>
    <row r="210" spans="1:35" ht="12.75" customHeight="1"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c r="AH210" s="9"/>
      <c r="AI210" s="9"/>
    </row>
    <row r="211" spans="1:35" ht="12.75" customHeight="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row>
    <row r="212" spans="1:35" ht="12.75" customHeight="1"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row>
    <row r="213" spans="1:35" ht="12.75" customHeight="1"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row>
    <row r="214" spans="1:35" ht="12.75" customHeight="1"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row>
    <row r="215" spans="1:35" ht="12.75" customHeight="1"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row>
    <row r="216" spans="1:35" ht="12.75" customHeight="1"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row>
    <row r="217" spans="1:35" ht="12.75" customHeight="1"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row>
    <row r="218" spans="1:35" ht="12.75" customHeight="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row>
    <row r="219" spans="1:35" ht="12.75" customHeight="1"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row>
    <row r="220" spans="1:35" ht="12.75" customHeight="1"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row>
    <row r="221" spans="1:35" ht="12.75" customHeight="1"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row>
    <row r="222" spans="1:35" ht="12.75" customHeight="1"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row>
    <row r="223" spans="1:35" ht="12.75" customHeight="1"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row>
    <row r="224" spans="1:35" ht="12.75" customHeight="1"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row>
    <row r="225" spans="1:35" ht="12.75" customHeight="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row>
    <row r="226" spans="1:35" ht="12.75" customHeight="1"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row>
    <row r="227" spans="1:35" ht="12.75" customHeight="1"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row>
    <row r="228" spans="1:35" ht="12.75" customHeight="1"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row>
    <row r="229" spans="1:35" ht="12.75" customHeight="1"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row>
    <row r="230" spans="1:35" ht="12.75" customHeight="1"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row>
    <row r="231" spans="1:35" ht="12.75" customHeight="1"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row>
    <row r="232" spans="1:35" ht="12.75" customHeight="1"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row>
    <row r="233" spans="1:35" ht="12.75" customHeight="1"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row>
    <row r="234" spans="1:35" ht="12.75" customHeight="1"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row>
    <row r="235" spans="1:35" ht="12.75" customHeight="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row>
    <row r="236" spans="1:35" ht="12.75" customHeight="1"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row>
    <row r="237" spans="1:35" ht="12.75" customHeight="1"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row>
    <row r="238" spans="1:35" ht="12.75" customHeight="1"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row>
    <row r="239" spans="1:35" ht="12.75" customHeight="1"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row>
    <row r="240" spans="1:35" ht="12.75" customHeight="1"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row>
    <row r="241" spans="1:35" ht="12.75" customHeight="1"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row>
    <row r="242" spans="1:35" ht="12.75" customHeight="1"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row>
    <row r="243" spans="1:35" ht="12.75" customHeight="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row>
    <row r="244" spans="1:35" ht="12.75" customHeight="1"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row>
    <row r="245" spans="1:35" ht="12.75" customHeight="1"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row>
    <row r="246" spans="1:35" ht="12.75" customHeight="1"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row>
    <row r="247" spans="1:35" ht="12.75" customHeight="1"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row>
    <row r="248" spans="1:35" ht="12.75" customHeight="1"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row>
    <row r="249" spans="1:35" ht="12.75" customHeight="1"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row>
    <row r="250" spans="1:35" ht="12.75" customHeight="1"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row>
    <row r="251" spans="1:35" ht="12.75" customHeight="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row>
    <row r="252" spans="1:35" ht="12.75" customHeight="1"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row>
    <row r="253" spans="1:35" ht="12.75" customHeight="1"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row>
    <row r="254" spans="1:35" ht="12.75" customHeight="1"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row>
    <row r="255" spans="1:35" ht="12.75" customHeight="1"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row>
    <row r="256" spans="1:35" ht="12.75" customHeight="1"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row>
    <row r="257" spans="1:35" ht="12.75" customHeight="1"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c r="AH257" s="9"/>
      <c r="AI257" s="9"/>
    </row>
    <row r="258" spans="1:35" ht="12.75" customHeight="1"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row>
    <row r="259" spans="1:35" ht="12.75" customHeight="1"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row>
    <row r="260" spans="1:35" ht="12.75" customHeight="1"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row>
    <row r="261" spans="1:35" ht="12.7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row>
    <row r="262" spans="1:35" ht="12.75" customHeight="1"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row>
    <row r="263" spans="1:35" ht="12.75" customHeight="1"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row>
    <row r="264" spans="1:35" ht="12.75" customHeight="1"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row>
    <row r="265" spans="1:35" ht="12.75" customHeight="1"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row>
    <row r="266" spans="1:35" ht="12.75" customHeight="1"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row>
    <row r="267" spans="1:35" ht="12.75" customHeight="1"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row>
    <row r="268" spans="1:35" ht="12.75" customHeight="1"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row>
    <row r="269" spans="1:35" ht="12.75" customHeight="1"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row>
    <row r="270" spans="1:35" ht="12.75" customHeight="1"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row>
    <row r="271" spans="1:35" ht="12.75" customHeight="1"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row>
    <row r="272" spans="1:35" ht="12.75" customHeight="1"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row>
    <row r="273" spans="1:35" ht="12.75" customHeight="1"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row>
    <row r="274" spans="1:35" ht="12.75" customHeight="1"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row>
    <row r="275" spans="1:35" ht="12.75" customHeight="1"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row>
    <row r="276" spans="1:35" ht="12.75" customHeight="1"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row>
    <row r="277" spans="1:35" ht="12.75" customHeight="1"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row>
    <row r="278" spans="1:35" ht="12.75" customHeight="1"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row>
    <row r="279" spans="1:35" ht="12.75" customHeight="1"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row>
    <row r="280" spans="1:35" ht="12.75" customHeight="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row>
    <row r="281" spans="1:35" ht="12.75" customHeight="1"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row>
    <row r="282" spans="1:35" ht="12.75" customHeight="1"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row>
    <row r="283" spans="1:35" ht="12.75" customHeight="1"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row>
    <row r="284" spans="1:35" ht="12.75" customHeight="1"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row>
    <row r="285" spans="1:35" ht="12.75" customHeight="1"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row>
    <row r="286" spans="1:35" ht="12.75" customHeight="1"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row>
    <row r="287" spans="1:35" ht="12.75" customHeight="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row>
    <row r="288" spans="1:35" ht="12.75" customHeight="1"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row>
    <row r="289" spans="1:35" ht="12.7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row>
    <row r="290" spans="1:35" ht="12.7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row>
    <row r="291" spans="1:35" ht="12.75" customHeight="1"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row>
    <row r="292" spans="1:35" ht="12.75" customHeight="1"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row>
    <row r="293" spans="1:35" ht="12.75" customHeight="1"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row>
    <row r="294" spans="1:35" ht="12.75" customHeight="1"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row>
    <row r="295" spans="1:35" ht="12.75" customHeight="1"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row>
    <row r="296" spans="1:35" ht="12.75" customHeight="1"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row>
    <row r="297" spans="1:35" ht="12.75" customHeight="1"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row>
    <row r="298" spans="1:35" ht="12.75" customHeight="1"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row>
    <row r="299" spans="1:35" ht="12.75" customHeight="1"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row>
    <row r="300" spans="1:35" ht="12.75" customHeight="1"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row>
    <row r="301" spans="1:35" ht="12.75" customHeight="1"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row>
    <row r="302" spans="1:35" ht="12.75" customHeight="1"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row>
    <row r="303" spans="1:35" ht="12.75" customHeight="1"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row>
    <row r="304" spans="1:35" ht="12.75" customHeight="1"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row>
    <row r="305" spans="1:35" ht="12.75" customHeight="1"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row>
    <row r="306" spans="1:35" ht="12.75" customHeight="1"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row>
    <row r="307" spans="1:35" ht="12.75" customHeight="1"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row>
    <row r="308" spans="1:35" ht="12.75" customHeight="1"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row>
    <row r="309" spans="1:35" ht="12.75" customHeight="1"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row>
    <row r="310" spans="1:35" ht="12.75" customHeight="1"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row>
    <row r="311" spans="1:35" ht="12.75" customHeight="1"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row>
    <row r="312" spans="1:35" ht="12.75" customHeight="1"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row>
    <row r="313" spans="1:35" ht="12.75" customHeight="1"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row>
    <row r="314" spans="1:35" ht="12.75" customHeight="1"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row>
    <row r="315" spans="1:35" ht="12.75" customHeight="1"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row>
    <row r="316" spans="1:35" ht="12.75" customHeight="1"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row>
    <row r="317" spans="1:35" ht="12.75" customHeight="1"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row>
    <row r="318" spans="1:35" ht="12.75" customHeight="1"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row>
    <row r="319" spans="1:35" ht="12.75" customHeight="1"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row>
    <row r="320" spans="1:35" ht="12.75" customHeight="1"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row>
    <row r="321" spans="1:35" ht="12.75" customHeight="1"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row>
    <row r="322" spans="1:35" ht="12.75" customHeight="1"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row>
    <row r="323" spans="1:35" ht="12.75" customHeight="1"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row>
    <row r="324" spans="1:35" ht="12.75" customHeight="1"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row>
    <row r="325" spans="1:35" ht="12.75" customHeight="1"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row>
    <row r="326" spans="1:35" ht="12.75" customHeight="1"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row>
    <row r="327" spans="1:35" ht="12.75" customHeight="1"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row>
    <row r="328" spans="1:35" ht="12.75" customHeight="1"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row>
    <row r="329" spans="1:35" ht="12.75" customHeight="1"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row>
    <row r="330" spans="1:35" ht="12.75" customHeight="1"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row>
    <row r="331" spans="1:35" ht="12.75" customHeight="1"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row>
    <row r="332" spans="1:35" ht="12.75" customHeight="1"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row>
    <row r="333" spans="1:35" ht="12.75" customHeight="1"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row>
    <row r="334" spans="1:35" ht="12.75" customHeight="1"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row>
    <row r="335" spans="1:35" ht="12.75" customHeight="1"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row>
    <row r="336" spans="1:35" ht="12.75" customHeight="1"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row>
    <row r="337" spans="1:35" ht="12.75" customHeight="1"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row>
    <row r="338" spans="1:35" ht="12.75" customHeight="1"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row>
    <row r="339" spans="1:35" ht="12.75" customHeight="1"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row>
    <row r="340" spans="1:35" ht="12.75" customHeight="1"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row>
    <row r="341" spans="1:35" ht="12.75" customHeight="1"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row>
    <row r="342" spans="1:35" ht="12.75" customHeight="1"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row>
    <row r="343" spans="1:35" ht="12.75" customHeight="1"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row>
    <row r="344" spans="1:35" ht="12.75" customHeight="1"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row>
    <row r="345" spans="1:35" ht="12.75" customHeight="1"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row>
    <row r="346" spans="1:35" ht="12.75" customHeight="1"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row>
    <row r="347" spans="1:35" ht="12.75" customHeight="1"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row>
    <row r="348" spans="1:35" ht="12.75" customHeight="1"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row>
    <row r="349" spans="1:35" ht="12.75" customHeight="1"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row>
    <row r="350" spans="1:35" ht="12.75" customHeight="1"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row>
    <row r="351" spans="1:35" ht="12.75" customHeight="1"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row>
    <row r="352" spans="1:35" ht="12.75" customHeight="1"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row>
    <row r="353" spans="1:35" ht="12.75" customHeight="1"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row>
    <row r="354" spans="1:35" ht="12.75" customHeight="1"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row>
    <row r="355" spans="1:35" ht="12.75" customHeight="1"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row>
    <row r="356" spans="1:35" ht="12.75" customHeight="1"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row>
    <row r="357" spans="1:35" ht="12.75" customHeight="1"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row>
    <row r="358" spans="1:35" ht="12.75" customHeight="1"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row>
    <row r="359" spans="1:35" ht="12.75" customHeight="1"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row>
    <row r="360" spans="1:35" ht="12.75" customHeight="1"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row>
    <row r="361" spans="1:35" ht="12.75" customHeight="1"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row>
    <row r="362" spans="1:35" ht="12.75" customHeight="1"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row>
    <row r="363" spans="1:35" ht="12.75" customHeight="1"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row>
    <row r="364" spans="1:35" ht="12.75" customHeight="1"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row>
    <row r="365" spans="1:35" ht="12.75" customHeight="1"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row>
    <row r="366" spans="1:35" ht="12.75" customHeight="1"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row>
    <row r="367" spans="1:35" ht="12.75" customHeight="1"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row>
    <row r="368" spans="1:35" ht="12.75" customHeight="1"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row>
    <row r="369" spans="1:35" ht="12.75" customHeight="1"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row>
    <row r="370" spans="1:35" ht="12.75" customHeight="1"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row>
    <row r="371" spans="1:35" ht="12.75" customHeight="1"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row>
    <row r="372" spans="1:35" ht="12.75" customHeight="1"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row>
    <row r="373" spans="1:35" ht="12.75" customHeight="1"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row>
    <row r="374" spans="1:35" ht="12.75" customHeight="1"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row>
    <row r="375" spans="1:35" ht="12.75" customHeight="1"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row>
    <row r="376" spans="1:35" ht="12.75" customHeight="1"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row>
    <row r="377" spans="1:35" ht="12.75" customHeight="1"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row>
    <row r="378" spans="1:35" ht="12.75" customHeight="1"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row>
    <row r="379" spans="1:35" ht="12.75" customHeight="1"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row>
    <row r="380" spans="1:35" ht="12.75" customHeight="1"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row>
    <row r="381" spans="1:35" ht="12.75" customHeight="1"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row>
    <row r="382" spans="1:35" ht="12.75" customHeight="1"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row>
    <row r="383" spans="1:35" ht="12.75" customHeight="1"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row>
    <row r="384" spans="1:35" ht="12.75" customHeight="1"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row>
    <row r="385" spans="1:35" ht="12.75" customHeight="1"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row>
    <row r="386" spans="1:35" ht="12.75" customHeight="1"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row>
    <row r="387" spans="1:35" ht="12.75" customHeight="1"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row>
    <row r="388" spans="1:35" ht="12.75" customHeight="1"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row>
    <row r="389" spans="1:35" ht="12.75" customHeight="1"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row>
    <row r="390" spans="1:35" ht="12.75" customHeight="1"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row>
    <row r="391" spans="1:35" ht="12.75" customHeight="1"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row>
    <row r="392" spans="1:35" ht="12.75" customHeight="1"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row>
    <row r="393" spans="1:35" ht="12.75" customHeight="1"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row>
    <row r="394" spans="1:35" ht="12.75" customHeight="1"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row>
    <row r="395" spans="1:35" ht="12.75" customHeight="1"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row>
    <row r="396" spans="1:35" ht="12.75" customHeight="1"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row>
    <row r="397" spans="1:35" ht="12.75" customHeight="1"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row>
    <row r="398" spans="1:35" ht="12.75" customHeight="1"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row>
    <row r="399" spans="1:35" ht="12.75" customHeight="1"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row>
    <row r="400" spans="1:35" ht="12.75" customHeight="1"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row>
    <row r="401" spans="1:35" ht="12.75" customHeight="1"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row>
    <row r="402" spans="1:35" ht="12.75" customHeight="1"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row>
    <row r="403" spans="1:35" ht="12.75" customHeight="1"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row>
    <row r="404" spans="1:35" ht="12.75" customHeight="1"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row>
    <row r="405" spans="1:35" ht="12.75" customHeight="1"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row>
    <row r="406" spans="1:35" ht="12.75" customHeight="1"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row>
    <row r="407" spans="1:35" ht="12.75" customHeight="1"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row>
    <row r="408" spans="1:35" ht="12.75" customHeight="1"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row>
    <row r="409" spans="1:35" ht="12.75" customHeight="1"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row>
    <row r="410" spans="1:35" ht="12.75" customHeight="1"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row>
    <row r="411" spans="1:35" ht="12.75" customHeight="1"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row>
    <row r="412" spans="1:35" ht="12.75" customHeight="1"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row>
    <row r="413" spans="1:35" ht="12.75" customHeight="1"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row>
    <row r="414" spans="1:35" ht="12.75" customHeight="1"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row>
    <row r="415" spans="1:35" ht="12.75" customHeight="1"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row>
    <row r="416" spans="1:35" ht="12.75" customHeight="1"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row>
    <row r="417" spans="1:35" ht="12.75" customHeight="1"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row>
    <row r="418" spans="1:35" ht="12.75" customHeight="1"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row>
    <row r="419" spans="1:35" ht="12.75" customHeight="1"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row>
    <row r="420" spans="1:35" ht="12.75" customHeight="1"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row>
    <row r="421" spans="1:35" ht="12.75" customHeight="1"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row>
    <row r="422" spans="1:35" ht="12.75" customHeight="1"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row>
    <row r="423" spans="1:35" ht="12.75" customHeight="1"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row>
    <row r="424" spans="1:35" ht="12.75" customHeight="1"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row>
    <row r="425" spans="1:35" ht="12.75" customHeight="1"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row>
    <row r="426" spans="1:35" ht="12.75" customHeight="1"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row>
    <row r="427" spans="1:35" ht="12.75" customHeight="1"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row>
    <row r="428" spans="1:35" ht="12.75" customHeight="1"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row>
    <row r="429" spans="1:35" ht="12.75" customHeight="1"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row>
    <row r="430" spans="1:35" ht="12.75" customHeight="1"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row>
    <row r="431" spans="1:35" ht="12.75" customHeight="1"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row>
    <row r="432" spans="1:35" ht="12.75" customHeight="1"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row>
    <row r="433" spans="1:35" ht="12.75" customHeight="1"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row>
    <row r="434" spans="1:35" ht="12.75" customHeight="1"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row>
    <row r="435" spans="1:35" ht="12.75" customHeight="1"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row>
    <row r="436" spans="1:35" ht="12.75" customHeight="1"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row>
    <row r="437" spans="1:35" ht="12.75" customHeight="1"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row>
    <row r="438" spans="1:35" ht="12.75" customHeight="1"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row>
    <row r="439" spans="1:35" ht="12.75" customHeight="1"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row>
    <row r="440" spans="1:35" ht="12.75" customHeight="1"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row>
    <row r="441" spans="1:35" ht="12.75" customHeight="1"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row>
    <row r="442" spans="1:35" ht="12.75" customHeight="1"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row>
    <row r="443" spans="1:35" ht="12.75" customHeight="1"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row>
    <row r="444" spans="1:35" ht="12.75" customHeight="1"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row>
    <row r="445" spans="1:35" ht="12.75" customHeight="1"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row>
    <row r="446" spans="1:35" ht="12.75" customHeight="1"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row>
    <row r="447" spans="1:35" ht="12.75" customHeight="1"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row>
    <row r="448" spans="1:35" ht="12.75" customHeight="1"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row>
    <row r="449" spans="1:35" ht="12.75" customHeight="1"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row>
    <row r="450" spans="1:35" ht="12.75" customHeight="1"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row>
    <row r="451" spans="1:35" ht="12.75" customHeight="1"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row>
    <row r="452" spans="1:35" ht="12.75" customHeight="1"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row>
    <row r="453" spans="1:35" ht="12.75" customHeight="1"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row>
    <row r="454" spans="1:35" ht="12.75" customHeight="1"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row>
    <row r="455" spans="1:35" ht="12.75" customHeight="1"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row>
    <row r="456" spans="1:35" ht="12.75" customHeight="1"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row>
    <row r="457" spans="1:35" ht="12.75" customHeight="1"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row>
    <row r="458" spans="1:35" ht="12.75" customHeight="1"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row>
    <row r="459" spans="1:35" ht="12.75" customHeight="1"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row>
    <row r="460" spans="1:35" ht="12.75" customHeight="1"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row>
    <row r="461" spans="1:35" ht="12.75" customHeight="1"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row>
    <row r="462" spans="1:35" ht="12.75" customHeight="1"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row>
    <row r="463" spans="1:35" ht="12.75" customHeight="1"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row>
    <row r="464" spans="1:35" ht="12.75" customHeight="1"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row>
    <row r="465" spans="1:35" ht="12.75" customHeight="1"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row>
    <row r="466" spans="1:35" ht="12.75" customHeight="1"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row>
    <row r="467" spans="1:35" ht="12.75" customHeight="1"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row>
    <row r="468" spans="1:35" ht="12.75" customHeight="1"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row>
    <row r="469" spans="1:35" ht="12.75" customHeight="1"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row>
    <row r="470" spans="1:35" ht="12.75" customHeight="1"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row>
    <row r="471" spans="1:35" ht="12.75" customHeight="1"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row>
    <row r="472" spans="1:35" ht="12.75" customHeight="1"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row>
    <row r="473" spans="1:35" ht="12.75" customHeight="1"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row>
    <row r="474" spans="1:35" ht="12.75" customHeight="1"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row>
    <row r="475" spans="1:35" ht="12.75" customHeight="1"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row>
    <row r="476" spans="1:35" ht="12.75" customHeight="1"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row>
    <row r="477" spans="1:35" ht="12.75" customHeight="1"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row>
    <row r="478" spans="1:35" ht="12.75" customHeight="1"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row>
    <row r="479" spans="1:35" ht="12.75" customHeight="1"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row>
    <row r="480" spans="1:35" ht="12.75" customHeight="1"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row>
    <row r="481" spans="1:35" ht="12.75" customHeight="1"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row>
    <row r="482" spans="1:35" ht="12.75" customHeight="1"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row>
    <row r="483" spans="1:35" ht="12.75" customHeight="1"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row>
    <row r="484" spans="1:35" ht="12.75" customHeight="1"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row>
    <row r="485" spans="1:35" ht="12.75" customHeight="1"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row>
    <row r="486" spans="1:35" ht="12.75" customHeight="1"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row>
    <row r="487" spans="1:35" ht="12.75" customHeight="1"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row>
    <row r="488" spans="1:35" ht="12.75" customHeight="1"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row>
    <row r="489" spans="1:35" ht="12.75" customHeight="1"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row>
    <row r="490" spans="1:35" ht="12.75" customHeight="1"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row>
    <row r="491" spans="1:35" ht="12.75" customHeight="1"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row>
    <row r="492" spans="1:35" ht="12.75" customHeight="1"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row>
    <row r="493" spans="1:35" ht="12.75" customHeight="1"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row>
    <row r="494" spans="1:35" ht="12.75" customHeight="1"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row>
    <row r="495" spans="1:35" ht="12.75" customHeight="1"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row>
    <row r="496" spans="1:35" ht="12.75" customHeight="1"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row>
    <row r="497" spans="1:35" ht="12.75" customHeight="1"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row>
    <row r="498" spans="1:35" ht="12.75" customHeight="1"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row>
    <row r="499" spans="1:35" ht="12.75" customHeight="1"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row>
    <row r="500" spans="1:35" ht="12.75" customHeight="1"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row>
    <row r="501" spans="1:35" ht="12.75" customHeight="1"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row>
    <row r="502" spans="1:35" ht="12.75" customHeight="1"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row>
    <row r="503" spans="1:35" ht="12.75" customHeight="1"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row>
    <row r="504" spans="1:35" ht="12.75" customHeight="1"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row>
    <row r="505" spans="1:35" ht="12.75" customHeight="1"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row>
    <row r="506" spans="1:35" ht="12.75" customHeight="1"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row>
    <row r="507" spans="1:35" ht="12.75" customHeight="1"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row>
    <row r="508" spans="1:35" ht="12.75" customHeight="1"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row>
    <row r="509" spans="1:35" ht="12.75" customHeight="1"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row>
    <row r="510" spans="1:35" ht="12.75" customHeight="1"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row>
    <row r="511" spans="1:35" ht="12.75" customHeight="1"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row>
    <row r="512" spans="1:35" ht="12.75" customHeight="1"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row>
    <row r="513" spans="1:35" ht="12.75" customHeight="1"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row>
    <row r="514" spans="1:35" ht="12.75" customHeight="1"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row>
    <row r="515" spans="1:35" ht="12.75" customHeight="1"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row>
    <row r="516" spans="1:35" ht="12.75" customHeight="1"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row>
    <row r="517" spans="1:35" ht="12.75" customHeight="1"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row>
    <row r="518" spans="1:35" ht="12.75" customHeight="1"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row>
    <row r="519" spans="1:35" ht="12.75" customHeight="1"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row>
    <row r="520" spans="1:35" ht="12.75" customHeight="1"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row>
    <row r="521" spans="1:35" ht="12.75" customHeight="1"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row>
    <row r="522" spans="1:35" ht="12.75" customHeight="1"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row>
    <row r="523" spans="1:35" ht="12.75" customHeight="1"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row>
    <row r="524" spans="1:35" ht="12.75" customHeight="1"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row>
    <row r="525" spans="1:35" ht="12.75" customHeight="1"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row>
    <row r="526" spans="1:35" ht="12.75" customHeight="1"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row>
    <row r="527" spans="1:35" ht="12.75" customHeight="1"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row>
    <row r="528" spans="1:35" ht="12.75" customHeight="1"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row>
    <row r="529" spans="1:35" ht="12.75" customHeight="1"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row>
    <row r="530" spans="1:35" ht="12.75" customHeight="1"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row>
    <row r="531" spans="1:35" ht="12.75" customHeight="1"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row>
    <row r="532" spans="1:35" ht="12.75" customHeight="1"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row>
    <row r="533" spans="1:35" ht="12.75" customHeight="1"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row>
    <row r="534" spans="1:35" ht="12.75" customHeight="1"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row>
    <row r="535" spans="1:35" ht="12.75" customHeight="1"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row>
    <row r="536" spans="1:35" ht="12.75" customHeight="1"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row>
    <row r="537" spans="1:35" ht="12.75" customHeight="1"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row>
    <row r="538" spans="1:35" ht="12.75" customHeight="1"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row>
    <row r="539" spans="1:35" ht="12.75" customHeight="1"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row>
    <row r="540" spans="1:35" ht="12.75" customHeight="1"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row>
    <row r="541" spans="1:35" ht="12.75" customHeight="1"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row>
    <row r="542" spans="1:35" ht="12.75" customHeight="1"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row>
    <row r="543" spans="1:35" ht="12.75" customHeight="1"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row>
    <row r="544" spans="1:35" ht="12.75" customHeight="1"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row>
    <row r="545" spans="1:35" ht="12.75" customHeight="1"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row>
    <row r="546" spans="1:35" ht="12.75" customHeight="1"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row>
    <row r="547" spans="1:35" ht="12.75" customHeight="1"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row>
    <row r="548" spans="1:35" ht="12.75" customHeight="1"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row>
    <row r="549" spans="1:35" ht="12.75" customHeight="1"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row>
    <row r="550" spans="1:35" ht="12.75" customHeight="1"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row>
    <row r="551" spans="1:35" ht="12.75" customHeight="1"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row>
    <row r="552" spans="1:35" ht="12.75" customHeight="1"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row>
    <row r="553" spans="1:35" ht="12.75" customHeight="1"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row>
    <row r="554" spans="1:35" ht="12.75" customHeight="1"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row>
    <row r="555" spans="1:35" ht="12.75" customHeight="1"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row>
    <row r="556" spans="1:35" ht="12.75" customHeight="1"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row>
    <row r="557" spans="1:35" ht="12.75" customHeight="1"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row>
    <row r="558" spans="1:35" ht="12.75" customHeight="1"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row>
    <row r="559" spans="1:35" ht="12.75" customHeight="1"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row>
    <row r="560" spans="1:35" ht="12.75" customHeight="1"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row>
    <row r="561" spans="1:35" ht="12.75" customHeight="1"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row>
    <row r="562" spans="1:35" ht="12.75" customHeight="1"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row>
    <row r="563" spans="1:35" ht="12.75" customHeight="1"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row>
    <row r="564" spans="1:35" ht="12.75" customHeight="1"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row>
    <row r="565" spans="1:35" ht="12.75" customHeight="1"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row>
    <row r="566" spans="1:35" ht="12.75" customHeight="1"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row>
    <row r="567" spans="1:35" ht="12.75" customHeight="1"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row>
    <row r="568" spans="1:35" ht="12.75" customHeight="1"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row>
    <row r="569" spans="1:35" ht="12.75" customHeight="1"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row>
    <row r="570" spans="1:35" ht="12.75" customHeight="1"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row>
    <row r="571" spans="1:35" ht="12.75" customHeight="1"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row>
    <row r="572" spans="1:35" ht="12.75" customHeight="1"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row>
    <row r="573" spans="1:35" ht="12.75" customHeight="1"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row>
    <row r="574" spans="1:35" ht="12.75" customHeight="1"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row>
    <row r="575" spans="1:35" ht="12.75" customHeight="1"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row>
    <row r="576" spans="1:35" ht="12.75" customHeight="1"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row>
    <row r="577" spans="1:35" ht="12.75" customHeight="1"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row>
    <row r="578" spans="1:35" ht="12.75" customHeight="1"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row>
    <row r="579" spans="1:35" ht="12.75" customHeight="1"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row>
    <row r="580" spans="1:35" ht="12.75" customHeight="1"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row>
    <row r="581" spans="1:35" ht="12.75" customHeight="1"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row>
    <row r="582" spans="1:35" ht="12.75" customHeight="1"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row>
    <row r="583" spans="1:35" ht="12.75" customHeight="1"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row>
    <row r="584" spans="1:35" ht="12.75" customHeight="1"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row>
    <row r="585" spans="1:35" ht="12.75" customHeight="1"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row>
    <row r="586" spans="1:35" ht="12.75" customHeight="1"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row>
    <row r="587" spans="1:35" ht="12.75" customHeight="1"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row>
    <row r="588" spans="1:35" ht="12.75" customHeight="1"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row>
    <row r="589" spans="1:35" ht="12.75" customHeight="1"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row>
    <row r="590" spans="1:35" ht="12.75" customHeight="1"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row>
    <row r="591" spans="1:35" ht="12.75" customHeight="1"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row>
    <row r="592" spans="1:35" ht="12.75" customHeight="1"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row>
    <row r="593" spans="1:35" ht="12.75" customHeight="1"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row>
    <row r="594" spans="1:35" ht="12.75" customHeight="1"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row>
    <row r="595" spans="1:35" ht="12.75"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row>
    <row r="596" spans="1:35" ht="12.75"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row>
    <row r="597" spans="1:35" ht="12.75"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row>
    <row r="598" spans="1:35" ht="12.75"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row>
    <row r="599" spans="1:35" ht="12.75"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row>
    <row r="600" spans="1:35" ht="12.75"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row>
    <row r="601" spans="1:35" ht="12.75"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row>
    <row r="602" spans="1:35" ht="12.75"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row>
    <row r="603" spans="1:35" ht="12.75"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row>
    <row r="604" spans="1:35" ht="12.75"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row>
    <row r="605" spans="1:35" ht="12.75"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row>
    <row r="606" spans="1:35" ht="12.75"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row>
    <row r="607" spans="1:35" ht="12.75"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row>
    <row r="608" spans="1:35" ht="12.75"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row>
    <row r="609" spans="1:35" ht="12.75"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row>
    <row r="610" spans="1:35" ht="12.75"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row>
    <row r="611" spans="1:35" ht="12.75"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row>
    <row r="612" spans="1:35" ht="12.75"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row>
    <row r="613" spans="1:35" ht="12.75"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row>
    <row r="614" spans="1:35" ht="12.75"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row>
    <row r="615" spans="1:35" ht="12.75"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row>
    <row r="616" spans="1:35" ht="12.75"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row>
    <row r="617" spans="1:35" ht="12.75"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row>
    <row r="618" spans="1:35" ht="12.75"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row>
    <row r="619" spans="1:35" ht="12.75"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row>
    <row r="620" spans="1:35" ht="12.75"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row>
    <row r="621" spans="1:35" ht="12.75"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row>
    <row r="622" spans="1:35" ht="12.75"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row>
    <row r="623" spans="1:35" ht="12.75"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row>
    <row r="624" spans="1:35" ht="12.75"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row>
    <row r="625" spans="1:35" ht="12.75"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row>
    <row r="626" spans="1:35" ht="12.75"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row>
    <row r="627" spans="1:35" ht="12.75"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row>
    <row r="628" spans="1:35" ht="12.75"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row>
    <row r="629" spans="1:35" ht="12.75"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row>
    <row r="630" spans="1:35" ht="12.75"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row>
    <row r="631" spans="1:35" ht="12.75"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row>
    <row r="632" spans="1:35" ht="12.75"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row>
    <row r="633" spans="1:35" ht="12.75"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row>
    <row r="634" spans="1:35" ht="12.75"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row>
    <row r="635" spans="1:35" ht="12.75"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row>
    <row r="636" spans="1:35" ht="12.75"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row>
    <row r="637" spans="1:35" ht="12.75"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row>
    <row r="638" spans="1:35" ht="12.75"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row>
    <row r="639" spans="1:35" ht="12.75"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row>
    <row r="640" spans="1:35" ht="12.75"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row>
    <row r="641" spans="1:35" ht="12.75"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row>
    <row r="642" spans="1:35" ht="12.75"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row>
    <row r="643" spans="1:35" ht="12.75"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row>
    <row r="644" spans="1:35" ht="12.75"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row>
    <row r="645" spans="1:35" ht="12.75"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row>
    <row r="646" spans="1:35" ht="12.75"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row>
    <row r="647" spans="1:35" ht="12.75"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row>
    <row r="648" spans="1:35" ht="12.75"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row>
    <row r="649" spans="1:35" ht="12.75"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row>
    <row r="650" spans="1:35" ht="12.75"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row>
    <row r="651" spans="1:35" ht="12.75"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row>
    <row r="652" spans="1:35" ht="12.75"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row>
    <row r="653" spans="1:35" ht="12.75"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row>
    <row r="654" spans="1:35" ht="12.75"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row>
    <row r="655" spans="1:35" ht="12.75"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row>
    <row r="656" spans="1:35" ht="12.75"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row>
    <row r="657" spans="1:35" ht="12.75"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row>
    <row r="658" spans="1:35" ht="12.75"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row>
    <row r="659" spans="1:35" ht="12.75"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row>
    <row r="660" spans="1:35" ht="12.75"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row>
    <row r="661" spans="1:35" ht="12.75"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row>
    <row r="662" spans="1:35" ht="12.75"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row>
    <row r="663" spans="1:35" ht="12.75"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row>
    <row r="664" spans="1:35" ht="12.75"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row>
    <row r="665" spans="1:35" ht="12.75"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row>
    <row r="666" spans="1:35" ht="12.75"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row>
    <row r="667" spans="1:35" ht="12.75"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row>
    <row r="668" spans="1:35" ht="12.75"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row>
    <row r="669" spans="1:35" ht="12.75"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row>
    <row r="670" spans="1:35" ht="12.75"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row>
    <row r="671" spans="1:35" ht="12.75"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row>
    <row r="672" spans="1:35" ht="12.75"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row>
    <row r="673" spans="1:35" ht="12.75"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row>
    <row r="674" spans="1:35" ht="12.75"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row>
    <row r="675" spans="1:35" ht="12.75"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row>
    <row r="676" spans="1:35" ht="12.75"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row>
    <row r="677" spans="1:35" ht="12.75"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row>
    <row r="678" spans="1:35" ht="12.75"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row>
    <row r="679" spans="1:35" ht="12.75"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row>
    <row r="680" spans="1:35" ht="12.75"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row>
    <row r="681" spans="1:35" ht="12.75"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row>
    <row r="682" spans="1:35" ht="12.75"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row>
    <row r="683" spans="1:35" ht="12.75"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row>
    <row r="684" spans="1:35" ht="12.75"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row>
    <row r="685" spans="1:35" ht="12.75"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row>
    <row r="686" spans="1:35" ht="12.75"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row>
    <row r="687" spans="1:35" ht="12.75"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row>
    <row r="688" spans="1:35" ht="12.75"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row>
    <row r="689" spans="1:35" ht="12.75"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row>
    <row r="690" spans="1:35" ht="12.75"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row>
    <row r="691" spans="1:35" ht="12.75"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row>
    <row r="692" spans="1:35" ht="12.75"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row>
    <row r="693" spans="1:35" ht="12.75"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row>
    <row r="694" spans="1:35" ht="12.75"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row>
    <row r="695" spans="1:35" ht="12.75"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row>
    <row r="696" spans="1:35" ht="12.75"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row>
    <row r="697" spans="1:35" ht="12.75"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row>
    <row r="698" spans="1:35" ht="12.75"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row>
    <row r="699" spans="1:35" ht="12.75"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row>
    <row r="700" spans="1:35" ht="12.75"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row>
    <row r="701" spans="1:35" ht="12.75"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row>
    <row r="702" spans="1:35" ht="12.75"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row>
    <row r="703" spans="1:35" ht="12.75"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row>
    <row r="704" spans="1:35" ht="12.75"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row>
    <row r="705" spans="1:35" ht="12.75"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row>
    <row r="706" spans="1:35" ht="12.75"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row>
    <row r="707" spans="1:35" ht="12.75"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row>
    <row r="708" spans="1:35" ht="12.75"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row>
    <row r="709" spans="1:35" ht="12.75"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row>
    <row r="710" spans="1:35" ht="12.75"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row>
    <row r="711" spans="1:35" ht="12.75"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row>
    <row r="712" spans="1:35" ht="12.75"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row>
    <row r="713" spans="1:35" ht="12.75"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row>
    <row r="714" spans="1:35" ht="12.75"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row>
    <row r="715" spans="1:35" ht="12.75"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row>
    <row r="716" spans="1:35" ht="12.75"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row>
    <row r="717" spans="1:35" ht="12.75"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row>
    <row r="718" spans="1:35" ht="12.75"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row>
    <row r="719" spans="1:35" ht="12.75"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row>
    <row r="720" spans="1:35" ht="12.75"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row>
    <row r="721" spans="1:35" ht="12.75"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row>
    <row r="722" spans="1:35" ht="12.75"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row>
    <row r="723" spans="1:35" ht="12.75"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row>
    <row r="724" spans="1:35" ht="12.75"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row>
    <row r="725" spans="1:35" ht="12.75"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row>
    <row r="726" spans="1:35" ht="12.75"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row>
    <row r="727" spans="1:35" ht="12.75"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row>
    <row r="728" spans="1:35" ht="12.75"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row>
    <row r="729" spans="1:35" ht="12.75"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row>
    <row r="730" spans="1:35" ht="12.75"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row>
    <row r="731" spans="1:35" ht="12.75"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row>
    <row r="732" spans="1:35" ht="12.75"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row>
    <row r="733" spans="1:35" ht="12.75"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row>
    <row r="734" spans="1:35" ht="12.75"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row>
    <row r="735" spans="1:35" ht="12.75"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row>
    <row r="736" spans="1:35" ht="12.75"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row>
    <row r="737" spans="1:35" ht="12.75"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row>
    <row r="738" spans="1:35" ht="12.75"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row>
    <row r="739" spans="1:35" ht="12.75"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row>
    <row r="740" spans="1:35" ht="12.75"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row>
    <row r="741" spans="1:35" ht="12.75"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row>
    <row r="742" spans="1:35" ht="12.75"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row>
    <row r="743" spans="1:35" ht="12.75"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row>
    <row r="744" spans="1:35" ht="12.75"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row>
    <row r="745" spans="1:35" ht="12.75"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row>
    <row r="746" spans="1:35" ht="12.75"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row>
    <row r="747" spans="1:35" ht="12.75"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row>
    <row r="748" spans="1:35" ht="12.75"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row>
    <row r="749" spans="1:35" ht="12.75"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row>
    <row r="750" spans="1:35" ht="12.75"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row>
    <row r="751" spans="1:35" ht="12.75"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row>
    <row r="752" spans="1:35" ht="12.75"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row>
    <row r="753" spans="1:35" ht="12.75"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row>
    <row r="754" spans="1:35" ht="12.75"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row>
    <row r="755" spans="1:35" ht="12.75"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row>
    <row r="756" spans="1:35" ht="12.75"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row>
    <row r="757" spans="1:35" ht="12.75"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row>
    <row r="758" spans="1:35" ht="12.75"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row>
    <row r="759" spans="1:35" ht="12.75"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row>
    <row r="760" spans="1:35" ht="12.75"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row>
    <row r="761" spans="1:35" ht="12.75"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row>
    <row r="762" spans="1:35" ht="12.75"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row>
    <row r="763" spans="1:35" ht="12.75"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row>
    <row r="764" spans="1:35" ht="12.75"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row>
    <row r="765" spans="1:35" ht="12.75"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row>
    <row r="766" spans="1:35" ht="12.75"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row>
    <row r="767" spans="1:35" ht="12.75"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row>
    <row r="768" spans="1:35" ht="12.75"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row>
    <row r="769" spans="1:35" ht="12.75"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row>
    <row r="770" spans="1:35" ht="12.75"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row>
    <row r="771" spans="1:35" ht="12.75"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row>
    <row r="772" spans="1:35" ht="12.75"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row>
    <row r="773" spans="1:35" ht="12.75"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row>
    <row r="774" spans="1:35" ht="12.75"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row>
    <row r="775" spans="1:35" ht="12.75"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row>
    <row r="776" spans="1:35" ht="12.75"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row>
    <row r="777" spans="1:35" ht="12.75"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row>
    <row r="778" spans="1:35" ht="12.75"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row>
    <row r="779" spans="1:35" ht="12.75"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row>
    <row r="780" spans="1:35" ht="12.75"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row>
    <row r="781" spans="1:35" ht="12.75"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row>
    <row r="782" spans="1:35" ht="12.75"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row>
    <row r="783" spans="1:35" ht="12.75"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row>
    <row r="784" spans="1:35" ht="12.75"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row>
    <row r="785" spans="1:35" ht="12.75"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row>
    <row r="786" spans="1:35" ht="12.75"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row>
    <row r="787" spans="1:35" ht="12.75"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row>
    <row r="788" spans="1:35" ht="12.75"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row>
    <row r="789" spans="1:35" ht="12.75"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row>
    <row r="790" spans="1:35" ht="12.75"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row>
    <row r="791" spans="1:35" ht="12.75"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row>
    <row r="792" spans="1:35" ht="12.75"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row>
    <row r="793" spans="1:35" ht="12.75"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row>
    <row r="794" spans="1:35" ht="12.75"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row>
    <row r="795" spans="1:35" ht="12.75"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row>
    <row r="796" spans="1:35" ht="12.75"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row>
    <row r="797" spans="1:35" ht="12.75"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row>
    <row r="798" spans="1:35" ht="12.75"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row>
    <row r="799" spans="1:35" ht="12.75"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row>
    <row r="800" spans="1:35" ht="12.75"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row>
    <row r="801" spans="1:35" ht="12.75"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row>
    <row r="802" spans="1:35" ht="12.75"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row>
    <row r="803" spans="1:35" ht="12.75"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row>
    <row r="804" spans="1:35" ht="12.75"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row>
    <row r="805" spans="1:35" ht="12.75"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row>
    <row r="806" spans="1:35" ht="12.75"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row>
    <row r="807" spans="1:35" ht="12.75"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row>
    <row r="808" spans="1:35" ht="12.75"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row>
    <row r="809" spans="1:35" ht="12.75"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row>
    <row r="810" spans="1:35" ht="12.75"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row>
    <row r="811" spans="1:35" ht="12.75"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row>
    <row r="812" spans="1:35" ht="12.75"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row>
    <row r="813" spans="1:35" ht="12.75"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row>
    <row r="814" spans="1:35" ht="12.75"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row>
    <row r="815" spans="1:35" ht="12.75"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row>
    <row r="816" spans="1:35" ht="12.75"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row>
    <row r="817" spans="1:35" ht="12.75"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row>
    <row r="818" spans="1:35" ht="12.75"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row>
    <row r="819" spans="1:35" ht="12.75"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row>
    <row r="820" spans="1:35" ht="12.75"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row>
    <row r="821" spans="1:35" ht="12.75"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row>
    <row r="822" spans="1:35" ht="12.75"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row>
    <row r="823" spans="1:35" ht="12.75"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row>
    <row r="824" spans="1:35" ht="12.75"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row>
    <row r="825" spans="1:35" ht="12.75"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row>
    <row r="826" spans="1:35" ht="12.75"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row>
    <row r="827" spans="1:35" ht="12.75"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row>
    <row r="828" spans="1:35" ht="12.75"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row>
    <row r="829" spans="1:35" ht="12.75"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row>
    <row r="830" spans="1:35" ht="12.75"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row>
    <row r="831" spans="1:35" ht="12.75"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row>
    <row r="832" spans="1:35" ht="12.75"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row>
    <row r="833" spans="1:35" ht="12.75"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row>
    <row r="834" spans="1:35" ht="12.75"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row>
    <row r="835" spans="1:35" ht="12.75"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row>
    <row r="836" spans="1:35" ht="12.75"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row>
    <row r="837" spans="1:35" ht="12.75"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row>
    <row r="838" spans="1:35" ht="12.75"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row>
    <row r="839" spans="1:35" ht="12.75"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row>
    <row r="840" spans="1:35" ht="12.75"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row>
    <row r="841" spans="1:35" ht="12.75"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row>
    <row r="842" spans="1:35" ht="12.75"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row>
    <row r="843" spans="1:35" ht="12.75"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row>
    <row r="844" spans="1:35" ht="12.75"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row>
    <row r="845" spans="1:35" ht="12.75"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row>
    <row r="846" spans="1:35" ht="12.75"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row>
    <row r="847" spans="1:35" ht="12.75"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row>
    <row r="848" spans="1:35" ht="12.75"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row>
    <row r="849" spans="1:35" ht="12.75"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row>
    <row r="850" spans="1:35" ht="12.75"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row>
    <row r="851" spans="1:35" ht="12.75"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row>
    <row r="852" spans="1:35" ht="12.75"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row>
    <row r="853" spans="1:35" ht="12.75"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row>
    <row r="854" spans="1:35" ht="12.75"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row>
    <row r="855" spans="1:35" ht="12.75"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row>
    <row r="856" spans="1:35" ht="12.75"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row>
    <row r="857" spans="1:35" ht="12.75"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row>
    <row r="858" spans="1:35" ht="12.75"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row>
    <row r="859" spans="1:35" ht="12.75"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row>
    <row r="860" spans="1:35" ht="12.75"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row>
    <row r="861" spans="1:35" ht="12.75"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row>
    <row r="862" spans="1:35" ht="12.75"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row>
    <row r="863" spans="1:35" ht="12.75"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row>
    <row r="864" spans="1:35" ht="12.75"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row>
    <row r="865" spans="1:35" ht="12.75"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row>
    <row r="866" spans="1:35" ht="12.75"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row>
    <row r="867" spans="1:35" ht="12.75"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row>
    <row r="868" spans="1:35" ht="12.75"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row>
    <row r="869" spans="1:35" ht="12.75"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row>
    <row r="870" spans="1:35" ht="12.75"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row>
    <row r="871" spans="1:35" ht="12.75"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row>
    <row r="872" spans="1:35" ht="12.75"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row>
    <row r="873" spans="1:35" ht="12.75"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row>
    <row r="874" spans="1:35" ht="12.75"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row>
    <row r="875" spans="1:35" ht="12.75"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row>
    <row r="876" spans="1:35" ht="12.75"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row>
    <row r="877" spans="1:35" ht="12.75"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row>
    <row r="878" spans="1:35" ht="12.75"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row>
    <row r="879" spans="1:35" ht="12.75"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row>
    <row r="880" spans="1:35" ht="12.75" customHeight="1"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row>
    <row r="881" spans="1:35" ht="12.75" customHeight="1"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row>
    <row r="882" spans="1:35" ht="12.75" customHeight="1"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row>
    <row r="883" spans="1:35" ht="12.75" customHeight="1"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row>
    <row r="884" spans="1:35" ht="12.75" customHeight="1"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row>
    <row r="885" spans="1:35" ht="12.75" customHeight="1"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row>
    <row r="886" spans="1:35" ht="12.75" customHeight="1"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row>
    <row r="887" spans="1:35" ht="12.75" customHeight="1"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row>
    <row r="888" spans="1:35" ht="12.75" customHeight="1"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row>
    <row r="889" spans="1:35" ht="12.75" customHeight="1"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row>
    <row r="890" spans="1:35" ht="12.75" customHeight="1"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row>
    <row r="891" spans="1:35" ht="12.75" customHeight="1"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row>
    <row r="892" spans="1:35" ht="12.75" customHeight="1"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row>
    <row r="893" spans="1:35" ht="12.75" customHeight="1"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row>
    <row r="894" spans="1:35" ht="12.75" customHeight="1"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row>
    <row r="895" spans="1:35" ht="12.75" customHeight="1"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row>
    <row r="896" spans="1:35" ht="12.75" customHeight="1"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row>
    <row r="897" spans="1:35" ht="12.75" customHeight="1"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row>
    <row r="898" spans="1:35" ht="12.75" customHeight="1"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row>
    <row r="899" spans="1:35" ht="12.75" customHeight="1"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row>
    <row r="900" spans="1:35" ht="12.75" customHeight="1"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row>
    <row r="901" spans="1:35" ht="12.75" customHeight="1"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row>
    <row r="902" spans="1:35" ht="12.75" customHeight="1"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row>
    <row r="903" spans="1:35" ht="12.75" customHeight="1"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row>
    <row r="904" spans="1:35" ht="12.75" customHeight="1"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row>
    <row r="905" spans="1:35" ht="12.75" customHeight="1"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row>
    <row r="906" spans="1:35" ht="12.75" customHeight="1"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row>
    <row r="907" spans="1:35" ht="12.75" customHeight="1"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row>
    <row r="908" spans="1:35" ht="12.75" customHeight="1"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row>
    <row r="909" spans="1:35" ht="12.75" customHeight="1"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row>
    <row r="910" spans="1:35" ht="12.75" customHeight="1"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row>
    <row r="911" spans="1:35" ht="12.75" customHeight="1"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row>
    <row r="912" spans="1:35" ht="12.75" customHeight="1"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row>
    <row r="913" spans="1:35" ht="12.75" customHeight="1"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row>
    <row r="914" spans="1:35" ht="12.75" customHeight="1"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row>
    <row r="915" spans="1:35" ht="12.75" customHeight="1"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row>
    <row r="916" spans="1:35" ht="12.75" customHeight="1"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row>
    <row r="917" spans="1:35" ht="12.75" customHeight="1"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row>
    <row r="918" spans="1:35" ht="12.75" customHeight="1"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row>
    <row r="919" spans="1:35" ht="12.75" customHeight="1"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row>
    <row r="920" spans="1:35" ht="12.75" customHeight="1"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row>
    <row r="921" spans="1:35" ht="12.75" customHeight="1"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row>
    <row r="922" spans="1:35" ht="12.75" customHeight="1"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row>
    <row r="923" spans="1:35" ht="12.75" customHeight="1"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row>
    <row r="924" spans="1:35" ht="12.75" customHeight="1"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row>
    <row r="925" spans="1:35" ht="12.75" customHeight="1"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row>
    <row r="926" spans="1:35" ht="12.75" customHeight="1"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row>
    <row r="927" spans="1:35" ht="12.75" customHeight="1"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row>
    <row r="928" spans="1:35" ht="12.75" customHeight="1"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row>
    <row r="929" spans="1:35" ht="12.75" customHeight="1"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row>
    <row r="930" spans="1:35" ht="12.75" customHeight="1"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row>
    <row r="931" spans="1:35" ht="12.75" customHeight="1"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row>
    <row r="932" spans="1:35" ht="12.75" customHeight="1"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row>
    <row r="933" spans="1:35" ht="12.75" customHeight="1"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row>
    <row r="934" spans="1:35" ht="12.75" customHeight="1"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row>
    <row r="935" spans="1:35" ht="12.75" customHeight="1"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row>
    <row r="936" spans="1:35" ht="12.75" customHeight="1"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row>
    <row r="937" spans="1:35" ht="12.75" customHeight="1"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row>
    <row r="938" spans="1:35" ht="12.75" customHeight="1"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row>
    <row r="939" spans="1:35" ht="12.75" customHeight="1"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row>
    <row r="940" spans="1:35" ht="12.75" customHeight="1"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row>
    <row r="941" spans="1:35" ht="12.75" customHeight="1"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row>
    <row r="942" spans="1:35" ht="12.75" customHeight="1"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row>
    <row r="943" spans="1:35" ht="12.75" customHeight="1"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row>
    <row r="944" spans="1:35" ht="12.75" customHeight="1"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row>
    <row r="945" spans="1:35" ht="12.75" customHeight="1"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row>
    <row r="946" spans="1:35" ht="12.75" customHeight="1"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row>
    <row r="947" spans="1:35" ht="12.75" customHeight="1"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row>
    <row r="948" spans="1:35" ht="12.75" customHeight="1"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row>
    <row r="949" spans="1:35" ht="12.75" customHeight="1"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row>
    <row r="950" spans="1:35" ht="12.75" customHeight="1"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row>
    <row r="951" spans="1:35" ht="12.75" customHeight="1"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row>
    <row r="952" spans="1:35" ht="12.75" customHeight="1"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row>
    <row r="953" spans="1:35" ht="12.75" customHeight="1"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row>
    <row r="954" spans="1:35" ht="12.75" customHeight="1"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row>
    <row r="955" spans="1:35" ht="12.75" customHeight="1"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row>
    <row r="956" spans="1:35" ht="12.75" customHeight="1"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row>
    <row r="957" spans="1:35" ht="12.75" customHeight="1"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row>
    <row r="958" spans="1:35" ht="12.75" customHeight="1"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row>
    <row r="959" spans="1:35" ht="12.75" customHeight="1"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row>
    <row r="960" spans="1:35" ht="12.75" customHeight="1"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row>
    <row r="961" spans="1:35" ht="12.75" customHeight="1"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row>
    <row r="962" spans="1:35" ht="12.75" customHeight="1"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row>
    <row r="963" spans="1:35" ht="12.75" customHeight="1"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row>
    <row r="964" spans="1:35" ht="12.75" customHeight="1"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row>
    <row r="965" spans="1:35" ht="12.75" customHeight="1"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row>
    <row r="966" spans="1:35" ht="12.75" customHeight="1"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row>
    <row r="967" spans="1:35" ht="12.75" customHeight="1"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row>
    <row r="968" spans="1:35" ht="12.75" customHeight="1"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row>
    <row r="969" spans="1:35" ht="12.75" customHeight="1"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row>
    <row r="970" spans="1:35" ht="12.75" customHeight="1"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row>
    <row r="971" spans="1:35" ht="12.75" customHeight="1"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row>
    <row r="972" spans="1:35" ht="12.75" customHeight="1"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row>
    <row r="973" spans="1:35" ht="12.75" customHeight="1"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row>
    <row r="974" spans="1:35" ht="12.75" customHeight="1"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row>
    <row r="975" spans="1:35" ht="12.75" customHeight="1"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row>
    <row r="976" spans="1:35" ht="12.75" customHeight="1"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row>
    <row r="977" spans="1:35" ht="12.75" customHeight="1"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row>
    <row r="978" spans="1:35" ht="12.75" customHeight="1"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row>
    <row r="979" spans="1:35" ht="12.75" customHeight="1"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row>
    <row r="980" spans="1:35" ht="12.75" customHeight="1"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row>
    <row r="981" spans="1:35" ht="12.75" customHeight="1"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row>
    <row r="982" spans="1:35" ht="12.75" customHeight="1"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row>
    <row r="983" spans="1:35" ht="12.75" customHeight="1"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row>
    <row r="984" spans="1:35" ht="12.75" customHeight="1"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row>
    <row r="985" spans="1:35" ht="12.75" customHeight="1"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row>
    <row r="986" spans="1:35" ht="12.75" customHeight="1"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row>
    <row r="987" spans="1:35" ht="12.75" customHeight="1"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row>
    <row r="988" spans="1:35" ht="12.75" customHeight="1"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row>
    <row r="989" spans="1:35" ht="12.75" customHeight="1"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row>
    <row r="990" spans="1:35" ht="12.75" customHeight="1"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row>
    <row r="991" spans="1:35" ht="12.75" customHeight="1"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row>
    <row r="992" spans="1:35" ht="12.75" customHeight="1"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row>
    <row r="993" spans="1:35" ht="12.75" customHeight="1"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row>
    <row r="994" spans="1:35" ht="12.75" customHeight="1"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row>
    <row r="995" spans="1:35" ht="12.75" customHeight="1"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row>
    <row r="996" spans="1:35" ht="12.75" customHeight="1"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row>
    <row r="997" spans="1:35" ht="12.75" customHeight="1"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row>
    <row r="998" spans="1:35" ht="12.75" customHeight="1"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row>
    <row r="999" spans="1:35" ht="12.75" customHeight="1"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row>
    <row r="1000" spans="1:35" ht="12.75" customHeight="1"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row>
    <row r="1001" spans="1:35" ht="12.75" customHeight="1" x14ac:dyDescent="0.25">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row>
    <row r="1002" spans="1:35" ht="12.75" customHeight="1" x14ac:dyDescent="0.25">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row>
  </sheetData>
  <pageMargins left="0.7" right="0.7" top="0.75" bottom="0.75" header="0" footer="0"/>
  <pageSetup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4F896-5915-41CE-9EDC-14760C9BCD38}">
  <dimension ref="A1:FS1"/>
  <sheetViews>
    <sheetView workbookViewId="0"/>
  </sheetViews>
  <sheetFormatPr defaultRowHeight="15" x14ac:dyDescent="0.25"/>
  <sheetData>
    <row r="1" spans="1:175" x14ac:dyDescent="0.25">
      <c r="A1">
        <v>175</v>
      </c>
      <c r="B1" t="s">
        <v>968</v>
      </c>
      <c r="C1" t="s">
        <v>969</v>
      </c>
      <c r="D1" t="s">
        <v>970</v>
      </c>
      <c r="E1" t="s">
        <v>971</v>
      </c>
      <c r="F1" t="s">
        <v>972</v>
      </c>
      <c r="G1" t="s">
        <v>973</v>
      </c>
      <c r="H1" t="s">
        <v>974</v>
      </c>
      <c r="I1" t="s">
        <v>975</v>
      </c>
      <c r="J1" t="s">
        <v>976</v>
      </c>
      <c r="K1" t="s">
        <v>977</v>
      </c>
      <c r="L1" t="s">
        <v>978</v>
      </c>
      <c r="M1" t="s">
        <v>979</v>
      </c>
      <c r="N1" t="s">
        <v>980</v>
      </c>
      <c r="O1" t="s">
        <v>981</v>
      </c>
      <c r="P1" t="s">
        <v>982</v>
      </c>
      <c r="Q1" t="s">
        <v>983</v>
      </c>
      <c r="R1" t="s">
        <v>984</v>
      </c>
      <c r="S1" t="s">
        <v>985</v>
      </c>
      <c r="T1" t="s">
        <v>986</v>
      </c>
      <c r="U1" t="s">
        <v>987</v>
      </c>
      <c r="V1" t="s">
        <v>988</v>
      </c>
      <c r="W1" t="s">
        <v>989</v>
      </c>
      <c r="X1" t="s">
        <v>990</v>
      </c>
      <c r="Y1" t="s">
        <v>991</v>
      </c>
      <c r="Z1" t="s">
        <v>992</v>
      </c>
      <c r="AA1" t="s">
        <v>993</v>
      </c>
      <c r="AB1" t="s">
        <v>994</v>
      </c>
      <c r="AC1" t="s">
        <v>995</v>
      </c>
      <c r="AD1" t="s">
        <v>996</v>
      </c>
      <c r="AE1" t="s">
        <v>997</v>
      </c>
      <c r="AF1" t="s">
        <v>998</v>
      </c>
      <c r="AG1" t="s">
        <v>999</v>
      </c>
      <c r="AH1" t="s">
        <v>1000</v>
      </c>
      <c r="AI1" t="s">
        <v>1001</v>
      </c>
      <c r="AJ1" t="s">
        <v>1002</v>
      </c>
      <c r="AK1" t="s">
        <v>1003</v>
      </c>
      <c r="AL1" t="s">
        <v>1004</v>
      </c>
      <c r="AM1" t="s">
        <v>1005</v>
      </c>
      <c r="AN1" t="s">
        <v>1006</v>
      </c>
      <c r="AO1" t="s">
        <v>1007</v>
      </c>
      <c r="AP1" t="s">
        <v>1008</v>
      </c>
      <c r="AQ1" t="s">
        <v>1009</v>
      </c>
      <c r="AR1" t="s">
        <v>1010</v>
      </c>
      <c r="AS1" t="s">
        <v>1011</v>
      </c>
      <c r="AT1" t="s">
        <v>1012</v>
      </c>
      <c r="AU1" t="s">
        <v>1013</v>
      </c>
      <c r="AV1" t="s">
        <v>1014</v>
      </c>
      <c r="AW1" t="s">
        <v>1015</v>
      </c>
      <c r="AX1" t="s">
        <v>1016</v>
      </c>
      <c r="AY1" t="s">
        <v>1017</v>
      </c>
      <c r="AZ1" t="s">
        <v>1018</v>
      </c>
      <c r="BA1" t="s">
        <v>1019</v>
      </c>
      <c r="BB1" t="s">
        <v>1020</v>
      </c>
      <c r="BC1" t="s">
        <v>1021</v>
      </c>
      <c r="BD1" t="s">
        <v>1022</v>
      </c>
      <c r="BE1" t="s">
        <v>1023</v>
      </c>
      <c r="BF1" t="s">
        <v>1024</v>
      </c>
      <c r="BG1" t="s">
        <v>1025</v>
      </c>
      <c r="BH1" t="s">
        <v>1026</v>
      </c>
      <c r="BI1" t="s">
        <v>1027</v>
      </c>
      <c r="BJ1" t="s">
        <v>1028</v>
      </c>
      <c r="BK1" t="s">
        <v>1029</v>
      </c>
      <c r="BL1" t="s">
        <v>1030</v>
      </c>
      <c r="BM1" t="s">
        <v>1031</v>
      </c>
      <c r="BN1" t="s">
        <v>1032</v>
      </c>
      <c r="BO1" t="s">
        <v>1033</v>
      </c>
      <c r="BP1" t="s">
        <v>1034</v>
      </c>
      <c r="BQ1" t="s">
        <v>1035</v>
      </c>
      <c r="BR1" t="s">
        <v>1036</v>
      </c>
      <c r="BS1" t="s">
        <v>1037</v>
      </c>
      <c r="BT1" t="s">
        <v>1038</v>
      </c>
      <c r="BU1" t="s">
        <v>1039</v>
      </c>
      <c r="BV1" t="s">
        <v>1040</v>
      </c>
      <c r="BW1" t="s">
        <v>1041</v>
      </c>
      <c r="BX1" t="s">
        <v>1042</v>
      </c>
      <c r="BY1" t="s">
        <v>1043</v>
      </c>
      <c r="BZ1" t="s">
        <v>1044</v>
      </c>
      <c r="CA1" t="s">
        <v>1045</v>
      </c>
      <c r="CB1" t="s">
        <v>1046</v>
      </c>
      <c r="CC1" t="s">
        <v>1047</v>
      </c>
      <c r="CD1" t="s">
        <v>1048</v>
      </c>
      <c r="CE1" t="s">
        <v>1049</v>
      </c>
      <c r="CF1" t="s">
        <v>1050</v>
      </c>
      <c r="CG1" t="s">
        <v>1051</v>
      </c>
      <c r="CH1" t="s">
        <v>1052</v>
      </c>
      <c r="CI1" t="s">
        <v>1053</v>
      </c>
      <c r="CJ1" t="s">
        <v>1054</v>
      </c>
      <c r="CK1" t="s">
        <v>1055</v>
      </c>
      <c r="CL1" t="s">
        <v>1056</v>
      </c>
      <c r="CM1" t="s">
        <v>1057</v>
      </c>
      <c r="CN1" t="s">
        <v>1058</v>
      </c>
      <c r="CO1" t="s">
        <v>1059</v>
      </c>
      <c r="CP1" t="s">
        <v>1060</v>
      </c>
      <c r="CQ1" t="s">
        <v>1061</v>
      </c>
      <c r="CR1" t="s">
        <v>1062</v>
      </c>
      <c r="CS1" t="s">
        <v>1063</v>
      </c>
      <c r="CT1" t="s">
        <v>1064</v>
      </c>
      <c r="CU1" t="s">
        <v>1065</v>
      </c>
      <c r="CV1" t="s">
        <v>1066</v>
      </c>
      <c r="CW1" t="s">
        <v>1067</v>
      </c>
      <c r="CX1" t="s">
        <v>1068</v>
      </c>
      <c r="CY1" t="s">
        <v>1069</v>
      </c>
      <c r="CZ1" t="s">
        <v>1070</v>
      </c>
      <c r="DA1" t="s">
        <v>1071</v>
      </c>
      <c r="DB1" t="s">
        <v>1072</v>
      </c>
      <c r="DC1" t="s">
        <v>1073</v>
      </c>
      <c r="DD1" t="s">
        <v>1074</v>
      </c>
      <c r="DE1" t="s">
        <v>1075</v>
      </c>
      <c r="DF1" t="s">
        <v>1076</v>
      </c>
      <c r="DG1" t="s">
        <v>1077</v>
      </c>
      <c r="DH1" t="s">
        <v>1078</v>
      </c>
      <c r="DI1" t="s">
        <v>1079</v>
      </c>
      <c r="DJ1" t="s">
        <v>1080</v>
      </c>
      <c r="DK1" t="s">
        <v>1081</v>
      </c>
      <c r="DL1" t="s">
        <v>1082</v>
      </c>
      <c r="DM1" t="s">
        <v>1083</v>
      </c>
      <c r="DN1" t="s">
        <v>1084</v>
      </c>
      <c r="DO1" t="s">
        <v>1085</v>
      </c>
      <c r="DP1" t="s">
        <v>1086</v>
      </c>
      <c r="DQ1" t="s">
        <v>1087</v>
      </c>
      <c r="DR1" t="s">
        <v>1088</v>
      </c>
      <c r="DS1" t="s">
        <v>1089</v>
      </c>
      <c r="DT1" t="s">
        <v>1090</v>
      </c>
      <c r="DU1" t="s">
        <v>1091</v>
      </c>
      <c r="DV1" t="s">
        <v>1092</v>
      </c>
      <c r="DW1" t="s">
        <v>1093</v>
      </c>
      <c r="DX1" t="s">
        <v>1094</v>
      </c>
      <c r="DY1" t="s">
        <v>1095</v>
      </c>
      <c r="DZ1" t="s">
        <v>1096</v>
      </c>
      <c r="EA1" t="s">
        <v>1097</v>
      </c>
      <c r="EB1" t="s">
        <v>1098</v>
      </c>
      <c r="EC1" t="s">
        <v>1099</v>
      </c>
      <c r="ED1" t="s">
        <v>1100</v>
      </c>
      <c r="EE1" t="s">
        <v>1101</v>
      </c>
      <c r="EF1" t="s">
        <v>1102</v>
      </c>
      <c r="EG1" t="s">
        <v>1103</v>
      </c>
      <c r="EH1" t="s">
        <v>1104</v>
      </c>
      <c r="EI1" t="s">
        <v>1105</v>
      </c>
      <c r="EJ1" t="s">
        <v>1106</v>
      </c>
      <c r="EK1" t="s">
        <v>1107</v>
      </c>
      <c r="EL1" t="s">
        <v>1108</v>
      </c>
      <c r="EM1" t="s">
        <v>1109</v>
      </c>
      <c r="EN1" t="s">
        <v>1110</v>
      </c>
      <c r="EO1" t="s">
        <v>1111</v>
      </c>
      <c r="EP1" t="s">
        <v>1112</v>
      </c>
      <c r="EQ1" t="s">
        <v>1113</v>
      </c>
      <c r="ER1" t="s">
        <v>1114</v>
      </c>
      <c r="ES1" t="s">
        <v>1115</v>
      </c>
      <c r="ET1" t="s">
        <v>1116</v>
      </c>
      <c r="EU1" t="s">
        <v>1117</v>
      </c>
      <c r="EV1" t="s">
        <v>1118</v>
      </c>
      <c r="EW1" t="s">
        <v>1119</v>
      </c>
      <c r="EX1" t="s">
        <v>1120</v>
      </c>
      <c r="EY1" t="s">
        <v>1121</v>
      </c>
      <c r="EZ1" t="s">
        <v>1122</v>
      </c>
      <c r="FA1" t="s">
        <v>1123</v>
      </c>
      <c r="FB1" t="s">
        <v>1124</v>
      </c>
      <c r="FC1" t="s">
        <v>1125</v>
      </c>
      <c r="FD1" t="s">
        <v>1126</v>
      </c>
      <c r="FE1" t="s">
        <v>1127</v>
      </c>
      <c r="FF1" t="s">
        <v>1128</v>
      </c>
      <c r="FG1" t="s">
        <v>1129</v>
      </c>
      <c r="FH1" t="s">
        <v>1130</v>
      </c>
      <c r="FI1" t="s">
        <v>1131</v>
      </c>
      <c r="FJ1" t="s">
        <v>1132</v>
      </c>
      <c r="FK1" t="s">
        <v>1133</v>
      </c>
      <c r="FL1" t="s">
        <v>1134</v>
      </c>
      <c r="FM1" t="s">
        <v>1135</v>
      </c>
      <c r="FN1" t="s">
        <v>1136</v>
      </c>
      <c r="FO1" t="s">
        <v>1137</v>
      </c>
      <c r="FP1" t="s">
        <v>1138</v>
      </c>
      <c r="FQ1" t="s">
        <v>1139</v>
      </c>
      <c r="FR1" t="s">
        <v>1140</v>
      </c>
      <c r="FS1" t="s">
        <v>1141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0000"/>
    <pageSetUpPr autoPageBreaks="0"/>
  </sheetPr>
  <dimension ref="A1:BO996"/>
  <sheetViews>
    <sheetView showGridLines="0" topLeftCell="C1" zoomScale="80" zoomScaleNormal="80" workbookViewId="0">
      <pane ySplit="2" topLeftCell="A3" activePane="bottomLeft" state="frozen"/>
      <selection pane="bottomLeft" activeCell="C1" sqref="C1"/>
    </sheetView>
  </sheetViews>
  <sheetFormatPr defaultColWidth="14.42578125" defaultRowHeight="15" customHeight="1" outlineLevelRow="1" outlineLevelCol="1" x14ac:dyDescent="0.25"/>
  <cols>
    <col min="1" max="1" width="2.5703125" hidden="1" customWidth="1" outlineLevel="1"/>
    <col min="2" max="2" width="22.5703125" hidden="1" customWidth="1" outlineLevel="1"/>
    <col min="3" max="3" width="1.7109375" customWidth="1" collapsed="1"/>
    <col min="4" max="4" width="22.5703125" customWidth="1"/>
    <col min="5" max="5" width="21.42578125" customWidth="1"/>
    <col min="6" max="6" width="10.5703125" customWidth="1"/>
    <col min="7" max="8" width="12.7109375" customWidth="1"/>
    <col min="9" max="9" width="11.7109375" customWidth="1"/>
    <col min="10" max="23" width="10.5703125" customWidth="1"/>
    <col min="24" max="24" width="22.5703125" hidden="1" customWidth="1" outlineLevel="1"/>
    <col min="25" max="25" width="1.7109375" customWidth="1" collapsed="1"/>
    <col min="26" max="26" width="22.5703125" hidden="1" customWidth="1" outlineLevel="1"/>
    <col min="27" max="27" width="8.7109375" hidden="1" customWidth="1" outlineLevel="1"/>
    <col min="28" max="30" width="10.5703125" hidden="1" customWidth="1" outlineLevel="1"/>
    <col min="31" max="31" width="11.7109375" hidden="1" customWidth="1" outlineLevel="1"/>
    <col min="32" max="44" width="10.5703125" hidden="1" customWidth="1" outlineLevel="1"/>
    <col min="45" max="45" width="8.7109375" customWidth="1" collapsed="1"/>
    <col min="46" max="46" width="22.5703125" hidden="1" customWidth="1" outlineLevel="1"/>
    <col min="47" max="47" width="1.7109375" customWidth="1" collapsed="1"/>
    <col min="48" max="48" width="22.5703125" hidden="1" customWidth="1" outlineLevel="1"/>
    <col min="49" max="49" width="8.7109375" hidden="1" customWidth="1" outlineLevel="1"/>
    <col min="50" max="52" width="10.5703125" hidden="1" customWidth="1" outlineLevel="1"/>
    <col min="53" max="53" width="11.7109375" hidden="1" customWidth="1" outlineLevel="1"/>
    <col min="54" max="66" width="10.5703125" hidden="1" customWidth="1" outlineLevel="1"/>
    <col min="67" max="67" width="14.42578125" collapsed="1"/>
  </cols>
  <sheetData>
    <row r="1" spans="1:66" ht="13.5" customHeight="1" x14ac:dyDescent="0.35">
      <c r="A1" s="4"/>
      <c r="B1" s="4"/>
      <c r="C1" s="465"/>
      <c r="D1" s="5" t="str">
        <f>Company_Name&amp;" - Comparable Company Analysis"</f>
        <v>American Express Company - Comparable Company Analysis</v>
      </c>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row>
    <row r="2" spans="1:66" ht="13.5" customHeight="1" x14ac:dyDescent="0.25">
      <c r="A2" s="2"/>
      <c r="B2" s="2"/>
      <c r="C2" s="466"/>
      <c r="D2" s="7" t="str">
        <f>Cover!C2</f>
        <v>$ in Millions Except Per Share Data</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row>
    <row r="3" spans="1:66" ht="13.5" customHeight="1" x14ac:dyDescent="0.25">
      <c r="A3" s="3"/>
      <c r="B3" s="2"/>
      <c r="C3" s="37"/>
      <c r="D3" s="9"/>
      <c r="E3" s="9"/>
      <c r="F3" s="9"/>
      <c r="G3" s="9"/>
      <c r="H3" s="9"/>
      <c r="I3" s="9"/>
      <c r="J3" s="9"/>
      <c r="K3" s="9"/>
      <c r="L3" s="9"/>
      <c r="M3" s="9"/>
      <c r="N3" s="9"/>
      <c r="O3" s="9"/>
      <c r="P3" s="9"/>
      <c r="Q3" s="9"/>
      <c r="R3" s="9"/>
      <c r="S3" s="9"/>
      <c r="T3" s="9"/>
      <c r="U3" s="9"/>
      <c r="V3" s="9"/>
      <c r="W3" s="9"/>
      <c r="X3" s="2"/>
      <c r="Y3" s="37"/>
      <c r="Z3" s="9"/>
      <c r="AA3" s="9"/>
      <c r="AB3" s="9"/>
      <c r="AC3" s="9"/>
      <c r="AD3" s="9"/>
      <c r="AE3" s="9"/>
      <c r="AF3" s="9"/>
      <c r="AG3" s="9"/>
      <c r="AH3" s="9"/>
      <c r="AI3" s="9"/>
      <c r="AJ3" s="9"/>
      <c r="AK3" s="9"/>
      <c r="AL3" s="9"/>
      <c r="AM3" s="9"/>
      <c r="AN3" s="9"/>
      <c r="AO3" s="9"/>
      <c r="AP3" s="9"/>
      <c r="AQ3" s="9"/>
      <c r="AR3" s="9"/>
      <c r="AS3" s="2"/>
      <c r="AT3" s="2"/>
      <c r="AU3" s="2"/>
      <c r="AV3" s="2"/>
      <c r="AW3" s="2"/>
      <c r="AX3" s="2"/>
      <c r="AY3" s="2"/>
      <c r="AZ3" s="2"/>
      <c r="BA3" s="2"/>
      <c r="BB3" s="2"/>
      <c r="BC3" s="2"/>
      <c r="BD3" s="2"/>
      <c r="BE3" s="2"/>
      <c r="BF3" s="2"/>
      <c r="BG3" s="2"/>
      <c r="BH3" s="2"/>
      <c r="BI3" s="2"/>
      <c r="BJ3" s="2"/>
      <c r="BK3" s="2"/>
      <c r="BL3" s="2"/>
      <c r="BM3" s="2"/>
      <c r="BN3" s="2"/>
    </row>
    <row r="4" spans="1:66" ht="13.5" customHeight="1" x14ac:dyDescent="0.25">
      <c r="A4" s="2"/>
      <c r="B4" s="2"/>
      <c r="C4" s="37"/>
      <c r="D4" s="932" t="str">
        <f>$D$82</f>
        <v>Primary Peer Group</v>
      </c>
      <c r="E4" s="933"/>
      <c r="F4" s="933"/>
      <c r="G4" s="933"/>
      <c r="H4" s="933"/>
      <c r="I4" s="933"/>
      <c r="J4" s="933"/>
      <c r="K4" s="933"/>
      <c r="L4" s="933"/>
      <c r="M4" s="933"/>
      <c r="N4" s="933"/>
      <c r="O4" s="933"/>
      <c r="P4" s="933"/>
      <c r="Q4" s="933"/>
      <c r="R4" s="933"/>
      <c r="S4" s="933"/>
      <c r="T4" s="933"/>
      <c r="U4" s="933"/>
      <c r="V4" s="934"/>
      <c r="W4" s="9"/>
      <c r="X4" s="2"/>
      <c r="Y4" s="37"/>
      <c r="Z4" s="988" t="str">
        <f>$G$82</f>
        <v>Defense Peer Group</v>
      </c>
      <c r="AA4" s="933"/>
      <c r="AB4" s="933"/>
      <c r="AC4" s="933"/>
      <c r="AD4" s="933"/>
      <c r="AE4" s="933"/>
      <c r="AF4" s="933"/>
      <c r="AG4" s="933"/>
      <c r="AH4" s="933"/>
      <c r="AI4" s="933"/>
      <c r="AJ4" s="933"/>
      <c r="AK4" s="933"/>
      <c r="AL4" s="933"/>
      <c r="AM4" s="933"/>
      <c r="AN4" s="933"/>
      <c r="AO4" s="933"/>
      <c r="AP4" s="933"/>
      <c r="AQ4" s="933"/>
      <c r="AR4" s="934"/>
      <c r="AS4" s="2"/>
      <c r="AT4" s="2"/>
      <c r="AU4" s="37"/>
      <c r="AV4" s="988" t="str">
        <f>$L$82</f>
        <v>Cap. Goods Peer Group</v>
      </c>
      <c r="AW4" s="933"/>
      <c r="AX4" s="933"/>
      <c r="AY4" s="933"/>
      <c r="AZ4" s="933"/>
      <c r="BA4" s="933"/>
      <c r="BB4" s="933"/>
      <c r="BC4" s="933"/>
      <c r="BD4" s="933"/>
      <c r="BE4" s="933"/>
      <c r="BF4" s="933"/>
      <c r="BG4" s="933"/>
      <c r="BH4" s="933"/>
      <c r="BI4" s="933"/>
      <c r="BJ4" s="933"/>
      <c r="BK4" s="933"/>
      <c r="BL4" s="933"/>
      <c r="BM4" s="933"/>
      <c r="BN4" s="934"/>
    </row>
    <row r="5" spans="1:66" ht="4.5" customHeight="1" x14ac:dyDescent="0.25">
      <c r="A5" s="2"/>
      <c r="B5" s="2"/>
      <c r="C5" s="37"/>
      <c r="D5" s="143"/>
      <c r="E5" s="467"/>
      <c r="F5" s="467"/>
      <c r="G5" s="467"/>
      <c r="H5" s="467"/>
      <c r="I5" s="467"/>
      <c r="J5" s="467"/>
      <c r="K5" s="467"/>
      <c r="L5" s="143"/>
      <c r="M5" s="467"/>
      <c r="N5" s="467"/>
      <c r="O5" s="467"/>
      <c r="P5" s="143"/>
      <c r="Q5" s="467"/>
      <c r="R5" s="467"/>
      <c r="S5" s="467"/>
      <c r="T5" s="143"/>
      <c r="U5" s="467"/>
      <c r="V5" s="467"/>
      <c r="W5" s="9"/>
      <c r="X5" s="2"/>
      <c r="Y5" s="37"/>
      <c r="Z5" s="468"/>
      <c r="AA5" s="469"/>
      <c r="AB5" s="469"/>
      <c r="AC5" s="469"/>
      <c r="AD5" s="469"/>
      <c r="AE5" s="469"/>
      <c r="AF5" s="469"/>
      <c r="AG5" s="469"/>
      <c r="AH5" s="468"/>
      <c r="AI5" s="469"/>
      <c r="AJ5" s="469"/>
      <c r="AK5" s="469"/>
      <c r="AL5" s="468"/>
      <c r="AM5" s="469"/>
      <c r="AN5" s="469"/>
      <c r="AO5" s="469"/>
      <c r="AP5" s="468"/>
      <c r="AQ5" s="469"/>
      <c r="AR5" s="469"/>
      <c r="AS5" s="2"/>
      <c r="AT5" s="2"/>
      <c r="AU5" s="37"/>
      <c r="AV5" s="468"/>
      <c r="AW5" s="469"/>
      <c r="AX5" s="469"/>
      <c r="AY5" s="469"/>
      <c r="AZ5" s="469"/>
      <c r="BA5" s="469"/>
      <c r="BB5" s="469"/>
      <c r="BC5" s="469"/>
      <c r="BD5" s="468"/>
      <c r="BE5" s="469"/>
      <c r="BF5" s="469"/>
      <c r="BG5" s="469"/>
      <c r="BH5" s="468"/>
      <c r="BI5" s="469"/>
      <c r="BJ5" s="469"/>
      <c r="BK5" s="469"/>
      <c r="BL5" s="468"/>
      <c r="BM5" s="469"/>
      <c r="BN5" s="469"/>
    </row>
    <row r="6" spans="1:66" ht="13.5" customHeight="1" x14ac:dyDescent="0.25">
      <c r="A6" s="2"/>
      <c r="B6" s="2"/>
      <c r="C6" s="37"/>
      <c r="D6" s="9"/>
      <c r="E6" s="9"/>
      <c r="F6" s="9"/>
      <c r="G6" s="9"/>
      <c r="H6" s="9"/>
      <c r="I6" s="9"/>
      <c r="J6" s="9"/>
      <c r="K6" s="9"/>
      <c r="L6" s="9"/>
      <c r="M6" s="9"/>
      <c r="N6" s="9"/>
      <c r="O6" s="9"/>
      <c r="P6" s="9"/>
      <c r="Q6" s="987" t="s">
        <v>457</v>
      </c>
      <c r="R6" s="944"/>
      <c r="S6" s="944"/>
      <c r="T6" s="944"/>
      <c r="U6" s="9"/>
      <c r="V6" s="9"/>
      <c r="W6" s="9"/>
      <c r="X6" s="2"/>
      <c r="Y6" s="37"/>
      <c r="Z6" s="9"/>
      <c r="AA6" s="9"/>
      <c r="AB6" s="9"/>
      <c r="AC6" s="9"/>
      <c r="AD6" s="9"/>
      <c r="AE6" s="9"/>
      <c r="AF6" s="9"/>
      <c r="AG6" s="9"/>
      <c r="AH6" s="9"/>
      <c r="AI6" s="9"/>
      <c r="AJ6" s="9"/>
      <c r="AK6" s="9"/>
      <c r="AL6" s="9"/>
      <c r="AM6" s="987" t="s">
        <v>457</v>
      </c>
      <c r="AN6" s="944"/>
      <c r="AO6" s="944"/>
      <c r="AP6" s="944"/>
      <c r="AQ6" s="9"/>
      <c r="AR6" s="9"/>
      <c r="AS6" s="2"/>
      <c r="AT6" s="2"/>
      <c r="AU6" s="37"/>
      <c r="AV6" s="9"/>
      <c r="AW6" s="9"/>
      <c r="AX6" s="9"/>
      <c r="AY6" s="9"/>
      <c r="AZ6" s="9"/>
      <c r="BA6" s="9"/>
      <c r="BB6" s="9"/>
      <c r="BC6" s="9"/>
      <c r="BD6" s="9"/>
      <c r="BE6" s="9"/>
      <c r="BF6" s="9"/>
      <c r="BG6" s="9"/>
      <c r="BH6" s="9"/>
      <c r="BI6" s="987" t="s">
        <v>457</v>
      </c>
      <c r="BJ6" s="944"/>
      <c r="BK6" s="944"/>
      <c r="BL6" s="944"/>
      <c r="BM6" s="9"/>
      <c r="BN6" s="9"/>
    </row>
    <row r="7" spans="1:66" ht="13.5" customHeight="1" x14ac:dyDescent="0.25">
      <c r="A7" s="2"/>
      <c r="B7" s="2"/>
      <c r="C7" s="37"/>
      <c r="D7" s="64"/>
      <c r="E7" s="64"/>
      <c r="F7" s="64"/>
      <c r="G7" s="64" t="s">
        <v>458</v>
      </c>
      <c r="H7" s="64" t="s">
        <v>459</v>
      </c>
      <c r="I7" s="987" t="s">
        <v>460</v>
      </c>
      <c r="J7" s="944"/>
      <c r="K7" s="987" t="s">
        <v>373</v>
      </c>
      <c r="L7" s="944"/>
      <c r="M7" s="987" t="s">
        <v>108</v>
      </c>
      <c r="N7" s="944"/>
      <c r="O7" s="987" t="s">
        <v>461</v>
      </c>
      <c r="P7" s="944"/>
      <c r="Q7" s="987" t="s">
        <v>277</v>
      </c>
      <c r="R7" s="944"/>
      <c r="S7" s="987" t="s">
        <v>460</v>
      </c>
      <c r="T7" s="944"/>
      <c r="U7" s="987" t="s">
        <v>462</v>
      </c>
      <c r="V7" s="944"/>
      <c r="W7" s="9"/>
      <c r="X7" s="2"/>
      <c r="Y7" s="37"/>
      <c r="Z7" s="64"/>
      <c r="AA7" s="64"/>
      <c r="AB7" s="64"/>
      <c r="AC7" s="64" t="s">
        <v>458</v>
      </c>
      <c r="AD7" s="64" t="s">
        <v>459</v>
      </c>
      <c r="AE7" s="987" t="s">
        <v>460</v>
      </c>
      <c r="AF7" s="944"/>
      <c r="AG7" s="987" t="s">
        <v>373</v>
      </c>
      <c r="AH7" s="944"/>
      <c r="AI7" s="987" t="s">
        <v>108</v>
      </c>
      <c r="AJ7" s="944"/>
      <c r="AK7" s="987" t="s">
        <v>461</v>
      </c>
      <c r="AL7" s="944"/>
      <c r="AM7" s="987" t="s">
        <v>277</v>
      </c>
      <c r="AN7" s="944"/>
      <c r="AO7" s="987" t="s">
        <v>460</v>
      </c>
      <c r="AP7" s="944"/>
      <c r="AQ7" s="987" t="s">
        <v>462</v>
      </c>
      <c r="AR7" s="944"/>
      <c r="AS7" s="2"/>
      <c r="AT7" s="2"/>
      <c r="AU7" s="37"/>
      <c r="AV7" s="64"/>
      <c r="AW7" s="64"/>
      <c r="AX7" s="64"/>
      <c r="AY7" s="64" t="s">
        <v>458</v>
      </c>
      <c r="AZ7" s="64" t="s">
        <v>459</v>
      </c>
      <c r="BA7" s="987" t="s">
        <v>460</v>
      </c>
      <c r="BB7" s="944"/>
      <c r="BC7" s="987" t="s">
        <v>373</v>
      </c>
      <c r="BD7" s="944"/>
      <c r="BE7" s="987" t="s">
        <v>108</v>
      </c>
      <c r="BF7" s="944"/>
      <c r="BG7" s="987" t="s">
        <v>461</v>
      </c>
      <c r="BH7" s="944"/>
      <c r="BI7" s="987" t="s">
        <v>277</v>
      </c>
      <c r="BJ7" s="944"/>
      <c r="BK7" s="987" t="s">
        <v>460</v>
      </c>
      <c r="BL7" s="944"/>
      <c r="BM7" s="987" t="s">
        <v>462</v>
      </c>
      <c r="BN7" s="944"/>
    </row>
    <row r="8" spans="1:66" ht="13.5" customHeight="1" x14ac:dyDescent="0.25">
      <c r="A8" s="2"/>
      <c r="B8" s="2"/>
      <c r="C8" s="37"/>
      <c r="D8" s="103"/>
      <c r="E8" s="64"/>
      <c r="F8" s="470" t="s">
        <v>22</v>
      </c>
      <c r="G8" s="470" t="s">
        <v>463</v>
      </c>
      <c r="H8" s="470" t="s">
        <v>61</v>
      </c>
      <c r="I8" s="470" t="s">
        <v>464</v>
      </c>
      <c r="J8" s="471">
        <f>Next_FYE</f>
        <v>46387</v>
      </c>
      <c r="K8" s="470" t="s">
        <v>464</v>
      </c>
      <c r="L8" s="471">
        <f>Next_FYE</f>
        <v>46387</v>
      </c>
      <c r="M8" s="470" t="s">
        <v>464</v>
      </c>
      <c r="N8" s="471">
        <f>Next_FYE</f>
        <v>46387</v>
      </c>
      <c r="O8" s="470" t="s">
        <v>464</v>
      </c>
      <c r="P8" s="471">
        <f>Next_FYE</f>
        <v>46387</v>
      </c>
      <c r="Q8" s="470" t="s">
        <v>464</v>
      </c>
      <c r="R8" s="471">
        <f>Next_FYE</f>
        <v>46387</v>
      </c>
      <c r="S8" s="470" t="s">
        <v>464</v>
      </c>
      <c r="T8" s="471">
        <f>Next_FYE</f>
        <v>46387</v>
      </c>
      <c r="U8" s="470" t="s">
        <v>464</v>
      </c>
      <c r="V8" s="471">
        <f>Next_FYE</f>
        <v>46387</v>
      </c>
      <c r="W8" s="9"/>
      <c r="X8" s="2"/>
      <c r="Y8" s="37"/>
      <c r="Z8" s="103"/>
      <c r="AA8" s="64"/>
      <c r="AB8" s="470" t="s">
        <v>22</v>
      </c>
      <c r="AC8" s="470" t="s">
        <v>463</v>
      </c>
      <c r="AD8" s="470" t="s">
        <v>61</v>
      </c>
      <c r="AE8" s="470" t="s">
        <v>464</v>
      </c>
      <c r="AF8" s="471">
        <f>Next_FYE</f>
        <v>46387</v>
      </c>
      <c r="AG8" s="470" t="str">
        <f>$I$8</f>
        <v>LTM</v>
      </c>
      <c r="AH8" s="471">
        <f>$J$8</f>
        <v>46387</v>
      </c>
      <c r="AI8" s="470" t="str">
        <f>$I$8</f>
        <v>LTM</v>
      </c>
      <c r="AJ8" s="471">
        <f>$J$8</f>
        <v>46387</v>
      </c>
      <c r="AK8" s="470" t="str">
        <f>$I$8</f>
        <v>LTM</v>
      </c>
      <c r="AL8" s="471">
        <f>$J$8</f>
        <v>46387</v>
      </c>
      <c r="AM8" s="470" t="str">
        <f>$I$8</f>
        <v>LTM</v>
      </c>
      <c r="AN8" s="471">
        <f>$J$8</f>
        <v>46387</v>
      </c>
      <c r="AO8" s="470" t="str">
        <f>$I$8</f>
        <v>LTM</v>
      </c>
      <c r="AP8" s="471">
        <f>$J$8</f>
        <v>46387</v>
      </c>
      <c r="AQ8" s="470" t="str">
        <f>$I$8</f>
        <v>LTM</v>
      </c>
      <c r="AR8" s="471">
        <f>$J$8</f>
        <v>46387</v>
      </c>
      <c r="AS8" s="2"/>
      <c r="AT8" s="2"/>
      <c r="AU8" s="37"/>
      <c r="AV8" s="103"/>
      <c r="AW8" s="64"/>
      <c r="AX8" s="470" t="s">
        <v>22</v>
      </c>
      <c r="AY8" s="470" t="s">
        <v>463</v>
      </c>
      <c r="AZ8" s="470" t="s">
        <v>61</v>
      </c>
      <c r="BA8" s="470" t="s">
        <v>464</v>
      </c>
      <c r="BB8" s="471">
        <f>Next_FYE</f>
        <v>46387</v>
      </c>
      <c r="BC8" s="470" t="str">
        <f>$I$8</f>
        <v>LTM</v>
      </c>
      <c r="BD8" s="471">
        <f>$J$8</f>
        <v>46387</v>
      </c>
      <c r="BE8" s="470" t="str">
        <f>$I$8</f>
        <v>LTM</v>
      </c>
      <c r="BF8" s="471">
        <f>$J$8</f>
        <v>46387</v>
      </c>
      <c r="BG8" s="470" t="str">
        <f>$I$8</f>
        <v>LTM</v>
      </c>
      <c r="BH8" s="471">
        <f>$J$8</f>
        <v>46387</v>
      </c>
      <c r="BI8" s="470" t="str">
        <f>$I$8</f>
        <v>LTM</v>
      </c>
      <c r="BJ8" s="471">
        <f>$J$8</f>
        <v>46387</v>
      </c>
      <c r="BK8" s="470" t="str">
        <f>$I$8</f>
        <v>LTM</v>
      </c>
      <c r="BL8" s="471">
        <f>$J$8</f>
        <v>46387</v>
      </c>
      <c r="BM8" s="470" t="str">
        <f>$I$8</f>
        <v>LTM</v>
      </c>
      <c r="BN8" s="471">
        <f>$J$8</f>
        <v>46387</v>
      </c>
    </row>
    <row r="9" spans="1:66" ht="4.5" customHeight="1" x14ac:dyDescent="0.25">
      <c r="A9" s="2"/>
      <c r="B9" s="2"/>
      <c r="C9" s="37"/>
      <c r="D9" s="64"/>
      <c r="E9" s="64"/>
      <c r="F9" s="64"/>
      <c r="G9" s="64"/>
      <c r="H9" s="64"/>
      <c r="I9" s="472"/>
      <c r="J9" s="64"/>
      <c r="K9" s="64"/>
      <c r="L9" s="64"/>
      <c r="M9" s="64"/>
      <c r="N9" s="64"/>
      <c r="O9" s="64"/>
      <c r="P9" s="64"/>
      <c r="Q9" s="64"/>
      <c r="R9" s="64"/>
      <c r="S9" s="64"/>
      <c r="T9" s="64"/>
      <c r="U9" s="64"/>
      <c r="V9" s="64"/>
      <c r="W9" s="9"/>
      <c r="X9" s="2"/>
      <c r="Y9" s="37"/>
      <c r="Z9" s="64"/>
      <c r="AA9" s="64"/>
      <c r="AB9" s="64"/>
      <c r="AC9" s="64"/>
      <c r="AD9" s="64"/>
      <c r="AE9" s="472"/>
      <c r="AF9" s="64"/>
      <c r="AG9" s="64"/>
      <c r="AH9" s="64"/>
      <c r="AI9" s="64"/>
      <c r="AJ9" s="64"/>
      <c r="AK9" s="64"/>
      <c r="AL9" s="64"/>
      <c r="AM9" s="64"/>
      <c r="AN9" s="64"/>
      <c r="AO9" s="64"/>
      <c r="AP9" s="64"/>
      <c r="AQ9" s="64"/>
      <c r="AR9" s="64"/>
      <c r="AS9" s="2"/>
      <c r="AT9" s="2"/>
      <c r="AU9" s="37"/>
      <c r="AV9" s="64"/>
      <c r="AW9" s="64"/>
      <c r="AX9" s="64"/>
      <c r="AY9" s="64"/>
      <c r="AZ9" s="64"/>
      <c r="BA9" s="472"/>
      <c r="BB9" s="64"/>
      <c r="BC9" s="64"/>
      <c r="BD9" s="64"/>
      <c r="BE9" s="64"/>
      <c r="BF9" s="64"/>
      <c r="BG9" s="64"/>
      <c r="BH9" s="64"/>
      <c r="BI9" s="64"/>
      <c r="BJ9" s="64"/>
      <c r="BK9" s="64"/>
      <c r="BL9" s="64"/>
      <c r="BM9" s="64"/>
      <c r="BN9" s="64"/>
    </row>
    <row r="10" spans="1:66" ht="13.5" customHeight="1" x14ac:dyDescent="0.25">
      <c r="A10" s="2"/>
      <c r="B10" s="2"/>
      <c r="C10" s="37"/>
      <c r="D10" s="11" t="s">
        <v>853</v>
      </c>
      <c r="E10" s="12"/>
      <c r="F10" s="51" t="s">
        <v>817</v>
      </c>
      <c r="G10" s="473">
        <v>205860</v>
      </c>
      <c r="H10" s="473">
        <v>218722.48</v>
      </c>
      <c r="I10" s="474">
        <v>0.102182</v>
      </c>
      <c r="J10" s="474">
        <v>0.17651237558419064</v>
      </c>
      <c r="K10" s="474">
        <v>9.7787000000000013E-2</v>
      </c>
      <c r="L10" s="474">
        <v>0.14373797139141731</v>
      </c>
      <c r="M10" s="474">
        <v>0.33679999999999999</v>
      </c>
      <c r="N10" s="474">
        <v>0.3472257328899141</v>
      </c>
      <c r="O10" s="474">
        <v>0.16175100000000001</v>
      </c>
      <c r="P10" s="474">
        <v>0.15181273535208004</v>
      </c>
      <c r="Q10" s="475">
        <v>9.1999999999999993</v>
      </c>
      <c r="R10" s="475">
        <v>12.6</v>
      </c>
      <c r="S10" s="475">
        <v>2.7</v>
      </c>
      <c r="T10" s="475">
        <v>2.7</v>
      </c>
      <c r="U10" s="475">
        <v>19.003250000000001</v>
      </c>
      <c r="V10" s="476">
        <v>16.755862633410693</v>
      </c>
      <c r="W10" s="9"/>
      <c r="X10" s="2"/>
      <c r="Y10" s="37"/>
      <c r="Z10" s="11" t="str">
        <f>Z49</f>
        <v>American Express Company</v>
      </c>
      <c r="AA10" s="12"/>
      <c r="AB10" s="51" t="s">
        <v>23</v>
      </c>
      <c r="AC10" s="473">
        <v>6040.9355599999999</v>
      </c>
      <c r="AD10" s="473">
        <v>5561.8385600000001</v>
      </c>
      <c r="AE10" s="477">
        <v>0.19067000000000001</v>
      </c>
      <c r="AF10" s="477">
        <v>3.4378215784057531E-2</v>
      </c>
      <c r="AG10" s="477">
        <v>0.124316</v>
      </c>
      <c r="AH10" s="477">
        <v>-0.13980789754535738</v>
      </c>
      <c r="AI10" s="477">
        <v>0.28053100000000003</v>
      </c>
      <c r="AJ10" s="477">
        <v>0.29106114754641993</v>
      </c>
      <c r="AK10" s="477">
        <v>0.15246799999999999</v>
      </c>
      <c r="AL10" s="477">
        <v>0.20242258666034044</v>
      </c>
      <c r="AM10" s="475">
        <v>0</v>
      </c>
      <c r="AN10" s="475">
        <v>24.372328847561164</v>
      </c>
      <c r="AO10" s="475">
        <v>0</v>
      </c>
      <c r="AP10" s="475">
        <v>7.0938380027498669</v>
      </c>
      <c r="AQ10" s="475">
        <v>0</v>
      </c>
      <c r="AR10" s="476">
        <v>38.06344748498806</v>
      </c>
      <c r="AS10" s="2"/>
      <c r="AT10" s="2"/>
      <c r="AU10" s="37"/>
      <c r="AV10" s="11" t="str">
        <f>Company_Name</f>
        <v>American Express Company</v>
      </c>
      <c r="AW10" s="12"/>
      <c r="AX10" s="51" t="s">
        <v>23</v>
      </c>
      <c r="AY10" s="473">
        <v>6040.9355599999999</v>
      </c>
      <c r="AZ10" s="473">
        <v>5561.8385600000001</v>
      </c>
      <c r="BA10" s="477">
        <v>0.19067000000000001</v>
      </c>
      <c r="BB10" s="477">
        <v>3.4378215784057531E-2</v>
      </c>
      <c r="BC10" s="477">
        <v>0.124316</v>
      </c>
      <c r="BD10" s="477">
        <v>-0.13980789754535738</v>
      </c>
      <c r="BE10" s="477">
        <v>0.28053100000000003</v>
      </c>
      <c r="BF10" s="477">
        <v>0.29106114754641993</v>
      </c>
      <c r="BG10" s="477">
        <v>0.15246799999999999</v>
      </c>
      <c r="BH10" s="477">
        <v>0.20242258666034044</v>
      </c>
      <c r="BI10" s="475">
        <v>0</v>
      </c>
      <c r="BJ10" s="475">
        <v>24.372328847561164</v>
      </c>
      <c r="BK10" s="475">
        <v>0</v>
      </c>
      <c r="BL10" s="475">
        <v>7.0938380027498669</v>
      </c>
      <c r="BM10" s="475">
        <v>0</v>
      </c>
      <c r="BN10" s="476">
        <v>38.06344748498806</v>
      </c>
    </row>
    <row r="11" spans="1:66" ht="13.5" customHeight="1" x14ac:dyDescent="0.25">
      <c r="A11" s="2"/>
      <c r="B11" s="2"/>
      <c r="C11" s="37"/>
      <c r="D11" s="9"/>
      <c r="E11" s="9"/>
      <c r="F11" s="64"/>
      <c r="G11" s="478"/>
      <c r="H11" s="64"/>
      <c r="I11" s="479"/>
      <c r="J11" s="479"/>
      <c r="K11" s="479"/>
      <c r="L11" s="479"/>
      <c r="M11" s="479"/>
      <c r="N11" s="479"/>
      <c r="O11" s="479"/>
      <c r="P11" s="479"/>
      <c r="Q11" s="480"/>
      <c r="R11" s="480"/>
      <c r="S11" s="480"/>
      <c r="T11" s="64"/>
      <c r="U11" s="64"/>
      <c r="V11" s="64"/>
      <c r="W11" s="9"/>
      <c r="X11" s="2"/>
      <c r="Y11" s="37"/>
      <c r="Z11" s="9"/>
      <c r="AA11" s="9"/>
      <c r="AB11" s="64"/>
      <c r="AC11" s="478"/>
      <c r="AD11" s="64"/>
      <c r="AE11" s="479"/>
      <c r="AF11" s="479"/>
      <c r="AG11" s="479"/>
      <c r="AH11" s="479"/>
      <c r="AI11" s="479"/>
      <c r="AJ11" s="479"/>
      <c r="AK11" s="479"/>
      <c r="AL11" s="479"/>
      <c r="AM11" s="480"/>
      <c r="AN11" s="480"/>
      <c r="AO11" s="480"/>
      <c r="AP11" s="64"/>
      <c r="AQ11" s="64"/>
      <c r="AR11" s="64"/>
      <c r="AS11" s="2"/>
      <c r="AT11" s="2"/>
      <c r="AU11" s="37"/>
      <c r="AV11" s="9"/>
      <c r="AW11" s="9"/>
      <c r="AX11" s="64"/>
      <c r="AY11" s="478"/>
      <c r="AZ11" s="64"/>
      <c r="BA11" s="479"/>
      <c r="BB11" s="479"/>
      <c r="BC11" s="479"/>
      <c r="BD11" s="479"/>
      <c r="BE11" s="479"/>
      <c r="BF11" s="479"/>
      <c r="BG11" s="479"/>
      <c r="BH11" s="479"/>
      <c r="BI11" s="480"/>
      <c r="BJ11" s="480"/>
      <c r="BK11" s="480"/>
      <c r="BL11" s="64"/>
      <c r="BM11" s="64"/>
      <c r="BN11" s="64"/>
    </row>
    <row r="12" spans="1:66" ht="13.5" customHeight="1" x14ac:dyDescent="0.25">
      <c r="A12" s="2"/>
      <c r="B12" s="2"/>
      <c r="C12" s="37"/>
      <c r="D12" s="9" t="s">
        <v>919</v>
      </c>
      <c r="E12" s="9"/>
      <c r="F12" s="64" t="s">
        <v>962</v>
      </c>
      <c r="G12" s="481">
        <v>563263.87011000002</v>
      </c>
      <c r="H12" s="481">
        <v>568594.87011000002</v>
      </c>
      <c r="I12" s="482">
        <v>0.124694</v>
      </c>
      <c r="J12" s="482">
        <v>0.11538669075000008</v>
      </c>
      <c r="K12" s="482">
        <v>7.3573E-2</v>
      </c>
      <c r="L12" s="482">
        <v>0.25985254507745204</v>
      </c>
      <c r="M12" s="482">
        <v>0.70032099999999997</v>
      </c>
      <c r="N12" s="482">
        <v>0.70440301647467007</v>
      </c>
      <c r="O12" s="482">
        <v>0.50233099999999997</v>
      </c>
      <c r="P12" s="482">
        <v>0.5512373032589909</v>
      </c>
      <c r="Q12" s="483">
        <v>19.484439999999999</v>
      </c>
      <c r="R12" s="483">
        <v>18.092404159567412</v>
      </c>
      <c r="S12" s="483">
        <v>13.737159999999999</v>
      </c>
      <c r="T12" s="483">
        <v>12.744344065278153</v>
      </c>
      <c r="U12" s="483">
        <v>27.758299999999998</v>
      </c>
      <c r="V12" s="483">
        <v>22.90276126439786</v>
      </c>
      <c r="W12" s="9"/>
      <c r="X12" s="2"/>
      <c r="Y12" s="37"/>
      <c r="Z12" s="9" t="e">
        <f t="shared" ref="Z12:Z15" ca="1" si="0">Z69</f>
        <v>#NAME?</v>
      </c>
      <c r="AA12" s="9"/>
      <c r="AB12" s="64" t="s">
        <v>465</v>
      </c>
      <c r="AC12" s="481">
        <v>128030.64896999999</v>
      </c>
      <c r="AD12" s="481">
        <v>154660.64897000001</v>
      </c>
      <c r="AE12" s="479">
        <v>0.28479199999999999</v>
      </c>
      <c r="AF12" s="479">
        <v>0.15215755721278734</v>
      </c>
      <c r="AG12" s="479">
        <v>0.43208399999999997</v>
      </c>
      <c r="AH12" s="479">
        <v>-2.5665133721199402</v>
      </c>
      <c r="AI12" s="479">
        <v>0.14710100000000001</v>
      </c>
      <c r="AJ12" s="479">
        <v>0.15766706958122381</v>
      </c>
      <c r="AK12" s="479">
        <v>3.5056999999999998E-2</v>
      </c>
      <c r="AL12" s="479">
        <v>9.3871453856720549E-2</v>
      </c>
      <c r="AM12" s="483">
        <v>16.461069999999999</v>
      </c>
      <c r="AN12" s="483">
        <v>15.045626948605292</v>
      </c>
      <c r="AO12" s="483">
        <v>2.5757699999999999</v>
      </c>
      <c r="AP12" s="483">
        <v>2.3721999109988872</v>
      </c>
      <c r="AQ12" s="483">
        <v>63.46893</v>
      </c>
      <c r="AR12" s="483">
        <v>20.919526956583937</v>
      </c>
      <c r="AS12" s="2"/>
      <c r="AT12" s="2"/>
      <c r="AU12" s="37"/>
      <c r="AV12" s="9" t="e">
        <f t="shared" ref="AV12:AV15" ca="1" si="1">AV51</f>
        <v>#NAME?</v>
      </c>
      <c r="AW12" s="9"/>
      <c r="AX12" s="64" t="s">
        <v>466</v>
      </c>
      <c r="AY12" s="481">
        <v>112863.39125</v>
      </c>
      <c r="AZ12" s="481">
        <v>126547.39125</v>
      </c>
      <c r="BA12" s="479">
        <v>0.107836</v>
      </c>
      <c r="BB12" s="479">
        <v>9.4074177541635606E-2</v>
      </c>
      <c r="BC12" s="479">
        <v>0.139568</v>
      </c>
      <c r="BD12" s="479">
        <v>7.1204324324324331E-2</v>
      </c>
      <c r="BE12" s="479">
        <v>0.29003200000000001</v>
      </c>
      <c r="BF12" s="479">
        <v>0.26891896707285307</v>
      </c>
      <c r="BG12" s="479">
        <v>0.17038</v>
      </c>
      <c r="BH12" s="479">
        <v>0.1651012198285608</v>
      </c>
      <c r="BI12" s="483">
        <v>11.087059999999999</v>
      </c>
      <c r="BJ12" s="483">
        <v>13.364261803244904</v>
      </c>
      <c r="BK12" s="483">
        <v>3.3659500000000002</v>
      </c>
      <c r="BL12" s="483">
        <v>3.5939034798198044</v>
      </c>
      <c r="BM12" s="483">
        <v>17.64282</v>
      </c>
      <c r="BN12" s="483">
        <v>19.414044738313191</v>
      </c>
    </row>
    <row r="13" spans="1:66" ht="13.5" customHeight="1" x14ac:dyDescent="0.25">
      <c r="A13" s="2"/>
      <c r="B13" s="2"/>
      <c r="C13" s="37"/>
      <c r="D13" s="9" t="s">
        <v>930</v>
      </c>
      <c r="E13" s="9"/>
      <c r="F13" s="64" t="s">
        <v>929</v>
      </c>
      <c r="G13" s="481">
        <v>431851.19348000002</v>
      </c>
      <c r="H13" s="481">
        <v>440592.19348000002</v>
      </c>
      <c r="I13" s="482">
        <v>0.164163</v>
      </c>
      <c r="J13" s="482">
        <v>0.12829999085114818</v>
      </c>
      <c r="K13" s="482">
        <v>0.18934400000000001</v>
      </c>
      <c r="L13" s="482">
        <v>0.18623305084745767</v>
      </c>
      <c r="M13" s="482">
        <v>0.62651299999999999</v>
      </c>
      <c r="N13" s="482">
        <v>0.62975800558326189</v>
      </c>
      <c r="O13" s="482">
        <v>0.45646599999999998</v>
      </c>
      <c r="P13" s="482">
        <v>0.46926812590435424</v>
      </c>
      <c r="Q13" s="483">
        <v>21.446269999999998</v>
      </c>
      <c r="R13" s="483">
        <v>18.909665874094998</v>
      </c>
      <c r="S13" s="483">
        <v>13.43638</v>
      </c>
      <c r="T13" s="483">
        <v>11.908513467115935</v>
      </c>
      <c r="U13" s="483">
        <v>29.312349999999999</v>
      </c>
      <c r="V13" s="483">
        <v>24.873323696471918</v>
      </c>
      <c r="W13" s="9"/>
      <c r="X13" s="2"/>
      <c r="Y13" s="37"/>
      <c r="Z13" s="9" t="e">
        <f t="shared" ca="1" si="0"/>
        <v>#NAME?</v>
      </c>
      <c r="AA13" s="9"/>
      <c r="AB13" s="64" t="s">
        <v>467</v>
      </c>
      <c r="AC13" s="481">
        <v>129979.18471</v>
      </c>
      <c r="AD13" s="481">
        <v>172393.18471</v>
      </c>
      <c r="AE13" s="479">
        <v>-7.4287999999999993E-2</v>
      </c>
      <c r="AF13" s="479">
        <v>0.26827198442174782</v>
      </c>
      <c r="AG13" s="479">
        <v>0.43208399999999997</v>
      </c>
      <c r="AH13" s="479">
        <v>-0.97760967432950197</v>
      </c>
      <c r="AI13" s="479">
        <v>-2.9094999999999999E-2</v>
      </c>
      <c r="AJ13" s="479">
        <v>7.5836172983072728E-2</v>
      </c>
      <c r="AK13" s="479">
        <v>-0.14303000000000002</v>
      </c>
      <c r="AL13" s="479">
        <v>-5.4210976329000351E-3</v>
      </c>
      <c r="AM13" s="483" t="s">
        <v>468</v>
      </c>
      <c r="AN13" s="483">
        <v>30.819232691225288</v>
      </c>
      <c r="AO13" s="483">
        <v>2.8267600000000002</v>
      </c>
      <c r="AP13" s="483">
        <v>2.3372126615773308</v>
      </c>
      <c r="AQ13" s="483" t="s">
        <v>468</v>
      </c>
      <c r="AR13" s="483" t="s">
        <v>468</v>
      </c>
      <c r="AS13" s="2"/>
      <c r="AT13" s="2"/>
      <c r="AU13" s="37"/>
      <c r="AV13" s="9" t="e">
        <f t="shared" ca="1" si="1"/>
        <v>#NAME?</v>
      </c>
      <c r="AW13" s="9"/>
      <c r="AX13" s="64" t="s">
        <v>469</v>
      </c>
      <c r="AY13" s="481">
        <v>116444.01873</v>
      </c>
      <c r="AZ13" s="481">
        <v>165361.01873000001</v>
      </c>
      <c r="BA13" s="479">
        <v>-8.3476999999999996E-2</v>
      </c>
      <c r="BB13" s="479">
        <v>-3.6353036963538865E-2</v>
      </c>
      <c r="BC13" s="479">
        <v>0.139568</v>
      </c>
      <c r="BD13" s="479">
        <v>-0.57771187139860958</v>
      </c>
      <c r="BE13" s="479">
        <v>8.6125000000000007E-2</v>
      </c>
      <c r="BF13" s="479">
        <v>0.10098877292986558</v>
      </c>
      <c r="BG13" s="479">
        <v>-3.1019999999999999E-2</v>
      </c>
      <c r="BH13" s="479">
        <v>2.7997383350577984E-2</v>
      </c>
      <c r="BI13" s="483">
        <v>20.848230000000001</v>
      </c>
      <c r="BJ13" s="483">
        <v>21.341521001218538</v>
      </c>
      <c r="BK13" s="483">
        <v>2.0760299999999998</v>
      </c>
      <c r="BL13" s="483">
        <v>2.1552540183700164</v>
      </c>
      <c r="BM13" s="483" t="s">
        <v>468</v>
      </c>
      <c r="BN13" s="483">
        <v>54.208209895473338</v>
      </c>
    </row>
    <row r="14" spans="1:66" ht="13.5" customHeight="1" x14ac:dyDescent="0.25">
      <c r="A14" s="2"/>
      <c r="B14" s="2"/>
      <c r="C14" s="37"/>
      <c r="D14" s="9" t="s">
        <v>941</v>
      </c>
      <c r="E14" s="9"/>
      <c r="F14" s="64" t="s">
        <v>963</v>
      </c>
      <c r="G14" s="481">
        <v>109014.8723</v>
      </c>
      <c r="H14" s="481">
        <v>114985.92200000001</v>
      </c>
      <c r="I14" s="482">
        <v>0.19648800000000002</v>
      </c>
      <c r="J14" s="482">
        <v>0.93595359406937373</v>
      </c>
      <c r="K14" s="482">
        <v>-0.70996499999999996</v>
      </c>
      <c r="L14" s="482">
        <v>4.0367011597407814</v>
      </c>
      <c r="M14" s="482">
        <v>0.56910000000000005</v>
      </c>
      <c r="N14" s="482">
        <v>0.64514479128108826</v>
      </c>
      <c r="O14" s="482">
        <v>7.4833999999999998E-2</v>
      </c>
      <c r="P14" s="482">
        <v>0.19131494039484739</v>
      </c>
      <c r="Q14" s="483">
        <v>0</v>
      </c>
      <c r="R14" s="483">
        <v>0</v>
      </c>
      <c r="S14" s="483">
        <v>2.2999999999999998</v>
      </c>
      <c r="T14" s="483">
        <v>2.5</v>
      </c>
      <c r="U14" s="483">
        <v>52.43242</v>
      </c>
      <c r="V14" s="483">
        <v>8.9793773036090645</v>
      </c>
      <c r="W14" s="9"/>
      <c r="X14" s="2"/>
      <c r="Y14" s="37"/>
      <c r="Z14" s="9" t="e">
        <f t="shared" ca="1" si="0"/>
        <v>#NAME?</v>
      </c>
      <c r="AA14" s="9"/>
      <c r="AB14" s="64" t="s">
        <v>470</v>
      </c>
      <c r="AC14" s="481">
        <v>8308.7197699999997</v>
      </c>
      <c r="AD14" s="481">
        <v>9819.7197699999997</v>
      </c>
      <c r="AE14" s="479">
        <v>7.3869999999999991E-2</v>
      </c>
      <c r="AF14" s="479">
        <v>5.5577780151693235E-2</v>
      </c>
      <c r="AG14" s="479">
        <v>0.43208399999999997</v>
      </c>
      <c r="AH14" s="479">
        <v>-0.23063185530921815</v>
      </c>
      <c r="AI14" s="479">
        <v>0.12192</v>
      </c>
      <c r="AJ14" s="479">
        <v>8.4324001841222004E-2</v>
      </c>
      <c r="AK14" s="479">
        <v>7.8078999999999996E-2</v>
      </c>
      <c r="AL14" s="479">
        <v>0</v>
      </c>
      <c r="AM14" s="483">
        <v>7.41228</v>
      </c>
      <c r="AN14" s="483">
        <v>11.785157752018538</v>
      </c>
      <c r="AO14" s="483">
        <v>0.98224</v>
      </c>
      <c r="AP14" s="483">
        <v>0.99377166398030303</v>
      </c>
      <c r="AQ14" s="483">
        <v>10.643929999999999</v>
      </c>
      <c r="AR14" s="483">
        <v>20.919526956583937</v>
      </c>
      <c r="AS14" s="2"/>
      <c r="AT14" s="2"/>
      <c r="AU14" s="37"/>
      <c r="AV14" s="9" t="e">
        <f t="shared" ca="1" si="1"/>
        <v>#NAME?</v>
      </c>
      <c r="AW14" s="9"/>
      <c r="AX14" s="64" t="s">
        <v>471</v>
      </c>
      <c r="AY14" s="481">
        <v>159578.88610999999</v>
      </c>
      <c r="AZ14" s="481">
        <v>169888.88610999999</v>
      </c>
      <c r="BA14" s="479">
        <v>-1.6309000000000001E-2</v>
      </c>
      <c r="BB14" s="479">
        <v>7.4231268805343698E-2</v>
      </c>
      <c r="BC14" s="479">
        <v>-0.135737</v>
      </c>
      <c r="BD14" s="479">
        <v>0.20102827380952371</v>
      </c>
      <c r="BE14" s="479">
        <v>0.24559</v>
      </c>
      <c r="BF14" s="479">
        <v>0.25050484821913088</v>
      </c>
      <c r="BG14" s="479">
        <v>0.14646999999999999</v>
      </c>
      <c r="BH14" s="479">
        <v>0.16202131881505455</v>
      </c>
      <c r="BI14" s="483">
        <v>18.49203</v>
      </c>
      <c r="BJ14" s="483">
        <v>19.343756300866573</v>
      </c>
      <c r="BK14" s="483">
        <v>4.7124499999999996</v>
      </c>
      <c r="BL14" s="483">
        <v>4.8457047361364376</v>
      </c>
      <c r="BM14" s="483">
        <v>30.831659999999999</v>
      </c>
      <c r="BN14" s="483">
        <v>28.092814093008723</v>
      </c>
    </row>
    <row r="15" spans="1:66" ht="13.5" customHeight="1" x14ac:dyDescent="0.25">
      <c r="A15" s="2"/>
      <c r="B15" s="2"/>
      <c r="C15" s="37"/>
      <c r="D15" s="9" t="s">
        <v>952</v>
      </c>
      <c r="E15" s="9"/>
      <c r="F15" s="64" t="s">
        <v>951</v>
      </c>
      <c r="G15" s="481">
        <v>762828.63694999996</v>
      </c>
      <c r="H15" s="481">
        <v>942026</v>
      </c>
      <c r="I15" s="482">
        <v>8.7539999999999996E-3</v>
      </c>
      <c r="J15" s="482">
        <v>0.1544249723898119</v>
      </c>
      <c r="K15" s="482">
        <v>1.367E-2</v>
      </c>
      <c r="L15" s="482">
        <v>8.3898601398601391E-2</v>
      </c>
      <c r="M15" s="482">
        <v>0.38100000000000001</v>
      </c>
      <c r="N15" s="482">
        <v>0.38100000000000001</v>
      </c>
      <c r="O15" s="482">
        <v>0.33909699999999998</v>
      </c>
      <c r="P15" s="482">
        <v>0.30112990076286006</v>
      </c>
      <c r="Q15" s="483">
        <v>0</v>
      </c>
      <c r="R15" s="483">
        <v>0</v>
      </c>
      <c r="S15" s="483">
        <v>6.3</v>
      </c>
      <c r="T15" s="483">
        <v>8.8000000000000007</v>
      </c>
      <c r="U15" s="483">
        <v>14.12787</v>
      </c>
      <c r="V15" s="483">
        <v>13.04340687947496</v>
      </c>
      <c r="W15" s="9"/>
      <c r="X15" s="2"/>
      <c r="Y15" s="37"/>
      <c r="Z15" s="9" t="e">
        <f t="shared" ca="1" si="0"/>
        <v>#NAME?</v>
      </c>
      <c r="AA15" s="9"/>
      <c r="AB15" s="64" t="s">
        <v>472</v>
      </c>
      <c r="AC15" s="481">
        <v>100241.00058000001</v>
      </c>
      <c r="AD15" s="481">
        <v>109675.00058000001</v>
      </c>
      <c r="AE15" s="479">
        <v>6.1887999999999999E-2</v>
      </c>
      <c r="AF15" s="479">
        <v>4.4912920425701053E-2</v>
      </c>
      <c r="AG15" s="479">
        <v>0.12679299999999999</v>
      </c>
      <c r="AH15" s="479">
        <v>0.10296855591228082</v>
      </c>
      <c r="AI15" s="479">
        <v>0.15308099999999999</v>
      </c>
      <c r="AJ15" s="479">
        <v>0.15369527678916067</v>
      </c>
      <c r="AK15" s="479">
        <v>0.10689299999999999</v>
      </c>
      <c r="AL15" s="479">
        <v>0.10917443855909938</v>
      </c>
      <c r="AM15" s="483">
        <v>10.019970000000001</v>
      </c>
      <c r="AN15" s="483">
        <v>10.442453685118846</v>
      </c>
      <c r="AO15" s="483">
        <v>1.5917600000000001</v>
      </c>
      <c r="AP15" s="483">
        <v>1.6049558094923317</v>
      </c>
      <c r="AQ15" s="483">
        <v>13.61295</v>
      </c>
      <c r="AR15" s="483">
        <v>13.436305184315913</v>
      </c>
      <c r="AS15" s="2"/>
      <c r="AT15" s="2"/>
      <c r="AU15" s="37"/>
      <c r="AV15" s="9" t="e">
        <f t="shared" ca="1" si="1"/>
        <v>#NAME?</v>
      </c>
      <c r="AW15" s="9"/>
      <c r="AX15" s="64" t="s">
        <v>473</v>
      </c>
      <c r="AY15" s="481">
        <v>50450.580549999999</v>
      </c>
      <c r="AZ15" s="481">
        <v>58814.680549999997</v>
      </c>
      <c r="BA15" s="479">
        <v>0.107789</v>
      </c>
      <c r="BB15" s="479">
        <v>0.16134879412350056</v>
      </c>
      <c r="BC15" s="479">
        <v>-0.342387</v>
      </c>
      <c r="BD15" s="479">
        <v>0.68387750556792848</v>
      </c>
      <c r="BE15" s="479">
        <v>0.36213099999999998</v>
      </c>
      <c r="BF15" s="479">
        <v>0.36653876959791054</v>
      </c>
      <c r="BG15" s="479">
        <v>0.17795100000000003</v>
      </c>
      <c r="BH15" s="479">
        <v>0.25151357300210986</v>
      </c>
      <c r="BI15" s="483">
        <v>25.128550000000001</v>
      </c>
      <c r="BJ15" s="483">
        <v>24.998032555108455</v>
      </c>
      <c r="BK15" s="483">
        <v>9.3873300000000004</v>
      </c>
      <c r="BL15" s="483">
        <v>9.1627480951179638</v>
      </c>
      <c r="BM15" s="483">
        <v>45.20111</v>
      </c>
      <c r="BN15" s="483">
        <v>31.249620371034457</v>
      </c>
    </row>
    <row r="16" spans="1:66" ht="13.5" customHeight="1" thickBot="1" x14ac:dyDescent="0.3">
      <c r="A16" s="2"/>
      <c r="B16" s="2"/>
      <c r="C16" s="37"/>
      <c r="D16" s="9"/>
      <c r="E16" s="9"/>
      <c r="F16" s="64"/>
      <c r="G16" s="64"/>
      <c r="H16" s="64"/>
      <c r="I16" s="479"/>
      <c r="J16" s="479"/>
      <c r="K16" s="484"/>
      <c r="L16" s="484"/>
      <c r="M16" s="484"/>
      <c r="N16" s="484"/>
      <c r="O16" s="484"/>
      <c r="P16" s="484"/>
      <c r="Q16" s="64"/>
      <c r="R16" s="64"/>
      <c r="S16" s="64"/>
      <c r="T16" s="64"/>
      <c r="U16" s="64"/>
      <c r="V16" s="64"/>
      <c r="W16" s="9"/>
      <c r="X16" s="2"/>
      <c r="Y16" s="37"/>
      <c r="Z16" s="9"/>
      <c r="AA16" s="9"/>
      <c r="AB16" s="64"/>
      <c r="AC16" s="64"/>
      <c r="AD16" s="64"/>
      <c r="AE16" s="479"/>
      <c r="AF16" s="479"/>
      <c r="AG16" s="484"/>
      <c r="AH16" s="484"/>
      <c r="AI16" s="484"/>
      <c r="AJ16" s="484"/>
      <c r="AK16" s="484"/>
      <c r="AL16" s="484"/>
      <c r="AM16" s="64"/>
      <c r="AN16" s="64"/>
      <c r="AO16" s="64"/>
      <c r="AP16" s="64"/>
      <c r="AQ16" s="64"/>
      <c r="AR16" s="64"/>
      <c r="AS16" s="2"/>
      <c r="AT16" s="2"/>
      <c r="AU16" s="37"/>
      <c r="AV16" s="9"/>
      <c r="AW16" s="9"/>
      <c r="AX16" s="64"/>
      <c r="AY16" s="64"/>
      <c r="AZ16" s="64"/>
      <c r="BA16" s="479"/>
      <c r="BB16" s="479"/>
      <c r="BC16" s="484"/>
      <c r="BD16" s="484"/>
      <c r="BE16" s="484"/>
      <c r="BF16" s="484"/>
      <c r="BG16" s="484"/>
      <c r="BH16" s="484"/>
      <c r="BI16" s="64"/>
      <c r="BJ16" s="64"/>
      <c r="BK16" s="64"/>
      <c r="BL16" s="64"/>
      <c r="BM16" s="64"/>
      <c r="BN16" s="64"/>
    </row>
    <row r="17" spans="1:66" ht="13.5" customHeight="1" x14ac:dyDescent="0.25">
      <c r="A17" s="2"/>
      <c r="B17" s="2"/>
      <c r="C17" s="37"/>
      <c r="D17" s="485" t="s">
        <v>162</v>
      </c>
      <c r="E17" s="486"/>
      <c r="F17" s="487"/>
      <c r="G17" s="488">
        <f t="shared" ref="G17:V17" si="2">MAX(G12:G15)</f>
        <v>762828.63694999996</v>
      </c>
      <c r="H17" s="488">
        <f t="shared" si="2"/>
        <v>942026</v>
      </c>
      <c r="I17" s="489">
        <f t="shared" si="2"/>
        <v>0.19648800000000002</v>
      </c>
      <c r="J17" s="489">
        <f t="shared" si="2"/>
        <v>0.93595359406937373</v>
      </c>
      <c r="K17" s="489">
        <f t="shared" si="2"/>
        <v>0.18934400000000001</v>
      </c>
      <c r="L17" s="489">
        <f t="shared" si="2"/>
        <v>4.0367011597407814</v>
      </c>
      <c r="M17" s="489">
        <f t="shared" si="2"/>
        <v>0.70032099999999997</v>
      </c>
      <c r="N17" s="489">
        <f t="shared" si="2"/>
        <v>0.70440301647467007</v>
      </c>
      <c r="O17" s="489">
        <f t="shared" si="2"/>
        <v>0.50233099999999997</v>
      </c>
      <c r="P17" s="489">
        <f t="shared" si="2"/>
        <v>0.5512373032589909</v>
      </c>
      <c r="Q17" s="490">
        <f t="shared" si="2"/>
        <v>21.446269999999998</v>
      </c>
      <c r="R17" s="491">
        <f t="shared" si="2"/>
        <v>18.909665874094998</v>
      </c>
      <c r="S17" s="491">
        <f t="shared" si="2"/>
        <v>13.737159999999999</v>
      </c>
      <c r="T17" s="491">
        <f t="shared" si="2"/>
        <v>12.744344065278153</v>
      </c>
      <c r="U17" s="491">
        <f t="shared" si="2"/>
        <v>52.43242</v>
      </c>
      <c r="V17" s="492">
        <f t="shared" si="2"/>
        <v>24.873323696471918</v>
      </c>
      <c r="W17" s="9"/>
      <c r="X17" s="2"/>
      <c r="Y17" s="37"/>
      <c r="Z17" s="485" t="s">
        <v>162</v>
      </c>
      <c r="AA17" s="486"/>
      <c r="AB17" s="487"/>
      <c r="AC17" s="488">
        <f t="shared" ref="AC17:AR17" si="3">MAX(AC10:AC15)</f>
        <v>129979.18471</v>
      </c>
      <c r="AD17" s="488">
        <f t="shared" si="3"/>
        <v>172393.18471</v>
      </c>
      <c r="AE17" s="493">
        <f t="shared" si="3"/>
        <v>0.28479199999999999</v>
      </c>
      <c r="AF17" s="493">
        <f t="shared" si="3"/>
        <v>0.26827198442174782</v>
      </c>
      <c r="AG17" s="493">
        <f t="shared" si="3"/>
        <v>0.43208399999999997</v>
      </c>
      <c r="AH17" s="493">
        <f t="shared" si="3"/>
        <v>0.10296855591228082</v>
      </c>
      <c r="AI17" s="493">
        <f t="shared" si="3"/>
        <v>0.28053100000000003</v>
      </c>
      <c r="AJ17" s="493">
        <f t="shared" si="3"/>
        <v>0.29106114754641993</v>
      </c>
      <c r="AK17" s="493">
        <f t="shared" si="3"/>
        <v>0.15246799999999999</v>
      </c>
      <c r="AL17" s="493">
        <f t="shared" si="3"/>
        <v>0.20242258666034044</v>
      </c>
      <c r="AM17" s="490">
        <f t="shared" si="3"/>
        <v>16.461069999999999</v>
      </c>
      <c r="AN17" s="491">
        <f t="shared" si="3"/>
        <v>30.819232691225288</v>
      </c>
      <c r="AO17" s="491">
        <f t="shared" si="3"/>
        <v>2.8267600000000002</v>
      </c>
      <c r="AP17" s="491">
        <f t="shared" si="3"/>
        <v>7.0938380027498669</v>
      </c>
      <c r="AQ17" s="491">
        <f t="shared" si="3"/>
        <v>63.46893</v>
      </c>
      <c r="AR17" s="492">
        <f t="shared" si="3"/>
        <v>38.06344748498806</v>
      </c>
      <c r="AS17" s="2"/>
      <c r="AT17" s="2"/>
      <c r="AU17" s="37"/>
      <c r="AV17" s="485" t="s">
        <v>162</v>
      </c>
      <c r="AW17" s="486"/>
      <c r="AX17" s="487"/>
      <c r="AY17" s="488">
        <f t="shared" ref="AY17:BN17" si="4">MAX(AY10:AY15)</f>
        <v>159578.88610999999</v>
      </c>
      <c r="AZ17" s="488">
        <f t="shared" si="4"/>
        <v>169888.88610999999</v>
      </c>
      <c r="BA17" s="493">
        <f t="shared" si="4"/>
        <v>0.19067000000000001</v>
      </c>
      <c r="BB17" s="493">
        <f t="shared" si="4"/>
        <v>0.16134879412350056</v>
      </c>
      <c r="BC17" s="493">
        <f t="shared" si="4"/>
        <v>0.139568</v>
      </c>
      <c r="BD17" s="493">
        <f t="shared" si="4"/>
        <v>0.68387750556792848</v>
      </c>
      <c r="BE17" s="493">
        <f t="shared" si="4"/>
        <v>0.36213099999999998</v>
      </c>
      <c r="BF17" s="493">
        <f t="shared" si="4"/>
        <v>0.36653876959791054</v>
      </c>
      <c r="BG17" s="493">
        <f t="shared" si="4"/>
        <v>0.17795100000000003</v>
      </c>
      <c r="BH17" s="493">
        <f t="shared" si="4"/>
        <v>0.25151357300210986</v>
      </c>
      <c r="BI17" s="490">
        <f t="shared" si="4"/>
        <v>25.128550000000001</v>
      </c>
      <c r="BJ17" s="491">
        <f t="shared" si="4"/>
        <v>24.998032555108455</v>
      </c>
      <c r="BK17" s="491">
        <f t="shared" si="4"/>
        <v>9.3873300000000004</v>
      </c>
      <c r="BL17" s="491">
        <f t="shared" si="4"/>
        <v>9.1627480951179638</v>
      </c>
      <c r="BM17" s="491">
        <f t="shared" si="4"/>
        <v>45.20111</v>
      </c>
      <c r="BN17" s="492">
        <f t="shared" si="4"/>
        <v>54.208209895473338</v>
      </c>
    </row>
    <row r="18" spans="1:66" ht="13.5" customHeight="1" x14ac:dyDescent="0.25">
      <c r="A18" s="2"/>
      <c r="B18" s="2"/>
      <c r="C18" s="37"/>
      <c r="D18" s="494" t="s">
        <v>476</v>
      </c>
      <c r="E18" s="375"/>
      <c r="F18" s="495"/>
      <c r="G18" s="496">
        <f t="shared" ref="G18:V18" si="5">AVERAGE(G12:G15)</f>
        <v>466739.64321000001</v>
      </c>
      <c r="H18" s="496">
        <f t="shared" si="5"/>
        <v>516549.74639749998</v>
      </c>
      <c r="I18" s="497">
        <f t="shared" si="5"/>
        <v>0.12352475</v>
      </c>
      <c r="J18" s="497">
        <f t="shared" si="5"/>
        <v>0.33351631201508347</v>
      </c>
      <c r="K18" s="497">
        <f t="shared" si="5"/>
        <v>-0.10834449999999998</v>
      </c>
      <c r="L18" s="497">
        <f t="shared" si="5"/>
        <v>1.1416713392660731</v>
      </c>
      <c r="M18" s="497">
        <f t="shared" si="5"/>
        <v>0.56923349999999995</v>
      </c>
      <c r="N18" s="497">
        <f t="shared" si="5"/>
        <v>0.59007645333475511</v>
      </c>
      <c r="O18" s="497">
        <f t="shared" si="5"/>
        <v>0.34318199999999999</v>
      </c>
      <c r="P18" s="497">
        <f t="shared" si="5"/>
        <v>0.37823756758026311</v>
      </c>
      <c r="Q18" s="498">
        <f t="shared" si="5"/>
        <v>10.232677499999999</v>
      </c>
      <c r="R18" s="499">
        <f t="shared" si="5"/>
        <v>9.2505175084156015</v>
      </c>
      <c r="S18" s="499">
        <f t="shared" si="5"/>
        <v>8.9433849999999993</v>
      </c>
      <c r="T18" s="499">
        <f t="shared" si="5"/>
        <v>8.9882143830985228</v>
      </c>
      <c r="U18" s="499">
        <f t="shared" si="5"/>
        <v>30.907735000000002</v>
      </c>
      <c r="V18" s="500">
        <f t="shared" si="5"/>
        <v>17.449717285988452</v>
      </c>
      <c r="W18" s="9"/>
      <c r="X18" s="2"/>
      <c r="Y18" s="37"/>
      <c r="Z18" s="494" t="s">
        <v>476</v>
      </c>
      <c r="AA18" s="375"/>
      <c r="AB18" s="495"/>
      <c r="AC18" s="496">
        <f t="shared" ref="AC18:AR18" si="6">AVERAGE(AC10:AC15)</f>
        <v>74520.097917999999</v>
      </c>
      <c r="AD18" s="496">
        <f t="shared" si="6"/>
        <v>90422.078517999995</v>
      </c>
      <c r="AE18" s="501">
        <f t="shared" si="6"/>
        <v>0.10738639999999999</v>
      </c>
      <c r="AF18" s="501">
        <f t="shared" si="6"/>
        <v>0.1110596915991974</v>
      </c>
      <c r="AG18" s="501">
        <f t="shared" si="6"/>
        <v>0.30947219999999998</v>
      </c>
      <c r="AH18" s="501">
        <f t="shared" si="6"/>
        <v>-0.76231884867834743</v>
      </c>
      <c r="AI18" s="501">
        <f t="shared" si="6"/>
        <v>0.13470760000000001</v>
      </c>
      <c r="AJ18" s="501">
        <f t="shared" si="6"/>
        <v>0.15251673374821983</v>
      </c>
      <c r="AK18" s="501">
        <f t="shared" si="6"/>
        <v>4.5893399999999994E-2</v>
      </c>
      <c r="AL18" s="501">
        <f t="shared" si="6"/>
        <v>8.0009476288652057E-2</v>
      </c>
      <c r="AM18" s="498">
        <f t="shared" si="6"/>
        <v>8.4733300000000007</v>
      </c>
      <c r="AN18" s="499">
        <f t="shared" si="6"/>
        <v>18.492959984905823</v>
      </c>
      <c r="AO18" s="499">
        <f t="shared" si="6"/>
        <v>1.5953060000000001</v>
      </c>
      <c r="AP18" s="499">
        <f t="shared" si="6"/>
        <v>2.8803956097597436</v>
      </c>
      <c r="AQ18" s="499">
        <f t="shared" si="6"/>
        <v>21.931452499999999</v>
      </c>
      <c r="AR18" s="500">
        <f t="shared" si="6"/>
        <v>23.334701645617962</v>
      </c>
      <c r="AS18" s="2"/>
      <c r="AT18" s="2"/>
      <c r="AU18" s="37"/>
      <c r="AV18" s="494" t="s">
        <v>476</v>
      </c>
      <c r="AW18" s="375"/>
      <c r="AX18" s="495"/>
      <c r="AY18" s="496">
        <f t="shared" ref="AY18:BN18" si="7">AVERAGE(AY10:AY15)</f>
        <v>89075.562439999994</v>
      </c>
      <c r="AZ18" s="496">
        <f t="shared" si="7"/>
        <v>105234.76304000002</v>
      </c>
      <c r="BA18" s="501">
        <f t="shared" si="7"/>
        <v>6.1301800000000004E-2</v>
      </c>
      <c r="BB18" s="501">
        <f t="shared" si="7"/>
        <v>6.5535883858199709E-2</v>
      </c>
      <c r="BC18" s="501">
        <f t="shared" si="7"/>
        <v>-1.4934399999999992E-2</v>
      </c>
      <c r="BD18" s="501">
        <f t="shared" si="7"/>
        <v>4.7718066951561909E-2</v>
      </c>
      <c r="BE18" s="501">
        <f t="shared" si="7"/>
        <v>0.25288180000000005</v>
      </c>
      <c r="BF18" s="501">
        <f t="shared" si="7"/>
        <v>0.25560250107323601</v>
      </c>
      <c r="BG18" s="501">
        <f t="shared" si="7"/>
        <v>0.12324980000000001</v>
      </c>
      <c r="BH18" s="501">
        <f t="shared" si="7"/>
        <v>0.16181121633132872</v>
      </c>
      <c r="BI18" s="498">
        <f t="shared" si="7"/>
        <v>15.111174</v>
      </c>
      <c r="BJ18" s="499">
        <f t="shared" si="7"/>
        <v>20.683980101599925</v>
      </c>
      <c r="BK18" s="499">
        <f t="shared" si="7"/>
        <v>3.9083519999999998</v>
      </c>
      <c r="BL18" s="499">
        <f t="shared" si="7"/>
        <v>5.3702896664388176</v>
      </c>
      <c r="BM18" s="499">
        <f t="shared" si="7"/>
        <v>23.4188975</v>
      </c>
      <c r="BN18" s="500">
        <f t="shared" si="7"/>
        <v>34.205627316563557</v>
      </c>
    </row>
    <row r="19" spans="1:66" ht="13.5" customHeight="1" x14ac:dyDescent="0.25">
      <c r="A19" s="2"/>
      <c r="B19" s="2"/>
      <c r="C19" s="37"/>
      <c r="D19" s="494" t="s">
        <v>477</v>
      </c>
      <c r="E19" s="375"/>
      <c r="F19" s="375"/>
      <c r="G19" s="496">
        <f t="shared" ref="G19:V19" si="8">MEDIAN(G12:G15)</f>
        <v>497557.53179500002</v>
      </c>
      <c r="H19" s="496">
        <f t="shared" si="8"/>
        <v>504593.53179500002</v>
      </c>
      <c r="I19" s="497">
        <f t="shared" si="8"/>
        <v>0.14442850000000002</v>
      </c>
      <c r="J19" s="497">
        <f t="shared" si="8"/>
        <v>0.14136248162048004</v>
      </c>
      <c r="K19" s="497">
        <f t="shared" si="8"/>
        <v>4.3621500000000001E-2</v>
      </c>
      <c r="L19" s="497">
        <f t="shared" si="8"/>
        <v>0.22304279796245485</v>
      </c>
      <c r="M19" s="497">
        <f t="shared" si="8"/>
        <v>0.59780650000000002</v>
      </c>
      <c r="N19" s="497">
        <f t="shared" si="8"/>
        <v>0.63745139843217502</v>
      </c>
      <c r="O19" s="497">
        <f t="shared" si="8"/>
        <v>0.39778150000000001</v>
      </c>
      <c r="P19" s="497">
        <f t="shared" si="8"/>
        <v>0.38519901333360718</v>
      </c>
      <c r="Q19" s="498">
        <f t="shared" si="8"/>
        <v>9.7422199999999997</v>
      </c>
      <c r="R19" s="499">
        <f t="shared" si="8"/>
        <v>9.0462020797837059</v>
      </c>
      <c r="S19" s="499">
        <f t="shared" si="8"/>
        <v>9.8681900000000002</v>
      </c>
      <c r="T19" s="499">
        <f t="shared" si="8"/>
        <v>10.354256733557968</v>
      </c>
      <c r="U19" s="499">
        <f t="shared" si="8"/>
        <v>28.535325</v>
      </c>
      <c r="V19" s="500">
        <f t="shared" si="8"/>
        <v>17.973084071936409</v>
      </c>
      <c r="W19" s="9"/>
      <c r="X19" s="2"/>
      <c r="Y19" s="37"/>
      <c r="Z19" s="494" t="s">
        <v>477</v>
      </c>
      <c r="AA19" s="375"/>
      <c r="AB19" s="375"/>
      <c r="AC19" s="496">
        <f t="shared" ref="AC19:AR19" si="9">MEDIAN(AC10:AC15)</f>
        <v>100241.00058000001</v>
      </c>
      <c r="AD19" s="496">
        <f t="shared" si="9"/>
        <v>109675.00058000001</v>
      </c>
      <c r="AE19" s="501">
        <f t="shared" si="9"/>
        <v>7.3869999999999991E-2</v>
      </c>
      <c r="AF19" s="501">
        <f t="shared" si="9"/>
        <v>5.5577780151693235E-2</v>
      </c>
      <c r="AG19" s="501">
        <f t="shared" si="9"/>
        <v>0.43208399999999997</v>
      </c>
      <c r="AH19" s="501">
        <f t="shared" si="9"/>
        <v>-0.23063185530921815</v>
      </c>
      <c r="AI19" s="501">
        <f t="shared" si="9"/>
        <v>0.14710100000000001</v>
      </c>
      <c r="AJ19" s="501">
        <f t="shared" si="9"/>
        <v>0.15369527678916067</v>
      </c>
      <c r="AK19" s="501">
        <f t="shared" si="9"/>
        <v>7.8078999999999996E-2</v>
      </c>
      <c r="AL19" s="501">
        <f t="shared" si="9"/>
        <v>9.3871453856720549E-2</v>
      </c>
      <c r="AM19" s="498">
        <f t="shared" si="9"/>
        <v>8.7161249999999999</v>
      </c>
      <c r="AN19" s="499">
        <f t="shared" si="9"/>
        <v>15.045626948605292</v>
      </c>
      <c r="AO19" s="499">
        <f t="shared" si="9"/>
        <v>1.5917600000000001</v>
      </c>
      <c r="AP19" s="499">
        <f t="shared" si="9"/>
        <v>2.3372126615773308</v>
      </c>
      <c r="AQ19" s="499">
        <f t="shared" si="9"/>
        <v>12.128439999999999</v>
      </c>
      <c r="AR19" s="500">
        <f t="shared" si="9"/>
        <v>20.919526956583937</v>
      </c>
      <c r="AS19" s="2"/>
      <c r="AT19" s="2"/>
      <c r="AU19" s="37"/>
      <c r="AV19" s="494" t="s">
        <v>477</v>
      </c>
      <c r="AW19" s="375"/>
      <c r="AX19" s="375"/>
      <c r="AY19" s="496">
        <f t="shared" ref="AY19:BN19" si="10">MEDIAN(AY10:AY15)</f>
        <v>112863.39125</v>
      </c>
      <c r="AZ19" s="496">
        <f t="shared" si="10"/>
        <v>126547.39125</v>
      </c>
      <c r="BA19" s="501">
        <f t="shared" si="10"/>
        <v>0.107789</v>
      </c>
      <c r="BB19" s="501">
        <f t="shared" si="10"/>
        <v>7.4231268805343698E-2</v>
      </c>
      <c r="BC19" s="501">
        <f t="shared" si="10"/>
        <v>0.124316</v>
      </c>
      <c r="BD19" s="501">
        <f t="shared" si="10"/>
        <v>7.1204324324324331E-2</v>
      </c>
      <c r="BE19" s="501">
        <f t="shared" si="10"/>
        <v>0.28053100000000003</v>
      </c>
      <c r="BF19" s="501">
        <f t="shared" si="10"/>
        <v>0.26891896707285307</v>
      </c>
      <c r="BG19" s="501">
        <f t="shared" si="10"/>
        <v>0.15246799999999999</v>
      </c>
      <c r="BH19" s="501">
        <f t="shared" si="10"/>
        <v>0.1651012198285608</v>
      </c>
      <c r="BI19" s="498">
        <f t="shared" si="10"/>
        <v>18.49203</v>
      </c>
      <c r="BJ19" s="499">
        <f t="shared" si="10"/>
        <v>21.341521001218538</v>
      </c>
      <c r="BK19" s="499">
        <f t="shared" si="10"/>
        <v>3.3659500000000002</v>
      </c>
      <c r="BL19" s="499">
        <f t="shared" si="10"/>
        <v>4.8457047361364376</v>
      </c>
      <c r="BM19" s="499">
        <f t="shared" si="10"/>
        <v>24.23724</v>
      </c>
      <c r="BN19" s="500">
        <f t="shared" si="10"/>
        <v>31.249620371034457</v>
      </c>
    </row>
    <row r="20" spans="1:66" ht="13.5" customHeight="1" x14ac:dyDescent="0.25">
      <c r="A20" s="2"/>
      <c r="B20" s="2"/>
      <c r="C20" s="37"/>
      <c r="D20" s="502" t="s">
        <v>163</v>
      </c>
      <c r="E20" s="503"/>
      <c r="F20" s="503"/>
      <c r="G20" s="504">
        <f t="shared" ref="G20:V20" si="11">MIN(G12:G15)</f>
        <v>109014.8723</v>
      </c>
      <c r="H20" s="504">
        <f t="shared" si="11"/>
        <v>114985.92200000001</v>
      </c>
      <c r="I20" s="505">
        <f t="shared" si="11"/>
        <v>8.7539999999999996E-3</v>
      </c>
      <c r="J20" s="505">
        <f t="shared" si="11"/>
        <v>0.11538669075000008</v>
      </c>
      <c r="K20" s="505">
        <f t="shared" si="11"/>
        <v>-0.70996499999999996</v>
      </c>
      <c r="L20" s="505">
        <f t="shared" si="11"/>
        <v>8.3898601398601391E-2</v>
      </c>
      <c r="M20" s="505">
        <f t="shared" si="11"/>
        <v>0.38100000000000001</v>
      </c>
      <c r="N20" s="505">
        <f t="shared" si="11"/>
        <v>0.38100000000000001</v>
      </c>
      <c r="O20" s="505">
        <f t="shared" si="11"/>
        <v>7.4833999999999998E-2</v>
      </c>
      <c r="P20" s="505">
        <f t="shared" si="11"/>
        <v>0.19131494039484739</v>
      </c>
      <c r="Q20" s="506">
        <f t="shared" si="11"/>
        <v>0</v>
      </c>
      <c r="R20" s="507">
        <f t="shared" si="11"/>
        <v>0</v>
      </c>
      <c r="S20" s="507">
        <f t="shared" si="11"/>
        <v>2.2999999999999998</v>
      </c>
      <c r="T20" s="507">
        <f t="shared" si="11"/>
        <v>2.5</v>
      </c>
      <c r="U20" s="507">
        <f t="shared" si="11"/>
        <v>14.12787</v>
      </c>
      <c r="V20" s="508">
        <f t="shared" si="11"/>
        <v>8.9793773036090645</v>
      </c>
      <c r="W20" s="9"/>
      <c r="X20" s="2"/>
      <c r="Y20" s="37"/>
      <c r="Z20" s="502" t="s">
        <v>163</v>
      </c>
      <c r="AA20" s="503"/>
      <c r="AB20" s="503"/>
      <c r="AC20" s="504">
        <f t="shared" ref="AC20:AR20" si="12">MIN(AC10:AC15)</f>
        <v>6040.9355599999999</v>
      </c>
      <c r="AD20" s="504">
        <f t="shared" si="12"/>
        <v>5561.8385600000001</v>
      </c>
      <c r="AE20" s="509">
        <f t="shared" si="12"/>
        <v>-7.4287999999999993E-2</v>
      </c>
      <c r="AF20" s="509">
        <f t="shared" si="12"/>
        <v>3.4378215784057531E-2</v>
      </c>
      <c r="AG20" s="509">
        <f t="shared" si="12"/>
        <v>0.124316</v>
      </c>
      <c r="AH20" s="509">
        <f t="shared" si="12"/>
        <v>-2.5665133721199402</v>
      </c>
      <c r="AI20" s="509">
        <f t="shared" si="12"/>
        <v>-2.9094999999999999E-2</v>
      </c>
      <c r="AJ20" s="509">
        <f t="shared" si="12"/>
        <v>7.5836172983072728E-2</v>
      </c>
      <c r="AK20" s="509">
        <f t="shared" si="12"/>
        <v>-0.14303000000000002</v>
      </c>
      <c r="AL20" s="509">
        <f t="shared" si="12"/>
        <v>-5.4210976329000351E-3</v>
      </c>
      <c r="AM20" s="506">
        <f t="shared" si="12"/>
        <v>0</v>
      </c>
      <c r="AN20" s="507">
        <f t="shared" si="12"/>
        <v>10.442453685118846</v>
      </c>
      <c r="AO20" s="507">
        <f t="shared" si="12"/>
        <v>0</v>
      </c>
      <c r="AP20" s="507">
        <f t="shared" si="12"/>
        <v>0.99377166398030303</v>
      </c>
      <c r="AQ20" s="507">
        <f t="shared" si="12"/>
        <v>0</v>
      </c>
      <c r="AR20" s="508">
        <f t="shared" si="12"/>
        <v>13.436305184315913</v>
      </c>
      <c r="AS20" s="2"/>
      <c r="AT20" s="2"/>
      <c r="AU20" s="37"/>
      <c r="AV20" s="502" t="s">
        <v>163</v>
      </c>
      <c r="AW20" s="503"/>
      <c r="AX20" s="503"/>
      <c r="AY20" s="504">
        <f t="shared" ref="AY20:BN20" si="13">MIN(AY10:AY15)</f>
        <v>6040.9355599999999</v>
      </c>
      <c r="AZ20" s="504">
        <f t="shared" si="13"/>
        <v>5561.8385600000001</v>
      </c>
      <c r="BA20" s="509">
        <f t="shared" si="13"/>
        <v>-8.3476999999999996E-2</v>
      </c>
      <c r="BB20" s="509">
        <f t="shared" si="13"/>
        <v>-3.6353036963538865E-2</v>
      </c>
      <c r="BC20" s="509">
        <f t="shared" si="13"/>
        <v>-0.342387</v>
      </c>
      <c r="BD20" s="509">
        <f t="shared" si="13"/>
        <v>-0.57771187139860958</v>
      </c>
      <c r="BE20" s="509">
        <f t="shared" si="13"/>
        <v>8.6125000000000007E-2</v>
      </c>
      <c r="BF20" s="509">
        <f t="shared" si="13"/>
        <v>0.10098877292986558</v>
      </c>
      <c r="BG20" s="509">
        <f t="shared" si="13"/>
        <v>-3.1019999999999999E-2</v>
      </c>
      <c r="BH20" s="509">
        <f t="shared" si="13"/>
        <v>2.7997383350577984E-2</v>
      </c>
      <c r="BI20" s="506">
        <f t="shared" si="13"/>
        <v>0</v>
      </c>
      <c r="BJ20" s="507">
        <f t="shared" si="13"/>
        <v>13.364261803244904</v>
      </c>
      <c r="BK20" s="507">
        <f t="shared" si="13"/>
        <v>0</v>
      </c>
      <c r="BL20" s="507">
        <f t="shared" si="13"/>
        <v>2.1552540183700164</v>
      </c>
      <c r="BM20" s="507">
        <f t="shared" si="13"/>
        <v>0</v>
      </c>
      <c r="BN20" s="508">
        <f t="shared" si="13"/>
        <v>19.414044738313191</v>
      </c>
    </row>
    <row r="21" spans="1:66" ht="13.5" customHeight="1" x14ac:dyDescent="0.25">
      <c r="A21" s="2"/>
      <c r="B21" s="2"/>
      <c r="C21" s="37"/>
      <c r="D21" s="9"/>
      <c r="E21" s="9"/>
      <c r="F21" s="9"/>
      <c r="G21" s="9"/>
      <c r="H21" s="9"/>
      <c r="I21" s="9"/>
      <c r="J21" s="9"/>
      <c r="K21" s="9"/>
      <c r="L21" s="9"/>
      <c r="M21" s="9"/>
      <c r="N21" s="9"/>
      <c r="O21" s="9"/>
      <c r="P21" s="9"/>
      <c r="Q21" s="9"/>
      <c r="R21" s="9"/>
      <c r="S21" s="9"/>
      <c r="T21" s="9"/>
      <c r="U21" s="9"/>
      <c r="V21" s="9"/>
      <c r="W21" s="9"/>
      <c r="X21" s="2"/>
      <c r="Y21" s="37"/>
      <c r="Z21" s="9"/>
      <c r="AA21" s="9"/>
      <c r="AB21" s="9"/>
      <c r="AC21" s="9"/>
      <c r="AD21" s="9"/>
      <c r="AE21" s="9"/>
      <c r="AF21" s="9"/>
      <c r="AG21" s="9"/>
      <c r="AH21" s="9"/>
      <c r="AI21" s="9"/>
      <c r="AJ21" s="9"/>
      <c r="AK21" s="9"/>
      <c r="AL21" s="9"/>
      <c r="AM21" s="9"/>
      <c r="AN21" s="9"/>
      <c r="AO21" s="9"/>
      <c r="AP21" s="9"/>
      <c r="AQ21" s="9"/>
      <c r="AR21" s="9"/>
      <c r="AS21" s="2"/>
      <c r="AT21" s="2"/>
      <c r="AU21" s="37"/>
      <c r="AV21" s="9"/>
      <c r="AW21" s="9"/>
      <c r="AX21" s="9"/>
      <c r="AY21" s="9"/>
      <c r="AZ21" s="9"/>
      <c r="BA21" s="9"/>
      <c r="BB21" s="9"/>
      <c r="BC21" s="9"/>
      <c r="BD21" s="9"/>
      <c r="BE21" s="9"/>
      <c r="BF21" s="9"/>
      <c r="BG21" s="9"/>
      <c r="BH21" s="9"/>
      <c r="BI21" s="9"/>
      <c r="BJ21" s="9"/>
      <c r="BK21" s="9"/>
      <c r="BL21" s="9"/>
      <c r="BM21" s="9"/>
      <c r="BN21" s="9"/>
    </row>
    <row r="22" spans="1:66" ht="13.5" customHeight="1" x14ac:dyDescent="0.25">
      <c r="A22" s="2"/>
      <c r="B22" s="2"/>
      <c r="C22" s="37" t="s">
        <v>0</v>
      </c>
      <c r="D22" s="987" t="s">
        <v>478</v>
      </c>
      <c r="E22" s="944"/>
      <c r="F22" s="944"/>
      <c r="G22" s="987" t="s">
        <v>479</v>
      </c>
      <c r="H22" s="944"/>
      <c r="I22" s="944"/>
      <c r="J22" s="987" t="s">
        <v>480</v>
      </c>
      <c r="K22" s="944"/>
      <c r="L22" s="944"/>
      <c r="M22" s="987" t="str">
        <f>TEXT(Last_FYE,"yyyy")&amp;"A"&amp;" Leverage Analysis"</f>
        <v>2025A Leverage Analysis</v>
      </c>
      <c r="N22" s="944"/>
      <c r="O22" s="944"/>
      <c r="P22" s="987" t="str">
        <f>TEXT(Last_FYE,"yyyy")&amp;"A"&amp;" Coverage Analysis"</f>
        <v>2025A Coverage Analysis</v>
      </c>
      <c r="Q22" s="944"/>
      <c r="R22" s="944"/>
      <c r="S22" s="987" t="s">
        <v>481</v>
      </c>
      <c r="T22" s="944"/>
      <c r="U22" s="987" t="s">
        <v>482</v>
      </c>
      <c r="V22" s="944"/>
      <c r="W22" s="9"/>
      <c r="X22" s="2"/>
      <c r="Y22" s="37" t="s">
        <v>0</v>
      </c>
      <c r="Z22" s="987" t="s">
        <v>478</v>
      </c>
      <c r="AA22" s="944"/>
      <c r="AB22" s="944"/>
      <c r="AC22" s="987" t="s">
        <v>479</v>
      </c>
      <c r="AD22" s="944"/>
      <c r="AE22" s="944"/>
      <c r="AF22" s="987" t="s">
        <v>480</v>
      </c>
      <c r="AG22" s="944"/>
      <c r="AH22" s="944"/>
      <c r="AI22" s="987" t="str">
        <f>TEXT(Last_FYE,"yyyy")&amp;"A"&amp;" Leverage Analysis"</f>
        <v>2025A Leverage Analysis</v>
      </c>
      <c r="AJ22" s="944"/>
      <c r="AK22" s="944"/>
      <c r="AL22" s="987" t="str">
        <f>TEXT(Last_FYE,"yyyy")&amp;"A"&amp;" Coverage Analysis"</f>
        <v>2025A Coverage Analysis</v>
      </c>
      <c r="AM22" s="944"/>
      <c r="AN22" s="944"/>
      <c r="AO22" s="987" t="s">
        <v>481</v>
      </c>
      <c r="AP22" s="944"/>
      <c r="AQ22" s="987" t="s">
        <v>482</v>
      </c>
      <c r="AR22" s="944"/>
      <c r="AS22" s="2"/>
      <c r="AT22" s="2"/>
      <c r="AU22" s="37" t="s">
        <v>0</v>
      </c>
      <c r="AV22" s="987" t="s">
        <v>478</v>
      </c>
      <c r="AW22" s="944"/>
      <c r="AX22" s="944"/>
      <c r="AY22" s="987" t="s">
        <v>479</v>
      </c>
      <c r="AZ22" s="944"/>
      <c r="BA22" s="944"/>
      <c r="BB22" s="987" t="s">
        <v>480</v>
      </c>
      <c r="BC22" s="944"/>
      <c r="BD22" s="944"/>
      <c r="BE22" s="987" t="str">
        <f>TEXT(Last_FYE,"yyyy")&amp;"A"&amp;" Leverage Analysis"</f>
        <v>2025A Leverage Analysis</v>
      </c>
      <c r="BF22" s="944"/>
      <c r="BG22" s="944"/>
      <c r="BH22" s="987" t="str">
        <f>TEXT(Last_FYE,"yyyy")&amp;"A"&amp;" Coverage Analysis"</f>
        <v>2025A Coverage Analysis</v>
      </c>
      <c r="BI22" s="944"/>
      <c r="BJ22" s="944"/>
      <c r="BK22" s="987" t="s">
        <v>481</v>
      </c>
      <c r="BL22" s="944"/>
      <c r="BM22" s="987" t="s">
        <v>482</v>
      </c>
      <c r="BN22" s="944"/>
    </row>
    <row r="23" spans="1:66" ht="13.5" customHeight="1" x14ac:dyDescent="0.25">
      <c r="A23" s="2"/>
      <c r="B23" s="2"/>
      <c r="C23" s="37"/>
      <c r="D23" s="9"/>
      <c r="E23" s="9"/>
      <c r="F23" s="9"/>
      <c r="G23" s="9"/>
      <c r="H23" s="9"/>
      <c r="I23" s="9"/>
      <c r="J23" s="9"/>
      <c r="K23" s="9"/>
      <c r="L23" s="9"/>
      <c r="M23" s="987" t="s">
        <v>483</v>
      </c>
      <c r="N23" s="944"/>
      <c r="O23" s="944"/>
      <c r="P23" s="9"/>
      <c r="Q23" s="9"/>
      <c r="R23" s="9"/>
      <c r="S23" s="9"/>
      <c r="T23" s="9"/>
      <c r="U23" s="9"/>
      <c r="V23" s="9"/>
      <c r="W23" s="9"/>
      <c r="X23" s="2"/>
      <c r="Y23" s="37"/>
      <c r="Z23" s="9"/>
      <c r="AA23" s="9"/>
      <c r="AB23" s="9"/>
      <c r="AC23" s="9"/>
      <c r="AD23" s="9"/>
      <c r="AE23" s="9"/>
      <c r="AF23" s="9"/>
      <c r="AG23" s="9"/>
      <c r="AH23" s="9"/>
      <c r="AI23" s="987" t="s">
        <v>483</v>
      </c>
      <c r="AJ23" s="944"/>
      <c r="AK23" s="944"/>
      <c r="AL23" s="9"/>
      <c r="AM23" s="9"/>
      <c r="AN23" s="9"/>
      <c r="AO23" s="9"/>
      <c r="AP23" s="9"/>
      <c r="AQ23" s="9"/>
      <c r="AR23" s="9"/>
      <c r="AS23" s="2"/>
      <c r="AT23" s="2"/>
      <c r="AU23" s="37"/>
      <c r="AV23" s="9"/>
      <c r="AW23" s="9"/>
      <c r="AX23" s="9"/>
      <c r="AY23" s="9"/>
      <c r="AZ23" s="9"/>
      <c r="BA23" s="9"/>
      <c r="BB23" s="9"/>
      <c r="BC23" s="9"/>
      <c r="BD23" s="9"/>
      <c r="BE23" s="987" t="s">
        <v>483</v>
      </c>
      <c r="BF23" s="944"/>
      <c r="BG23" s="944"/>
      <c r="BH23" s="9"/>
      <c r="BI23" s="9"/>
      <c r="BJ23" s="9"/>
      <c r="BK23" s="9"/>
      <c r="BL23" s="9"/>
      <c r="BM23" s="9"/>
      <c r="BN23" s="9"/>
    </row>
    <row r="24" spans="1:66" ht="13.5" customHeight="1" x14ac:dyDescent="0.25">
      <c r="A24" s="2"/>
      <c r="B24" s="2"/>
      <c r="C24" s="37"/>
      <c r="D24" s="64"/>
      <c r="E24" s="64"/>
      <c r="F24" s="64"/>
      <c r="G24" s="64"/>
      <c r="H24" s="64"/>
      <c r="I24" s="64" t="s">
        <v>484</v>
      </c>
      <c r="J24" s="64"/>
      <c r="K24" s="64"/>
      <c r="L24" s="64"/>
      <c r="M24" s="64"/>
      <c r="N24" s="64"/>
      <c r="O24" s="64"/>
      <c r="P24" s="64" t="s">
        <v>485</v>
      </c>
      <c r="Q24" s="280" t="s">
        <v>486</v>
      </c>
      <c r="R24" s="64" t="s">
        <v>487</v>
      </c>
      <c r="S24" s="64" t="s">
        <v>488</v>
      </c>
      <c r="T24" s="64" t="s">
        <v>489</v>
      </c>
      <c r="U24" s="64"/>
      <c r="V24" s="64"/>
      <c r="W24" s="9"/>
      <c r="X24" s="2"/>
      <c r="Y24" s="37"/>
      <c r="Z24" s="64"/>
      <c r="AA24" s="64"/>
      <c r="AB24" s="64"/>
      <c r="AC24" s="64"/>
      <c r="AD24" s="64"/>
      <c r="AE24" s="64" t="s">
        <v>484</v>
      </c>
      <c r="AF24" s="64"/>
      <c r="AG24" s="64"/>
      <c r="AH24" s="64"/>
      <c r="AI24" s="64"/>
      <c r="AJ24" s="64"/>
      <c r="AK24" s="64"/>
      <c r="AL24" s="64" t="s">
        <v>485</v>
      </c>
      <c r="AM24" s="280" t="s">
        <v>486</v>
      </c>
      <c r="AN24" s="64" t="s">
        <v>487</v>
      </c>
      <c r="AO24" s="64" t="s">
        <v>488</v>
      </c>
      <c r="AP24" s="64" t="s">
        <v>489</v>
      </c>
      <c r="AQ24" s="64"/>
      <c r="AR24" s="64"/>
      <c r="AS24" s="2"/>
      <c r="AT24" s="2"/>
      <c r="AU24" s="37"/>
      <c r="AV24" s="64"/>
      <c r="AW24" s="64"/>
      <c r="AX24" s="64"/>
      <c r="AY24" s="64"/>
      <c r="AZ24" s="64"/>
      <c r="BA24" s="64" t="s">
        <v>484</v>
      </c>
      <c r="BB24" s="64"/>
      <c r="BC24" s="64"/>
      <c r="BD24" s="64"/>
      <c r="BE24" s="64"/>
      <c r="BF24" s="64"/>
      <c r="BG24" s="64"/>
      <c r="BH24" s="64" t="s">
        <v>485</v>
      </c>
      <c r="BI24" s="280" t="s">
        <v>486</v>
      </c>
      <c r="BJ24" s="64" t="s">
        <v>487</v>
      </c>
      <c r="BK24" s="64" t="s">
        <v>488</v>
      </c>
      <c r="BL24" s="64" t="s">
        <v>489</v>
      </c>
      <c r="BM24" s="64"/>
      <c r="BN24" s="64"/>
    </row>
    <row r="25" spans="1:66" ht="13.5" customHeight="1" x14ac:dyDescent="0.25">
      <c r="A25" s="2"/>
      <c r="B25" s="2"/>
      <c r="C25" s="37"/>
      <c r="D25" s="103"/>
      <c r="E25" s="64"/>
      <c r="F25" s="470" t="s">
        <v>22</v>
      </c>
      <c r="G25" s="470" t="s">
        <v>280</v>
      </c>
      <c r="H25" s="470" t="s">
        <v>490</v>
      </c>
      <c r="I25" s="470" t="s">
        <v>491</v>
      </c>
      <c r="J25" s="470" t="s">
        <v>492</v>
      </c>
      <c r="K25" s="470" t="s">
        <v>493</v>
      </c>
      <c r="L25" s="470" t="s">
        <v>494</v>
      </c>
      <c r="M25" s="470" t="s">
        <v>463</v>
      </c>
      <c r="N25" s="470" t="s">
        <v>277</v>
      </c>
      <c r="O25" s="470" t="s">
        <v>495</v>
      </c>
      <c r="P25" s="470" t="s">
        <v>496</v>
      </c>
      <c r="Q25" s="510" t="s">
        <v>497</v>
      </c>
      <c r="R25" s="470" t="s">
        <v>496</v>
      </c>
      <c r="S25" s="470" t="s">
        <v>498</v>
      </c>
      <c r="T25" s="470" t="s">
        <v>498</v>
      </c>
      <c r="U25" s="470" t="s">
        <v>499</v>
      </c>
      <c r="V25" s="470" t="s">
        <v>500</v>
      </c>
      <c r="W25" s="9"/>
      <c r="X25" s="2"/>
      <c r="Y25" s="37"/>
      <c r="Z25" s="103"/>
      <c r="AA25" s="64"/>
      <c r="AB25" s="470" t="s">
        <v>22</v>
      </c>
      <c r="AC25" s="470" t="s">
        <v>280</v>
      </c>
      <c r="AD25" s="470" t="s">
        <v>490</v>
      </c>
      <c r="AE25" s="470" t="s">
        <v>491</v>
      </c>
      <c r="AF25" s="470" t="s">
        <v>492</v>
      </c>
      <c r="AG25" s="470" t="s">
        <v>493</v>
      </c>
      <c r="AH25" s="470" t="s">
        <v>494</v>
      </c>
      <c r="AI25" s="470" t="s">
        <v>463</v>
      </c>
      <c r="AJ25" s="470" t="s">
        <v>277</v>
      </c>
      <c r="AK25" s="470" t="s">
        <v>495</v>
      </c>
      <c r="AL25" s="470" t="s">
        <v>496</v>
      </c>
      <c r="AM25" s="510" t="s">
        <v>497</v>
      </c>
      <c r="AN25" s="470" t="s">
        <v>496</v>
      </c>
      <c r="AO25" s="470" t="s">
        <v>498</v>
      </c>
      <c r="AP25" s="470" t="s">
        <v>498</v>
      </c>
      <c r="AQ25" s="470" t="s">
        <v>499</v>
      </c>
      <c r="AR25" s="470" t="s">
        <v>500</v>
      </c>
      <c r="AS25" s="2"/>
      <c r="AT25" s="2"/>
      <c r="AU25" s="37"/>
      <c r="AV25" s="103"/>
      <c r="AW25" s="64"/>
      <c r="AX25" s="470" t="s">
        <v>22</v>
      </c>
      <c r="AY25" s="470" t="s">
        <v>280</v>
      </c>
      <c r="AZ25" s="470" t="s">
        <v>490</v>
      </c>
      <c r="BA25" s="470" t="s">
        <v>491</v>
      </c>
      <c r="BB25" s="470" t="s">
        <v>492</v>
      </c>
      <c r="BC25" s="470" t="s">
        <v>493</v>
      </c>
      <c r="BD25" s="470" t="s">
        <v>494</v>
      </c>
      <c r="BE25" s="470" t="s">
        <v>463</v>
      </c>
      <c r="BF25" s="470" t="s">
        <v>277</v>
      </c>
      <c r="BG25" s="470" t="s">
        <v>495</v>
      </c>
      <c r="BH25" s="470" t="s">
        <v>496</v>
      </c>
      <c r="BI25" s="510" t="s">
        <v>497</v>
      </c>
      <c r="BJ25" s="470" t="s">
        <v>496</v>
      </c>
      <c r="BK25" s="470" t="s">
        <v>498</v>
      </c>
      <c r="BL25" s="470" t="s">
        <v>498</v>
      </c>
      <c r="BM25" s="470" t="s">
        <v>499</v>
      </c>
      <c r="BN25" s="470" t="s">
        <v>500</v>
      </c>
    </row>
    <row r="26" spans="1:66" ht="4.5" customHeight="1" x14ac:dyDescent="0.25">
      <c r="A26" s="2"/>
      <c r="B26" s="2"/>
      <c r="C26" s="37"/>
      <c r="D26" s="64"/>
      <c r="E26" s="64"/>
      <c r="F26" s="64"/>
      <c r="G26" s="64"/>
      <c r="H26" s="64"/>
      <c r="I26" s="9"/>
      <c r="J26" s="472"/>
      <c r="K26" s="64"/>
      <c r="L26" s="64"/>
      <c r="M26" s="64"/>
      <c r="N26" s="64"/>
      <c r="O26" s="64"/>
      <c r="P26" s="64"/>
      <c r="Q26" s="64"/>
      <c r="R26" s="64"/>
      <c r="S26" s="64"/>
      <c r="T26" s="64"/>
      <c r="U26" s="64"/>
      <c r="V26" s="64"/>
      <c r="W26" s="9"/>
      <c r="X26" s="2"/>
      <c r="Y26" s="37"/>
      <c r="Z26" s="64"/>
      <c r="AA26" s="64"/>
      <c r="AB26" s="64"/>
      <c r="AC26" s="64"/>
      <c r="AD26" s="64"/>
      <c r="AE26" s="9"/>
      <c r="AF26" s="472"/>
      <c r="AG26" s="64"/>
      <c r="AH26" s="64"/>
      <c r="AI26" s="64"/>
      <c r="AJ26" s="64"/>
      <c r="AK26" s="64"/>
      <c r="AL26" s="64"/>
      <c r="AM26" s="64"/>
      <c r="AN26" s="64"/>
      <c r="AO26" s="64"/>
      <c r="AP26" s="64"/>
      <c r="AQ26" s="64"/>
      <c r="AR26" s="64"/>
      <c r="AS26" s="2"/>
      <c r="AT26" s="2"/>
      <c r="AU26" s="37"/>
      <c r="AV26" s="64"/>
      <c r="AW26" s="64"/>
      <c r="AX26" s="64"/>
      <c r="AY26" s="64"/>
      <c r="AZ26" s="64"/>
      <c r="BA26" s="9"/>
      <c r="BB26" s="472"/>
      <c r="BC26" s="64"/>
      <c r="BD26" s="64"/>
      <c r="BE26" s="64"/>
      <c r="BF26" s="64"/>
      <c r="BG26" s="64"/>
      <c r="BH26" s="64"/>
      <c r="BI26" s="64"/>
      <c r="BJ26" s="64"/>
      <c r="BK26" s="64"/>
      <c r="BL26" s="64"/>
      <c r="BM26" s="64"/>
      <c r="BN26" s="64"/>
    </row>
    <row r="27" spans="1:66" ht="13.5" customHeight="1" x14ac:dyDescent="0.25">
      <c r="A27" s="2"/>
      <c r="B27" s="2"/>
      <c r="C27" s="37"/>
      <c r="D27" s="11" t="s">
        <v>853</v>
      </c>
      <c r="E27" s="12"/>
      <c r="F27" s="51" t="s">
        <v>817</v>
      </c>
      <c r="G27" s="474">
        <v>0.21471499999999999</v>
      </c>
      <c r="H27" s="511">
        <v>1.1511</v>
      </c>
      <c r="I27" s="474">
        <v>1.2800000000000001E-2</v>
      </c>
      <c r="J27" s="474">
        <v>0.21549571292202571</v>
      </c>
      <c r="K27" s="474">
        <v>0.33992199999999995</v>
      </c>
      <c r="L27" s="474">
        <v>3.7908999999999998E-2</v>
      </c>
      <c r="M27" s="475">
        <v>0.65626400000000007</v>
      </c>
      <c r="N27" s="475">
        <v>2.2999999999999998</v>
      </c>
      <c r="O27" s="475">
        <v>1.909213</v>
      </c>
      <c r="P27" s="475">
        <v>2.9</v>
      </c>
      <c r="Q27" s="475" t="s">
        <v>1152</v>
      </c>
      <c r="R27" s="475" t="s">
        <v>1153</v>
      </c>
      <c r="S27" s="511">
        <v>1.3909199999999999</v>
      </c>
      <c r="T27" s="511">
        <v>1.40465</v>
      </c>
      <c r="U27" s="51" t="s">
        <v>503</v>
      </c>
      <c r="V27" s="52" t="s">
        <v>502</v>
      </c>
      <c r="W27" s="9"/>
      <c r="X27" s="2"/>
      <c r="Y27" s="37"/>
      <c r="Z27" s="11" t="str">
        <f>Company_Name</f>
        <v>American Express Company</v>
      </c>
      <c r="AA27" s="12"/>
      <c r="AB27" s="51" t="s">
        <v>23</v>
      </c>
      <c r="AC27" s="477">
        <v>0.24602599999999999</v>
      </c>
      <c r="AD27" s="511">
        <v>1.3267899999999999</v>
      </c>
      <c r="AE27" s="477">
        <v>1.5541000000000001E-2</v>
      </c>
      <c r="AF27" s="477">
        <v>0.39441918935110964</v>
      </c>
      <c r="AG27" s="477">
        <v>3.3532639999999998</v>
      </c>
      <c r="AH27" s="477">
        <v>0.153199</v>
      </c>
      <c r="AI27" s="475">
        <v>94.802499999999995</v>
      </c>
      <c r="AJ27" s="475">
        <v>1.9578</v>
      </c>
      <c r="AK27" s="475">
        <v>1824.0083</v>
      </c>
      <c r="AL27" s="475">
        <v>15.353210000000001</v>
      </c>
      <c r="AM27" s="475">
        <v>13.29931</v>
      </c>
      <c r="AN27" s="475">
        <v>12.490830000000001</v>
      </c>
      <c r="AO27" s="511">
        <v>0.27742</v>
      </c>
      <c r="AP27" s="511">
        <v>1.1919900000000001</v>
      </c>
      <c r="AQ27" s="51" t="s">
        <v>501</v>
      </c>
      <c r="AR27" s="52" t="s">
        <v>502</v>
      </c>
      <c r="AS27" s="2"/>
      <c r="AT27" s="2"/>
      <c r="AU27" s="37"/>
      <c r="AV27" s="11" t="str">
        <f>Company_Name</f>
        <v>American Express Company</v>
      </c>
      <c r="AW27" s="12"/>
      <c r="AX27" s="51" t="s">
        <v>23</v>
      </c>
      <c r="AY27" s="477">
        <v>0.24602599999999999</v>
      </c>
      <c r="AZ27" s="511">
        <v>1.3267899999999999</v>
      </c>
      <c r="BA27" s="477">
        <v>1.5541000000000001E-2</v>
      </c>
      <c r="BB27" s="477">
        <v>0.39441918935110964</v>
      </c>
      <c r="BC27" s="477">
        <v>3.3532639999999998</v>
      </c>
      <c r="BD27" s="477">
        <v>0.153199</v>
      </c>
      <c r="BE27" s="475">
        <v>94.802499999999995</v>
      </c>
      <c r="BF27" s="475">
        <v>1.9578</v>
      </c>
      <c r="BG27" s="475">
        <v>1824.0083</v>
      </c>
      <c r="BH27" s="475">
        <v>15.353210000000001</v>
      </c>
      <c r="BI27" s="475">
        <v>13.29931</v>
      </c>
      <c r="BJ27" s="475">
        <v>12.490830000000001</v>
      </c>
      <c r="BK27" s="511">
        <v>0.27742</v>
      </c>
      <c r="BL27" s="511">
        <v>1.1919900000000001</v>
      </c>
      <c r="BM27" s="51" t="s">
        <v>501</v>
      </c>
      <c r="BN27" s="52" t="s">
        <v>502</v>
      </c>
    </row>
    <row r="28" spans="1:66" ht="13.5" customHeight="1" x14ac:dyDescent="0.25">
      <c r="A28" s="2"/>
      <c r="B28" s="2"/>
      <c r="C28" s="37"/>
      <c r="D28" s="9"/>
      <c r="E28" s="9"/>
      <c r="F28" s="64"/>
      <c r="G28" s="479"/>
      <c r="H28" s="64"/>
      <c r="I28" s="484"/>
      <c r="J28" s="484"/>
      <c r="K28" s="484"/>
      <c r="L28" s="484"/>
      <c r="M28" s="512"/>
      <c r="N28" s="483"/>
      <c r="O28" s="512"/>
      <c r="P28" s="483"/>
      <c r="Q28" s="480"/>
      <c r="R28" s="480"/>
      <c r="S28" s="64"/>
      <c r="T28" s="64"/>
      <c r="U28" s="64"/>
      <c r="V28" s="64"/>
      <c r="W28" s="9"/>
      <c r="X28" s="2"/>
      <c r="Y28" s="37"/>
      <c r="Z28" s="9"/>
      <c r="AA28" s="9"/>
      <c r="AB28" s="64"/>
      <c r="AC28" s="479"/>
      <c r="AD28" s="64"/>
      <c r="AE28" s="484"/>
      <c r="AF28" s="484"/>
      <c r="AG28" s="484"/>
      <c r="AH28" s="484"/>
      <c r="AI28" s="512"/>
      <c r="AJ28" s="483"/>
      <c r="AK28" s="512"/>
      <c r="AL28" s="483"/>
      <c r="AM28" s="480"/>
      <c r="AN28" s="480"/>
      <c r="AO28" s="64"/>
      <c r="AP28" s="64"/>
      <c r="AQ28" s="64"/>
      <c r="AR28" s="64"/>
      <c r="AS28" s="2"/>
      <c r="AT28" s="2"/>
      <c r="AU28" s="37"/>
      <c r="AV28" s="9"/>
      <c r="AW28" s="9"/>
      <c r="AX28" s="64"/>
      <c r="AY28" s="479"/>
      <c r="AZ28" s="64"/>
      <c r="BA28" s="484"/>
      <c r="BB28" s="484"/>
      <c r="BC28" s="484"/>
      <c r="BD28" s="484"/>
      <c r="BE28" s="512"/>
      <c r="BF28" s="483"/>
      <c r="BG28" s="512"/>
      <c r="BH28" s="483"/>
      <c r="BI28" s="480"/>
      <c r="BJ28" s="480"/>
      <c r="BK28" s="64"/>
      <c r="BL28" s="64"/>
      <c r="BM28" s="64"/>
      <c r="BN28" s="64"/>
    </row>
    <row r="29" spans="1:66" ht="13.5" customHeight="1" x14ac:dyDescent="0.25">
      <c r="A29" s="2"/>
      <c r="B29" s="2"/>
      <c r="C29" s="37"/>
      <c r="D29" s="9" t="s">
        <v>919</v>
      </c>
      <c r="E29" s="9"/>
      <c r="F29" s="64" t="s">
        <v>962</v>
      </c>
      <c r="G29" s="482">
        <v>0.17095099999999999</v>
      </c>
      <c r="H29" s="513">
        <v>0.79054000000000002</v>
      </c>
      <c r="I29" s="482">
        <v>8.8999999999999999E-3</v>
      </c>
      <c r="J29" s="482">
        <v>0.50851200112836858</v>
      </c>
      <c r="K29" s="482">
        <v>0.53954000000000002</v>
      </c>
      <c r="L29" s="482">
        <v>0.183642</v>
      </c>
      <c r="M29" s="483">
        <v>0.407607</v>
      </c>
      <c r="N29" s="483">
        <v>0.92420999999999998</v>
      </c>
      <c r="O29" s="483">
        <v>0.6880679999999999</v>
      </c>
      <c r="P29" s="483">
        <v>47.916809999999998</v>
      </c>
      <c r="Q29" s="483">
        <v>45.400680000000001</v>
      </c>
      <c r="R29" s="483">
        <v>45.514429999999997</v>
      </c>
      <c r="S29" s="513">
        <v>0.75741999999999998</v>
      </c>
      <c r="T29" s="513">
        <v>1.07755</v>
      </c>
      <c r="U29" s="64" t="s">
        <v>965</v>
      </c>
      <c r="V29" s="64" t="s">
        <v>502</v>
      </c>
      <c r="W29" s="9"/>
      <c r="X29" s="2"/>
      <c r="Y29" s="37"/>
      <c r="Z29" s="9" t="e">
        <f t="shared" ref="Z29:Z32" ca="1" si="14">Z51</f>
        <v>#NAME?</v>
      </c>
      <c r="AA29" s="9"/>
      <c r="AB29" s="64" t="s">
        <v>465</v>
      </c>
      <c r="AC29" s="479">
        <v>0.14074</v>
      </c>
      <c r="AD29" s="513">
        <v>1.0573999999999999</v>
      </c>
      <c r="AE29" s="479">
        <v>2.3887000000000002E-2</v>
      </c>
      <c r="AF29" s="479">
        <v>0.21877749021799892</v>
      </c>
      <c r="AG29" s="479">
        <v>3.2482000000000004E-2</v>
      </c>
      <c r="AH29" s="479">
        <v>1.7917000000000002E-2</v>
      </c>
      <c r="AI29" s="483">
        <v>31.401499999999999</v>
      </c>
      <c r="AJ29" s="483">
        <v>4.7381599999999997</v>
      </c>
      <c r="AK29" s="483">
        <v>45.775799999999997</v>
      </c>
      <c r="AL29" s="483">
        <v>5.0696000000000003</v>
      </c>
      <c r="AM29" s="483">
        <v>3.79474</v>
      </c>
      <c r="AN29" s="483">
        <v>1.76491</v>
      </c>
      <c r="AO29" s="513">
        <v>0.78071000000000002</v>
      </c>
      <c r="AP29" s="513">
        <v>1.21</v>
      </c>
      <c r="AQ29" s="64" t="s">
        <v>503</v>
      </c>
      <c r="AR29" s="64" t="s">
        <v>504</v>
      </c>
      <c r="AS29" s="2"/>
      <c r="AT29" s="2"/>
      <c r="AU29" s="37"/>
      <c r="AV29" s="9" t="e">
        <f t="shared" ref="AV29:AV32" ca="1" si="15">AV51</f>
        <v>#NAME?</v>
      </c>
      <c r="AW29" s="9"/>
      <c r="AX29" s="64" t="s">
        <v>466</v>
      </c>
      <c r="AY29" s="479">
        <v>0.19653999999999999</v>
      </c>
      <c r="AZ29" s="513">
        <v>0.95801999999999998</v>
      </c>
      <c r="BA29" s="479">
        <v>3.0351E-2</v>
      </c>
      <c r="BB29" s="479">
        <v>0.22662902487906014</v>
      </c>
      <c r="BC29" s="479">
        <v>0.46612399999999998</v>
      </c>
      <c r="BD29" s="479">
        <v>0.10926399999999999</v>
      </c>
      <c r="BE29" s="483">
        <v>60.462899999999998</v>
      </c>
      <c r="BF29" s="483">
        <v>2.09659</v>
      </c>
      <c r="BG29" s="483">
        <v>152.92699999999999</v>
      </c>
      <c r="BH29" s="483">
        <v>17.82987</v>
      </c>
      <c r="BI29" s="483">
        <v>14.99244</v>
      </c>
      <c r="BJ29" s="483">
        <v>13.36862</v>
      </c>
      <c r="BK29" s="513">
        <v>1.2424500000000001</v>
      </c>
      <c r="BL29" s="513">
        <v>1.885</v>
      </c>
      <c r="BM29" s="64" t="s">
        <v>505</v>
      </c>
      <c r="BN29" s="64" t="s">
        <v>504</v>
      </c>
    </row>
    <row r="30" spans="1:66" ht="13.5" customHeight="1" x14ac:dyDescent="0.25">
      <c r="A30" s="2"/>
      <c r="B30" s="2"/>
      <c r="C30" s="37"/>
      <c r="D30" s="9" t="s">
        <v>930</v>
      </c>
      <c r="E30" s="9"/>
      <c r="F30" s="64" t="s">
        <v>929</v>
      </c>
      <c r="G30" s="482">
        <v>0.19431499999999999</v>
      </c>
      <c r="H30" s="513">
        <v>0.83562000000000003</v>
      </c>
      <c r="I30" s="482">
        <v>7.0000000000000001E-3</v>
      </c>
      <c r="J30" s="482">
        <v>0.9187735663904073</v>
      </c>
      <c r="K30" s="482">
        <v>2.099151</v>
      </c>
      <c r="L30" s="482">
        <v>0.23720300000000002</v>
      </c>
      <c r="M30" s="483">
        <v>0.71913399999999994</v>
      </c>
      <c r="N30" s="483">
        <v>0.96538999999999997</v>
      </c>
      <c r="O30" s="483">
        <v>2.5604180000000003</v>
      </c>
      <c r="P30" s="483">
        <v>28.45429</v>
      </c>
      <c r="Q30" s="483">
        <v>27.777010000000001</v>
      </c>
      <c r="R30" s="483">
        <v>26.871189999999999</v>
      </c>
      <c r="S30" s="513">
        <v>0.68127000000000004</v>
      </c>
      <c r="T30" s="513">
        <v>1.0349699999999999</v>
      </c>
      <c r="U30" s="64" t="s">
        <v>505</v>
      </c>
      <c r="V30" s="64" t="s">
        <v>502</v>
      </c>
      <c r="W30" s="9"/>
      <c r="X30" s="2"/>
      <c r="Y30" s="37"/>
      <c r="Z30" s="9" t="e">
        <f t="shared" ca="1" si="14"/>
        <v>#NAME?</v>
      </c>
      <c r="AA30" s="9"/>
      <c r="AB30" s="64" t="s">
        <v>467</v>
      </c>
      <c r="AC30" s="479">
        <v>0.14074</v>
      </c>
      <c r="AD30" s="513">
        <v>1.6202799999999999</v>
      </c>
      <c r="AE30" s="479">
        <v>0</v>
      </c>
      <c r="AF30" s="479">
        <v>0.21877749021799892</v>
      </c>
      <c r="AG30" s="479">
        <v>3.2482000000000004E-2</v>
      </c>
      <c r="AH30" s="479">
        <v>-1.6131E-2</v>
      </c>
      <c r="AI30" s="483">
        <v>138.57230000000001</v>
      </c>
      <c r="AJ30" s="483" t="s">
        <v>468</v>
      </c>
      <c r="AK30" s="483" t="s">
        <v>468</v>
      </c>
      <c r="AL30" s="483" t="s">
        <v>468</v>
      </c>
      <c r="AM30" s="483" t="s">
        <v>468</v>
      </c>
      <c r="AN30" s="483" t="s">
        <v>468</v>
      </c>
      <c r="AO30" s="513">
        <v>0.40834999999999999</v>
      </c>
      <c r="AP30" s="513">
        <v>1.3936999999999999</v>
      </c>
      <c r="AQ30" s="64" t="s">
        <v>506</v>
      </c>
      <c r="AR30" s="64" t="s">
        <v>504</v>
      </c>
      <c r="AS30" s="2"/>
      <c r="AT30" s="2"/>
      <c r="AU30" s="37"/>
      <c r="AV30" s="9" t="e">
        <f t="shared" ca="1" si="15"/>
        <v>#NAME?</v>
      </c>
      <c r="AW30" s="9"/>
      <c r="AX30" s="64" t="s">
        <v>469</v>
      </c>
      <c r="AY30" s="479">
        <v>0.19653999999999999</v>
      </c>
      <c r="AZ30" s="513">
        <v>1.0765100000000001</v>
      </c>
      <c r="BA30" s="479">
        <v>3.0159999999999996E-3</v>
      </c>
      <c r="BB30" s="479">
        <v>0.22662902487906014</v>
      </c>
      <c r="BC30" s="479">
        <v>2.2750000000000001E-3</v>
      </c>
      <c r="BD30" s="479">
        <v>2.2489999999999997E-3</v>
      </c>
      <c r="BE30" s="483">
        <v>67.793300000000002</v>
      </c>
      <c r="BF30" s="483">
        <v>11.469580000000001</v>
      </c>
      <c r="BG30" s="483">
        <v>210.49520000000001</v>
      </c>
      <c r="BH30" s="483">
        <v>5.1042800000000002</v>
      </c>
      <c r="BI30" s="483">
        <v>2.6646700000000001</v>
      </c>
      <c r="BJ30" s="483" t="s">
        <v>468</v>
      </c>
      <c r="BK30" s="513">
        <v>1.21993</v>
      </c>
      <c r="BL30" s="513">
        <v>1.57684</v>
      </c>
      <c r="BM30" s="64" t="s">
        <v>501</v>
      </c>
      <c r="BN30" s="64" t="s">
        <v>507</v>
      </c>
    </row>
    <row r="31" spans="1:66" ht="13.5" customHeight="1" x14ac:dyDescent="0.25">
      <c r="A31" s="2"/>
      <c r="B31" s="2"/>
      <c r="C31" s="37"/>
      <c r="D31" s="9" t="s">
        <v>941</v>
      </c>
      <c r="E31" s="9"/>
      <c r="F31" s="64" t="s">
        <v>963</v>
      </c>
      <c r="G31" s="482">
        <v>8.4611999999999993E-2</v>
      </c>
      <c r="H31" s="513">
        <v>1.13907</v>
      </c>
      <c r="I31" s="482">
        <v>1.7999999999999999E-2</v>
      </c>
      <c r="J31" s="482">
        <v>2.9997588022058892E-2</v>
      </c>
      <c r="K31" s="482">
        <v>2.3944E-2</v>
      </c>
      <c r="L31" s="482">
        <v>3.6020000000000002E-3</v>
      </c>
      <c r="M31" s="483">
        <v>0</v>
      </c>
      <c r="N31" s="483" t="s">
        <v>964</v>
      </c>
      <c r="O31" s="483">
        <v>0</v>
      </c>
      <c r="P31" s="483">
        <v>0</v>
      </c>
      <c r="Q31" s="483">
        <v>0</v>
      </c>
      <c r="R31" s="483">
        <v>0</v>
      </c>
      <c r="S31" s="513">
        <v>0</v>
      </c>
      <c r="T31" s="513">
        <v>0</v>
      </c>
      <c r="U31" s="64" t="s">
        <v>966</v>
      </c>
      <c r="V31" s="64" t="s">
        <v>967</v>
      </c>
      <c r="W31" s="9"/>
      <c r="X31" s="2"/>
      <c r="Y31" s="37"/>
      <c r="Z31" s="9" t="e">
        <f t="shared" ca="1" si="14"/>
        <v>#NAME?</v>
      </c>
      <c r="AA31" s="9"/>
      <c r="AB31" s="64" t="s">
        <v>470</v>
      </c>
      <c r="AC31" s="479">
        <v>0.14074</v>
      </c>
      <c r="AD31" s="513">
        <v>1.00423</v>
      </c>
      <c r="AE31" s="479">
        <v>2.2029999999999998E-2</v>
      </c>
      <c r="AF31" s="479">
        <v>0.21877749021799892</v>
      </c>
      <c r="AG31" s="479">
        <v>0.39946500000000001</v>
      </c>
      <c r="AH31" s="479">
        <v>6.9584000000000007E-2</v>
      </c>
      <c r="AI31" s="483">
        <v>49.722200000000001</v>
      </c>
      <c r="AJ31" s="483">
        <v>1.5284599999999999</v>
      </c>
      <c r="AK31" s="483">
        <v>98.895300000000006</v>
      </c>
      <c r="AL31" s="483">
        <v>10.78947</v>
      </c>
      <c r="AM31" s="483">
        <v>7.6929800000000004</v>
      </c>
      <c r="AN31" s="483">
        <v>7.7719300000000002</v>
      </c>
      <c r="AO31" s="513">
        <v>0.95642000000000005</v>
      </c>
      <c r="AP31" s="513">
        <v>1.0979300000000001</v>
      </c>
      <c r="AQ31" s="64" t="s">
        <v>506</v>
      </c>
      <c r="AR31" s="64" t="s">
        <v>504</v>
      </c>
      <c r="AS31" s="2"/>
      <c r="AT31" s="2"/>
      <c r="AU31" s="37"/>
      <c r="AV31" s="9" t="e">
        <f t="shared" ca="1" si="15"/>
        <v>#NAME?</v>
      </c>
      <c r="AW31" s="9"/>
      <c r="AX31" s="64" t="s">
        <v>471</v>
      </c>
      <c r="AY31" s="479">
        <v>0.19078499999999998</v>
      </c>
      <c r="AZ31" s="513">
        <v>1.1858299999999999</v>
      </c>
      <c r="BA31" s="479">
        <v>1.6094000000000001E-2</v>
      </c>
      <c r="BB31" s="479">
        <v>0.20011679501698756</v>
      </c>
      <c r="BC31" s="479">
        <v>0.27636500000000003</v>
      </c>
      <c r="BD31" s="479">
        <v>7.0619000000000001E-2</v>
      </c>
      <c r="BE31" s="483">
        <v>56.602200000000003</v>
      </c>
      <c r="BF31" s="483">
        <v>2.9363700000000001</v>
      </c>
      <c r="BG31" s="483">
        <v>130.4264</v>
      </c>
      <c r="BH31" s="483">
        <v>22.019500000000001</v>
      </c>
      <c r="BI31" s="483">
        <v>19.495819999999998</v>
      </c>
      <c r="BJ31" s="483">
        <v>18.53482</v>
      </c>
      <c r="BK31" s="513">
        <v>1.15815</v>
      </c>
      <c r="BL31" s="513">
        <v>1.4676800000000001</v>
      </c>
      <c r="BM31" s="64" t="s">
        <v>508</v>
      </c>
      <c r="BN31" s="64" t="s">
        <v>502</v>
      </c>
    </row>
    <row r="32" spans="1:66" ht="13.5" customHeight="1" x14ac:dyDescent="0.25">
      <c r="A32" s="2"/>
      <c r="B32" s="2"/>
      <c r="C32" s="37"/>
      <c r="D32" s="9" t="s">
        <v>952</v>
      </c>
      <c r="E32" s="9"/>
      <c r="F32" s="64" t="s">
        <v>951</v>
      </c>
      <c r="G32" s="482">
        <v>0.21416000000000002</v>
      </c>
      <c r="H32" s="513">
        <v>1.05891</v>
      </c>
      <c r="I32" s="482">
        <v>2.1100000000000001E-2</v>
      </c>
      <c r="J32" s="482">
        <v>5.2818556198474066E-2</v>
      </c>
      <c r="K32" s="482">
        <v>0.16133500000000001</v>
      </c>
      <c r="L32" s="482">
        <v>1.3538E-2</v>
      </c>
      <c r="M32" s="483">
        <v>0</v>
      </c>
      <c r="N32" s="483" t="s">
        <v>964</v>
      </c>
      <c r="O32" s="483">
        <v>0</v>
      </c>
      <c r="P32" s="483">
        <v>0</v>
      </c>
      <c r="Q32" s="483">
        <v>0</v>
      </c>
      <c r="R32" s="483">
        <v>0</v>
      </c>
      <c r="S32" s="513">
        <v>0</v>
      </c>
      <c r="T32" s="513">
        <v>0</v>
      </c>
      <c r="U32" s="64" t="s">
        <v>508</v>
      </c>
      <c r="V32" s="64" t="s">
        <v>502</v>
      </c>
      <c r="W32" s="9"/>
      <c r="X32" s="2"/>
      <c r="Y32" s="37"/>
      <c r="Z32" s="9" t="e">
        <f t="shared" ca="1" si="14"/>
        <v>#NAME?</v>
      </c>
      <c r="AA32" s="9"/>
      <c r="AB32" s="64" t="s">
        <v>472</v>
      </c>
      <c r="AC32" s="479">
        <v>0.16356999999999999</v>
      </c>
      <c r="AD32" s="513">
        <v>0.97955999999999999</v>
      </c>
      <c r="AE32" s="479">
        <v>2.8730000000000002E-2</v>
      </c>
      <c r="AF32" s="479">
        <v>0.47399097894209075</v>
      </c>
      <c r="AG32" s="479">
        <v>1.395308</v>
      </c>
      <c r="AH32" s="479">
        <v>0.11113300000000001</v>
      </c>
      <c r="AI32" s="483">
        <v>68.750600000000006</v>
      </c>
      <c r="AJ32" s="483">
        <v>1.2992999999999999</v>
      </c>
      <c r="AK32" s="483">
        <v>220.00659999999999</v>
      </c>
      <c r="AL32" s="483">
        <v>17.299489999999999</v>
      </c>
      <c r="AM32" s="483">
        <v>14.31134</v>
      </c>
      <c r="AN32" s="483">
        <v>15.020300000000001</v>
      </c>
      <c r="AO32" s="513">
        <v>1.05383</v>
      </c>
      <c r="AP32" s="513">
        <v>1.3908</v>
      </c>
      <c r="AQ32" s="64" t="s">
        <v>503</v>
      </c>
      <c r="AR32" s="64" t="s">
        <v>502</v>
      </c>
      <c r="AS32" s="2"/>
      <c r="AT32" s="2"/>
      <c r="AU32" s="37"/>
      <c r="AV32" s="9" t="e">
        <f t="shared" ca="1" si="15"/>
        <v>#NAME?</v>
      </c>
      <c r="AW32" s="9"/>
      <c r="AX32" s="64" t="s">
        <v>473</v>
      </c>
      <c r="AY32" s="479">
        <v>0.214669</v>
      </c>
      <c r="AZ32" s="513">
        <v>1.0453399999999999</v>
      </c>
      <c r="BA32" s="479">
        <v>4.7010000000000003E-3</v>
      </c>
      <c r="BB32" s="479">
        <v>6.2702786118550582E-2</v>
      </c>
      <c r="BC32" s="479">
        <v>0.10162599999999999</v>
      </c>
      <c r="BD32" s="479">
        <v>4.5176000000000001E-2</v>
      </c>
      <c r="BE32" s="483">
        <v>48.453000000000003</v>
      </c>
      <c r="BF32" s="483">
        <v>4.8756700000000004</v>
      </c>
      <c r="BG32" s="483">
        <v>93.997900000000001</v>
      </c>
      <c r="BH32" s="483">
        <v>9.2297899999999995</v>
      </c>
      <c r="BI32" s="483">
        <v>9.0872499999999992</v>
      </c>
      <c r="BJ32" s="483">
        <v>6.5376899999999996</v>
      </c>
      <c r="BK32" s="513">
        <v>0.58701999999999999</v>
      </c>
      <c r="BL32" s="513">
        <v>0.71686000000000005</v>
      </c>
      <c r="BM32" s="64" t="s">
        <v>501</v>
      </c>
      <c r="BN32" s="64" t="s">
        <v>502</v>
      </c>
    </row>
    <row r="33" spans="1:66" ht="13.5" customHeight="1" x14ac:dyDescent="0.25">
      <c r="A33" s="2"/>
      <c r="B33" s="2"/>
      <c r="C33" s="37"/>
      <c r="D33" s="9"/>
      <c r="E33" s="9"/>
      <c r="F33" s="64"/>
      <c r="G33" s="479"/>
      <c r="H33" s="64"/>
      <c r="I33" s="484"/>
      <c r="J33" s="484"/>
      <c r="K33" s="484"/>
      <c r="L33" s="484"/>
      <c r="M33" s="512"/>
      <c r="N33" s="64"/>
      <c r="O33" s="514"/>
      <c r="P33" s="483"/>
      <c r="Q33" s="483"/>
      <c r="R33" s="483"/>
      <c r="S33" s="64"/>
      <c r="T33" s="64"/>
      <c r="U33" s="64"/>
      <c r="V33" s="64"/>
      <c r="W33" s="9"/>
      <c r="X33" s="2"/>
      <c r="Y33" s="37"/>
      <c r="Z33" s="9"/>
      <c r="AA33" s="9"/>
      <c r="AB33" s="64"/>
      <c r="AC33" s="479"/>
      <c r="AD33" s="64"/>
      <c r="AE33" s="484"/>
      <c r="AF33" s="484"/>
      <c r="AG33" s="484"/>
      <c r="AH33" s="484"/>
      <c r="AI33" s="512"/>
      <c r="AJ33" s="64"/>
      <c r="AK33" s="514"/>
      <c r="AL33" s="483"/>
      <c r="AM33" s="483"/>
      <c r="AN33" s="483"/>
      <c r="AO33" s="64"/>
      <c r="AP33" s="64"/>
      <c r="AQ33" s="64"/>
      <c r="AR33" s="64"/>
      <c r="AS33" s="2"/>
      <c r="AT33" s="2"/>
      <c r="AU33" s="37"/>
      <c r="AV33" s="9"/>
      <c r="AW33" s="9"/>
      <c r="AX33" s="64"/>
      <c r="AY33" s="479"/>
      <c r="AZ33" s="64"/>
      <c r="BA33" s="484"/>
      <c r="BB33" s="484"/>
      <c r="BC33" s="484"/>
      <c r="BD33" s="484"/>
      <c r="BE33" s="512"/>
      <c r="BF33" s="64"/>
      <c r="BG33" s="514"/>
      <c r="BH33" s="483"/>
      <c r="BI33" s="483"/>
      <c r="BJ33" s="483"/>
      <c r="BK33" s="64"/>
      <c r="BL33" s="64"/>
      <c r="BM33" s="64"/>
      <c r="BN33" s="64"/>
    </row>
    <row r="34" spans="1:66" ht="13.5" customHeight="1" x14ac:dyDescent="0.25">
      <c r="A34" s="2"/>
      <c r="B34" s="2"/>
      <c r="C34" s="37"/>
      <c r="D34" s="485" t="s">
        <v>162</v>
      </c>
      <c r="E34" s="486"/>
      <c r="F34" s="487"/>
      <c r="G34" s="489">
        <f t="shared" ref="G34:H34" si="16">MAX(G29:G32)</f>
        <v>0.21416000000000002</v>
      </c>
      <c r="H34" s="515">
        <f t="shared" si="16"/>
        <v>1.13907</v>
      </c>
      <c r="I34" s="489">
        <f>MAX(I29:I32)</f>
        <v>2.1100000000000001E-2</v>
      </c>
      <c r="J34" s="489">
        <f t="shared" ref="J34:T34" si="17">MAX(J29:J32)</f>
        <v>0.9187735663904073</v>
      </c>
      <c r="K34" s="489">
        <f t="shared" si="17"/>
        <v>2.099151</v>
      </c>
      <c r="L34" s="489">
        <f t="shared" si="17"/>
        <v>0.23720300000000002</v>
      </c>
      <c r="M34" s="491">
        <f t="shared" si="17"/>
        <v>0.71913399999999994</v>
      </c>
      <c r="N34" s="491">
        <f t="shared" si="17"/>
        <v>0.96538999999999997</v>
      </c>
      <c r="O34" s="491">
        <f t="shared" si="17"/>
        <v>2.5604180000000003</v>
      </c>
      <c r="P34" s="491">
        <f t="shared" si="17"/>
        <v>47.916809999999998</v>
      </c>
      <c r="Q34" s="491">
        <f t="shared" si="17"/>
        <v>45.400680000000001</v>
      </c>
      <c r="R34" s="491">
        <f t="shared" si="17"/>
        <v>45.514429999999997</v>
      </c>
      <c r="S34" s="515">
        <f t="shared" si="17"/>
        <v>0.75741999999999998</v>
      </c>
      <c r="T34" s="515">
        <f t="shared" si="17"/>
        <v>1.07755</v>
      </c>
      <c r="U34" s="487"/>
      <c r="V34" s="516"/>
      <c r="W34" s="9"/>
      <c r="X34" s="2"/>
      <c r="Y34" s="37"/>
      <c r="Z34" s="485" t="str">
        <f>Z17</f>
        <v>High</v>
      </c>
      <c r="AA34" s="486"/>
      <c r="AB34" s="487"/>
      <c r="AC34" s="493">
        <f t="shared" ref="AC34:AP34" si="18">MAX(AC27:AC32)</f>
        <v>0.24602599999999999</v>
      </c>
      <c r="AD34" s="515">
        <f t="shared" si="18"/>
        <v>1.6202799999999999</v>
      </c>
      <c r="AE34" s="493">
        <f t="shared" si="18"/>
        <v>2.8730000000000002E-2</v>
      </c>
      <c r="AF34" s="493">
        <f t="shared" si="18"/>
        <v>0.47399097894209075</v>
      </c>
      <c r="AG34" s="493">
        <f t="shared" si="18"/>
        <v>3.3532639999999998</v>
      </c>
      <c r="AH34" s="493">
        <f t="shared" si="18"/>
        <v>0.153199</v>
      </c>
      <c r="AI34" s="491">
        <f t="shared" si="18"/>
        <v>138.57230000000001</v>
      </c>
      <c r="AJ34" s="491">
        <f t="shared" si="18"/>
        <v>4.7381599999999997</v>
      </c>
      <c r="AK34" s="491">
        <f t="shared" si="18"/>
        <v>1824.0083</v>
      </c>
      <c r="AL34" s="491">
        <f t="shared" si="18"/>
        <v>17.299489999999999</v>
      </c>
      <c r="AM34" s="491">
        <f t="shared" si="18"/>
        <v>14.31134</v>
      </c>
      <c r="AN34" s="491">
        <f t="shared" si="18"/>
        <v>15.020300000000001</v>
      </c>
      <c r="AO34" s="515">
        <f t="shared" si="18"/>
        <v>1.05383</v>
      </c>
      <c r="AP34" s="515">
        <f t="shared" si="18"/>
        <v>1.3936999999999999</v>
      </c>
      <c r="AQ34" s="487"/>
      <c r="AR34" s="516"/>
      <c r="AS34" s="2"/>
      <c r="AT34" s="2"/>
      <c r="AU34" s="37"/>
      <c r="AV34" s="485" t="str">
        <f>AV17</f>
        <v>High</v>
      </c>
      <c r="AW34" s="486"/>
      <c r="AX34" s="487"/>
      <c r="AY34" s="493">
        <f t="shared" ref="AY34:BL34" si="19">MAX(AY27:AY32)</f>
        <v>0.24602599999999999</v>
      </c>
      <c r="AZ34" s="515">
        <f t="shared" si="19"/>
        <v>1.3267899999999999</v>
      </c>
      <c r="BA34" s="493">
        <f t="shared" si="19"/>
        <v>3.0351E-2</v>
      </c>
      <c r="BB34" s="493">
        <f t="shared" si="19"/>
        <v>0.39441918935110964</v>
      </c>
      <c r="BC34" s="493">
        <f t="shared" si="19"/>
        <v>3.3532639999999998</v>
      </c>
      <c r="BD34" s="493">
        <f t="shared" si="19"/>
        <v>0.153199</v>
      </c>
      <c r="BE34" s="491">
        <f t="shared" si="19"/>
        <v>94.802499999999995</v>
      </c>
      <c r="BF34" s="491">
        <f t="shared" si="19"/>
        <v>11.469580000000001</v>
      </c>
      <c r="BG34" s="491">
        <f t="shared" si="19"/>
        <v>1824.0083</v>
      </c>
      <c r="BH34" s="491">
        <f t="shared" si="19"/>
        <v>22.019500000000001</v>
      </c>
      <c r="BI34" s="491">
        <f t="shared" si="19"/>
        <v>19.495819999999998</v>
      </c>
      <c r="BJ34" s="491">
        <f t="shared" si="19"/>
        <v>18.53482</v>
      </c>
      <c r="BK34" s="515">
        <f t="shared" si="19"/>
        <v>1.2424500000000001</v>
      </c>
      <c r="BL34" s="515">
        <f t="shared" si="19"/>
        <v>1.885</v>
      </c>
      <c r="BM34" s="487"/>
      <c r="BN34" s="516"/>
    </row>
    <row r="35" spans="1:66" ht="13.5" customHeight="1" x14ac:dyDescent="0.25">
      <c r="A35" s="2"/>
      <c r="B35" s="2"/>
      <c r="C35" s="37"/>
      <c r="D35" s="494" t="s">
        <v>476</v>
      </c>
      <c r="E35" s="375"/>
      <c r="F35" s="495"/>
      <c r="G35" s="497">
        <f t="shared" ref="G35:H35" si="20">AVERAGE(G29:G32)</f>
        <v>0.1660095</v>
      </c>
      <c r="H35" s="517">
        <f t="shared" si="20"/>
        <v>0.95603499999999997</v>
      </c>
      <c r="I35" s="497">
        <f>AVERAGE(I29:I32)</f>
        <v>1.375E-2</v>
      </c>
      <c r="J35" s="497">
        <f t="shared" ref="J35:T35" si="21">AVERAGE(J29:J32)</f>
        <v>0.37752542793482718</v>
      </c>
      <c r="K35" s="497">
        <f t="shared" si="21"/>
        <v>0.70599250000000002</v>
      </c>
      <c r="L35" s="497">
        <f t="shared" si="21"/>
        <v>0.10949625</v>
      </c>
      <c r="M35" s="499">
        <f t="shared" si="21"/>
        <v>0.28168525</v>
      </c>
      <c r="N35" s="499">
        <f t="shared" si="21"/>
        <v>0.94479999999999997</v>
      </c>
      <c r="O35" s="499">
        <f t="shared" si="21"/>
        <v>0.81212150000000005</v>
      </c>
      <c r="P35" s="499">
        <f t="shared" si="21"/>
        <v>19.092775</v>
      </c>
      <c r="Q35" s="499">
        <f t="shared" si="21"/>
        <v>18.2944225</v>
      </c>
      <c r="R35" s="499">
        <f t="shared" si="21"/>
        <v>18.096404999999997</v>
      </c>
      <c r="S35" s="517">
        <f t="shared" si="21"/>
        <v>0.35967250000000001</v>
      </c>
      <c r="T35" s="517">
        <f t="shared" si="21"/>
        <v>0.52812999999999999</v>
      </c>
      <c r="U35" s="495"/>
      <c r="V35" s="518"/>
      <c r="W35" s="9"/>
      <c r="X35" s="2"/>
      <c r="Y35" s="37"/>
      <c r="Z35" s="494" t="str">
        <f>Z18</f>
        <v>Mean</v>
      </c>
      <c r="AA35" s="375"/>
      <c r="AB35" s="495"/>
      <c r="AC35" s="501">
        <f t="shared" ref="AC35:AP35" si="22">AVERAGE(AC27:AC32)</f>
        <v>0.16636319999999999</v>
      </c>
      <c r="AD35" s="517">
        <f t="shared" si="22"/>
        <v>1.1976519999999999</v>
      </c>
      <c r="AE35" s="501">
        <f t="shared" si="22"/>
        <v>1.8037600000000001E-2</v>
      </c>
      <c r="AF35" s="501">
        <f t="shared" si="22"/>
        <v>0.30494852778943943</v>
      </c>
      <c r="AG35" s="501">
        <f t="shared" si="22"/>
        <v>1.0426002000000001</v>
      </c>
      <c r="AH35" s="501">
        <f t="shared" si="22"/>
        <v>6.7140400000000003E-2</v>
      </c>
      <c r="AI35" s="499">
        <f t="shared" si="22"/>
        <v>76.649820000000005</v>
      </c>
      <c r="AJ35" s="499">
        <f t="shared" si="22"/>
        <v>2.3809299999999998</v>
      </c>
      <c r="AK35" s="499">
        <f t="shared" si="22"/>
        <v>547.17149999999992</v>
      </c>
      <c r="AL35" s="499">
        <f t="shared" si="22"/>
        <v>12.1279425</v>
      </c>
      <c r="AM35" s="499">
        <f t="shared" si="22"/>
        <v>9.7745925000000007</v>
      </c>
      <c r="AN35" s="499">
        <f t="shared" si="22"/>
        <v>9.2619924999999999</v>
      </c>
      <c r="AO35" s="517">
        <f t="shared" si="22"/>
        <v>0.69534600000000002</v>
      </c>
      <c r="AP35" s="517">
        <f t="shared" si="22"/>
        <v>1.2568840000000001</v>
      </c>
      <c r="AQ35" s="495"/>
      <c r="AR35" s="518"/>
      <c r="AS35" s="2"/>
      <c r="AT35" s="2"/>
      <c r="AU35" s="37"/>
      <c r="AV35" s="494" t="str">
        <f>AV18</f>
        <v>Mean</v>
      </c>
      <c r="AW35" s="375"/>
      <c r="AX35" s="495"/>
      <c r="AY35" s="501">
        <f t="shared" ref="AY35:BL35" si="23">AVERAGE(AY27:AY32)</f>
        <v>0.20891199999999999</v>
      </c>
      <c r="AZ35" s="517">
        <f t="shared" si="23"/>
        <v>1.118498</v>
      </c>
      <c r="BA35" s="501">
        <f t="shared" si="23"/>
        <v>1.3940600000000001E-2</v>
      </c>
      <c r="BB35" s="501">
        <f t="shared" si="23"/>
        <v>0.22209936404895361</v>
      </c>
      <c r="BC35" s="501">
        <f t="shared" si="23"/>
        <v>0.83993080000000009</v>
      </c>
      <c r="BD35" s="501">
        <f t="shared" si="23"/>
        <v>7.61014E-2</v>
      </c>
      <c r="BE35" s="499">
        <f t="shared" si="23"/>
        <v>65.622779999999992</v>
      </c>
      <c r="BF35" s="499">
        <f t="shared" si="23"/>
        <v>4.6672020000000005</v>
      </c>
      <c r="BG35" s="499">
        <f t="shared" si="23"/>
        <v>482.37095999999991</v>
      </c>
      <c r="BH35" s="499">
        <f t="shared" si="23"/>
        <v>13.907330000000002</v>
      </c>
      <c r="BI35" s="499">
        <f t="shared" si="23"/>
        <v>11.907897999999999</v>
      </c>
      <c r="BJ35" s="499">
        <f t="shared" si="23"/>
        <v>12.732990000000001</v>
      </c>
      <c r="BK35" s="517">
        <f t="shared" si="23"/>
        <v>0.89699399999999996</v>
      </c>
      <c r="BL35" s="517">
        <f t="shared" si="23"/>
        <v>1.3676740000000003</v>
      </c>
      <c r="BM35" s="495"/>
      <c r="BN35" s="518"/>
    </row>
    <row r="36" spans="1:66" ht="13.5" customHeight="1" x14ac:dyDescent="0.25">
      <c r="A36" s="2"/>
      <c r="B36" s="2"/>
      <c r="C36" s="37"/>
      <c r="D36" s="494" t="s">
        <v>477</v>
      </c>
      <c r="E36" s="375"/>
      <c r="F36" s="375"/>
      <c r="G36" s="497">
        <f t="shared" ref="G36:H36" si="24">MEDIAN(G29:G32)</f>
        <v>0.18263299999999999</v>
      </c>
      <c r="H36" s="517">
        <f t="shared" si="24"/>
        <v>0.94726500000000002</v>
      </c>
      <c r="I36" s="497">
        <f>MEDIAN(I29:I32)</f>
        <v>1.345E-2</v>
      </c>
      <c r="J36" s="497">
        <f t="shared" ref="J36:T36" si="25">MEDIAN(J29:J32)</f>
        <v>0.28066527866342134</v>
      </c>
      <c r="K36" s="497">
        <f t="shared" si="25"/>
        <v>0.35043750000000001</v>
      </c>
      <c r="L36" s="497">
        <f t="shared" si="25"/>
        <v>9.8589999999999997E-2</v>
      </c>
      <c r="M36" s="499">
        <f t="shared" si="25"/>
        <v>0.2038035</v>
      </c>
      <c r="N36" s="499">
        <f t="shared" si="25"/>
        <v>0.94479999999999997</v>
      </c>
      <c r="O36" s="499">
        <f t="shared" si="25"/>
        <v>0.34403399999999995</v>
      </c>
      <c r="P36" s="499">
        <f t="shared" si="25"/>
        <v>14.227145</v>
      </c>
      <c r="Q36" s="499">
        <f t="shared" si="25"/>
        <v>13.888505</v>
      </c>
      <c r="R36" s="499">
        <f t="shared" si="25"/>
        <v>13.435594999999999</v>
      </c>
      <c r="S36" s="517">
        <f t="shared" si="25"/>
        <v>0.34063500000000002</v>
      </c>
      <c r="T36" s="517">
        <f t="shared" si="25"/>
        <v>0.51748499999999997</v>
      </c>
      <c r="U36" s="495"/>
      <c r="V36" s="518"/>
      <c r="W36" s="9"/>
      <c r="X36" s="2"/>
      <c r="Y36" s="37"/>
      <c r="Z36" s="494" t="str">
        <f>Z19</f>
        <v>Median</v>
      </c>
      <c r="AA36" s="375"/>
      <c r="AB36" s="375"/>
      <c r="AC36" s="501">
        <f t="shared" ref="AC36:AP36" si="26">MEDIAN(AC27:AC32)</f>
        <v>0.14074</v>
      </c>
      <c r="AD36" s="517">
        <f t="shared" si="26"/>
        <v>1.0573999999999999</v>
      </c>
      <c r="AE36" s="501">
        <f t="shared" si="26"/>
        <v>2.2029999999999998E-2</v>
      </c>
      <c r="AF36" s="501">
        <f t="shared" si="26"/>
        <v>0.21877749021799892</v>
      </c>
      <c r="AG36" s="501">
        <f t="shared" si="26"/>
        <v>0.39946500000000001</v>
      </c>
      <c r="AH36" s="501">
        <f t="shared" si="26"/>
        <v>6.9584000000000007E-2</v>
      </c>
      <c r="AI36" s="499">
        <f t="shared" si="26"/>
        <v>68.750600000000006</v>
      </c>
      <c r="AJ36" s="499">
        <f t="shared" si="26"/>
        <v>1.7431299999999998</v>
      </c>
      <c r="AK36" s="499">
        <f t="shared" si="26"/>
        <v>159.45095000000001</v>
      </c>
      <c r="AL36" s="499">
        <f t="shared" si="26"/>
        <v>13.071339999999999</v>
      </c>
      <c r="AM36" s="499">
        <f t="shared" si="26"/>
        <v>10.496145</v>
      </c>
      <c r="AN36" s="499">
        <f t="shared" si="26"/>
        <v>10.13138</v>
      </c>
      <c r="AO36" s="517">
        <f t="shared" si="26"/>
        <v>0.78071000000000002</v>
      </c>
      <c r="AP36" s="517">
        <f t="shared" si="26"/>
        <v>1.21</v>
      </c>
      <c r="AQ36" s="495"/>
      <c r="AR36" s="518"/>
      <c r="AS36" s="2"/>
      <c r="AT36" s="2"/>
      <c r="AU36" s="37"/>
      <c r="AV36" s="494" t="str">
        <f>AV19</f>
        <v>Median</v>
      </c>
      <c r="AW36" s="375"/>
      <c r="AX36" s="375"/>
      <c r="AY36" s="501">
        <f t="shared" ref="AY36:BL36" si="27">MEDIAN(AY27:AY32)</f>
        <v>0.19653999999999999</v>
      </c>
      <c r="AZ36" s="517">
        <f t="shared" si="27"/>
        <v>1.0765100000000001</v>
      </c>
      <c r="BA36" s="501">
        <f t="shared" si="27"/>
        <v>1.5541000000000001E-2</v>
      </c>
      <c r="BB36" s="501">
        <f t="shared" si="27"/>
        <v>0.22662902487906014</v>
      </c>
      <c r="BC36" s="501">
        <f t="shared" si="27"/>
        <v>0.27636500000000003</v>
      </c>
      <c r="BD36" s="501">
        <f t="shared" si="27"/>
        <v>7.0619000000000001E-2</v>
      </c>
      <c r="BE36" s="499">
        <f t="shared" si="27"/>
        <v>60.462899999999998</v>
      </c>
      <c r="BF36" s="499">
        <f t="shared" si="27"/>
        <v>2.9363700000000001</v>
      </c>
      <c r="BG36" s="499">
        <f t="shared" si="27"/>
        <v>152.92699999999999</v>
      </c>
      <c r="BH36" s="499">
        <f t="shared" si="27"/>
        <v>15.353210000000001</v>
      </c>
      <c r="BI36" s="499">
        <f t="shared" si="27"/>
        <v>13.29931</v>
      </c>
      <c r="BJ36" s="499">
        <f t="shared" si="27"/>
        <v>12.929725000000001</v>
      </c>
      <c r="BK36" s="517">
        <f t="shared" si="27"/>
        <v>1.15815</v>
      </c>
      <c r="BL36" s="517">
        <f t="shared" si="27"/>
        <v>1.4676800000000001</v>
      </c>
      <c r="BM36" s="495"/>
      <c r="BN36" s="518"/>
    </row>
    <row r="37" spans="1:66" ht="13.5" customHeight="1" x14ac:dyDescent="0.25">
      <c r="A37" s="2"/>
      <c r="B37" s="2"/>
      <c r="C37" s="37" t="s">
        <v>0</v>
      </c>
      <c r="D37" s="502" t="s">
        <v>163</v>
      </c>
      <c r="E37" s="503"/>
      <c r="F37" s="503"/>
      <c r="G37" s="505">
        <f t="shared" ref="G37:H37" si="28">MIN(G29:G32)</f>
        <v>8.4611999999999993E-2</v>
      </c>
      <c r="H37" s="519">
        <f t="shared" si="28"/>
        <v>0.79054000000000002</v>
      </c>
      <c r="I37" s="505">
        <f>MIN(I29:I32)</f>
        <v>7.0000000000000001E-3</v>
      </c>
      <c r="J37" s="505">
        <f t="shared" ref="J37:T37" si="29">MIN(J29:J32)</f>
        <v>2.9997588022058892E-2</v>
      </c>
      <c r="K37" s="505">
        <f t="shared" si="29"/>
        <v>2.3944E-2</v>
      </c>
      <c r="L37" s="505">
        <f t="shared" si="29"/>
        <v>3.6020000000000002E-3</v>
      </c>
      <c r="M37" s="507">
        <f t="shared" si="29"/>
        <v>0</v>
      </c>
      <c r="N37" s="507">
        <f t="shared" si="29"/>
        <v>0.92420999999999998</v>
      </c>
      <c r="O37" s="507">
        <f t="shared" si="29"/>
        <v>0</v>
      </c>
      <c r="P37" s="507">
        <f t="shared" si="29"/>
        <v>0</v>
      </c>
      <c r="Q37" s="507">
        <f t="shared" si="29"/>
        <v>0</v>
      </c>
      <c r="R37" s="507">
        <f t="shared" si="29"/>
        <v>0</v>
      </c>
      <c r="S37" s="519">
        <f t="shared" si="29"/>
        <v>0</v>
      </c>
      <c r="T37" s="519">
        <f t="shared" si="29"/>
        <v>0</v>
      </c>
      <c r="U37" s="520"/>
      <c r="V37" s="521"/>
      <c r="W37" s="9"/>
      <c r="X37" s="2"/>
      <c r="Y37" s="37" t="s">
        <v>0</v>
      </c>
      <c r="Z37" s="502" t="str">
        <f>Z20</f>
        <v>Low</v>
      </c>
      <c r="AA37" s="503"/>
      <c r="AB37" s="503"/>
      <c r="AC37" s="509">
        <f t="shared" ref="AC37:AP37" si="30">MIN(AC27:AC32)</f>
        <v>0.14074</v>
      </c>
      <c r="AD37" s="519">
        <f t="shared" si="30"/>
        <v>0.97955999999999999</v>
      </c>
      <c r="AE37" s="509">
        <f t="shared" si="30"/>
        <v>0</v>
      </c>
      <c r="AF37" s="509">
        <f t="shared" si="30"/>
        <v>0.21877749021799892</v>
      </c>
      <c r="AG37" s="509">
        <f t="shared" si="30"/>
        <v>3.2482000000000004E-2</v>
      </c>
      <c r="AH37" s="509">
        <f t="shared" si="30"/>
        <v>-1.6131E-2</v>
      </c>
      <c r="AI37" s="507">
        <f t="shared" si="30"/>
        <v>31.401499999999999</v>
      </c>
      <c r="AJ37" s="507">
        <f t="shared" si="30"/>
        <v>1.2992999999999999</v>
      </c>
      <c r="AK37" s="507">
        <f t="shared" si="30"/>
        <v>45.775799999999997</v>
      </c>
      <c r="AL37" s="507">
        <f t="shared" si="30"/>
        <v>5.0696000000000003</v>
      </c>
      <c r="AM37" s="507">
        <f t="shared" si="30"/>
        <v>3.79474</v>
      </c>
      <c r="AN37" s="507">
        <f t="shared" si="30"/>
        <v>1.76491</v>
      </c>
      <c r="AO37" s="519">
        <f t="shared" si="30"/>
        <v>0.27742</v>
      </c>
      <c r="AP37" s="519">
        <f t="shared" si="30"/>
        <v>1.0979300000000001</v>
      </c>
      <c r="AQ37" s="520"/>
      <c r="AR37" s="521"/>
      <c r="AS37" s="2"/>
      <c r="AT37" s="2"/>
      <c r="AU37" s="37" t="s">
        <v>0</v>
      </c>
      <c r="AV37" s="502" t="str">
        <f>AV20</f>
        <v>Low</v>
      </c>
      <c r="AW37" s="503"/>
      <c r="AX37" s="503"/>
      <c r="AY37" s="509">
        <f t="shared" ref="AY37:BL37" si="31">MIN(AY27:AY32)</f>
        <v>0.19078499999999998</v>
      </c>
      <c r="AZ37" s="519">
        <f t="shared" si="31"/>
        <v>0.95801999999999998</v>
      </c>
      <c r="BA37" s="509">
        <f t="shared" si="31"/>
        <v>3.0159999999999996E-3</v>
      </c>
      <c r="BB37" s="509">
        <f t="shared" si="31"/>
        <v>6.2702786118550582E-2</v>
      </c>
      <c r="BC37" s="509">
        <f t="shared" si="31"/>
        <v>2.2750000000000001E-3</v>
      </c>
      <c r="BD37" s="509">
        <f t="shared" si="31"/>
        <v>2.2489999999999997E-3</v>
      </c>
      <c r="BE37" s="507">
        <f t="shared" si="31"/>
        <v>48.453000000000003</v>
      </c>
      <c r="BF37" s="507">
        <f t="shared" si="31"/>
        <v>1.9578</v>
      </c>
      <c r="BG37" s="507">
        <f t="shared" si="31"/>
        <v>93.997900000000001</v>
      </c>
      <c r="BH37" s="507">
        <f t="shared" si="31"/>
        <v>5.1042800000000002</v>
      </c>
      <c r="BI37" s="507">
        <f t="shared" si="31"/>
        <v>2.6646700000000001</v>
      </c>
      <c r="BJ37" s="507">
        <f t="shared" si="31"/>
        <v>6.5376899999999996</v>
      </c>
      <c r="BK37" s="519">
        <f t="shared" si="31"/>
        <v>0.27742</v>
      </c>
      <c r="BL37" s="519">
        <f t="shared" si="31"/>
        <v>0.71686000000000005</v>
      </c>
      <c r="BM37" s="520"/>
      <c r="BN37" s="521"/>
    </row>
    <row r="38" spans="1:66" ht="13.5" customHeight="1" x14ac:dyDescent="0.25">
      <c r="A38" s="2"/>
      <c r="B38" s="2"/>
      <c r="C38" s="37"/>
      <c r="D38" s="9"/>
      <c r="E38" s="9"/>
      <c r="F38" s="9"/>
      <c r="G38" s="9"/>
      <c r="H38" s="9"/>
      <c r="I38" s="9"/>
      <c r="J38" s="9"/>
      <c r="K38" s="9"/>
      <c r="L38" s="9"/>
      <c r="M38" s="9"/>
      <c r="N38" s="9"/>
      <c r="O38" s="9"/>
      <c r="P38" s="9"/>
      <c r="Q38" s="9"/>
      <c r="R38" s="9"/>
      <c r="S38" s="9"/>
      <c r="T38" s="9"/>
      <c r="U38" s="9"/>
      <c r="V38" s="9"/>
      <c r="W38" s="9"/>
      <c r="X38" s="2"/>
      <c r="Y38" s="37"/>
      <c r="Z38" s="9"/>
      <c r="AA38" s="9"/>
      <c r="AB38" s="9"/>
      <c r="AC38" s="9"/>
      <c r="AD38" s="9"/>
      <c r="AE38" s="9"/>
      <c r="AF38" s="9"/>
      <c r="AG38" s="9"/>
      <c r="AH38" s="9"/>
      <c r="AI38" s="9"/>
      <c r="AJ38" s="9"/>
      <c r="AK38" s="9"/>
      <c r="AL38" s="9"/>
      <c r="AM38" s="9"/>
      <c r="AN38" s="9"/>
      <c r="AO38" s="9"/>
      <c r="AP38" s="9"/>
      <c r="AQ38" s="9"/>
      <c r="AR38" s="9"/>
      <c r="AS38" s="2"/>
      <c r="AT38" s="2"/>
      <c r="AU38" s="37"/>
      <c r="AV38" s="9"/>
      <c r="AW38" s="9"/>
      <c r="AX38" s="9"/>
      <c r="AY38" s="9"/>
      <c r="AZ38" s="9"/>
      <c r="BA38" s="9"/>
      <c r="BB38" s="9"/>
      <c r="BC38" s="9"/>
      <c r="BD38" s="9"/>
      <c r="BE38" s="9"/>
      <c r="BF38" s="9"/>
      <c r="BG38" s="9"/>
      <c r="BH38" s="9"/>
      <c r="BI38" s="9"/>
      <c r="BJ38" s="9"/>
      <c r="BK38" s="9"/>
      <c r="BL38" s="9"/>
      <c r="BM38" s="9"/>
      <c r="BN38" s="9"/>
    </row>
    <row r="39" spans="1:66" ht="13.5" customHeight="1" x14ac:dyDescent="0.25">
      <c r="A39" s="2"/>
      <c r="B39" s="2"/>
      <c r="C39" s="37"/>
      <c r="D39" s="9"/>
      <c r="E39" s="9"/>
      <c r="F39" s="9"/>
      <c r="G39" s="9"/>
      <c r="H39" s="9"/>
      <c r="I39" s="9"/>
      <c r="J39" s="9"/>
      <c r="K39" s="9"/>
      <c r="L39" s="9"/>
      <c r="M39" s="9"/>
      <c r="N39" s="9"/>
      <c r="O39" s="9"/>
      <c r="P39" s="9"/>
      <c r="Q39" s="9"/>
      <c r="R39" s="9"/>
      <c r="S39" s="9"/>
      <c r="T39" s="9"/>
      <c r="U39" s="9"/>
      <c r="V39" s="9"/>
      <c r="W39" s="9"/>
      <c r="X39" s="2"/>
      <c r="Y39" s="37"/>
      <c r="Z39" s="9"/>
      <c r="AA39" s="9"/>
      <c r="AB39" s="9"/>
      <c r="AC39" s="9"/>
      <c r="AD39" s="9"/>
      <c r="AE39" s="9"/>
      <c r="AF39" s="9"/>
      <c r="AG39" s="9"/>
      <c r="AH39" s="9"/>
      <c r="AI39" s="9"/>
      <c r="AJ39" s="9"/>
      <c r="AK39" s="9"/>
      <c r="AL39" s="9"/>
      <c r="AM39" s="9"/>
      <c r="AN39" s="9"/>
      <c r="AO39" s="9"/>
      <c r="AP39" s="9"/>
      <c r="AQ39" s="9"/>
      <c r="AR39" s="9"/>
      <c r="AS39" s="2"/>
      <c r="AT39" s="2"/>
      <c r="AU39" s="37"/>
      <c r="AV39" s="9"/>
      <c r="AW39" s="9"/>
      <c r="AX39" s="9"/>
      <c r="AY39" s="9"/>
      <c r="AZ39" s="9"/>
      <c r="BA39" s="9"/>
      <c r="BB39" s="9"/>
      <c r="BC39" s="9"/>
      <c r="BD39" s="9"/>
      <c r="BE39" s="9"/>
      <c r="BF39" s="9"/>
      <c r="BG39" s="9"/>
      <c r="BH39" s="9"/>
      <c r="BI39" s="9"/>
      <c r="BJ39" s="9"/>
      <c r="BK39" s="9"/>
      <c r="BL39" s="9"/>
      <c r="BM39" s="9"/>
      <c r="BN39" s="9"/>
    </row>
    <row r="40" spans="1:66" ht="13.5" customHeight="1" thickBot="1" x14ac:dyDescent="0.3">
      <c r="A40" s="2"/>
      <c r="B40" s="2"/>
      <c r="C40" s="37"/>
      <c r="D40" s="522"/>
      <c r="E40" s="522"/>
      <c r="F40" s="522"/>
      <c r="G40" s="523"/>
      <c r="H40" s="524"/>
      <c r="I40" s="523"/>
      <c r="J40" s="523"/>
      <c r="K40" s="523"/>
      <c r="L40" s="523"/>
      <c r="M40" s="523"/>
      <c r="N40" s="525"/>
      <c r="O40" s="523"/>
      <c r="P40" s="525"/>
      <c r="Q40" s="526"/>
      <c r="R40" s="525"/>
      <c r="S40" s="522"/>
      <c r="T40" s="523"/>
      <c r="U40" s="524"/>
      <c r="V40" s="524"/>
      <c r="W40" s="522"/>
      <c r="X40" s="2"/>
      <c r="Y40" s="37"/>
      <c r="Z40" s="522"/>
      <c r="AA40" s="522"/>
      <c r="AB40" s="522"/>
      <c r="AC40" s="523"/>
      <c r="AD40" s="524"/>
      <c r="AE40" s="523"/>
      <c r="AF40" s="523"/>
      <c r="AG40" s="523"/>
      <c r="AH40" s="523"/>
      <c r="AI40" s="523"/>
      <c r="AJ40" s="525"/>
      <c r="AK40" s="523"/>
      <c r="AL40" s="525"/>
      <c r="AM40" s="526"/>
      <c r="AN40" s="525"/>
      <c r="AO40" s="522"/>
      <c r="AP40" s="523"/>
      <c r="AQ40" s="524"/>
      <c r="AR40" s="524"/>
      <c r="AS40" s="2"/>
      <c r="AT40" s="2"/>
      <c r="AU40" s="37"/>
      <c r="AV40" s="522"/>
      <c r="AW40" s="522"/>
      <c r="AX40" s="522"/>
      <c r="AY40" s="523"/>
      <c r="AZ40" s="524"/>
      <c r="BA40" s="523"/>
      <c r="BB40" s="523"/>
      <c r="BC40" s="523"/>
      <c r="BD40" s="523"/>
      <c r="BE40" s="523"/>
      <c r="BF40" s="525"/>
      <c r="BG40" s="523"/>
      <c r="BH40" s="525"/>
      <c r="BI40" s="526"/>
      <c r="BJ40" s="525"/>
      <c r="BK40" s="522"/>
      <c r="BL40" s="523"/>
      <c r="BM40" s="524"/>
      <c r="BN40" s="524"/>
    </row>
    <row r="41" spans="1:66" ht="13.5" hidden="1" customHeight="1" outlineLevel="1" x14ac:dyDescent="0.25">
      <c r="A41" s="2"/>
      <c r="B41" s="2"/>
      <c r="C41" s="37" t="s">
        <v>509</v>
      </c>
      <c r="D41" s="9"/>
      <c r="E41" s="9"/>
      <c r="F41" s="9"/>
      <c r="G41" s="527"/>
      <c r="H41" s="64"/>
      <c r="I41" s="527"/>
      <c r="J41" s="527"/>
      <c r="K41" s="527"/>
      <c r="L41" s="527"/>
      <c r="M41" s="527"/>
      <c r="N41" s="483"/>
      <c r="O41" s="527"/>
      <c r="P41" s="483"/>
      <c r="Q41" s="480"/>
      <c r="R41" s="483"/>
      <c r="S41" s="9"/>
      <c r="T41" s="527"/>
      <c r="U41" s="64"/>
      <c r="V41" s="64"/>
      <c r="W41" s="9"/>
      <c r="X41" s="2"/>
      <c r="Y41" s="37" t="s">
        <v>509</v>
      </c>
      <c r="Z41" s="9"/>
      <c r="AA41" s="9"/>
      <c r="AB41" s="9"/>
      <c r="AC41" s="527"/>
      <c r="AD41" s="64"/>
      <c r="AE41" s="527"/>
      <c r="AF41" s="527"/>
      <c r="AG41" s="527"/>
      <c r="AH41" s="527"/>
      <c r="AI41" s="527"/>
      <c r="AJ41" s="483"/>
      <c r="AK41" s="527"/>
      <c r="AL41" s="483"/>
      <c r="AM41" s="480"/>
      <c r="AN41" s="483"/>
      <c r="AO41" s="9"/>
      <c r="AP41" s="527"/>
      <c r="AQ41" s="64"/>
      <c r="AR41" s="64"/>
      <c r="AS41" s="2"/>
      <c r="AT41" s="2"/>
      <c r="AU41" s="37" t="s">
        <v>509</v>
      </c>
      <c r="AV41" s="9"/>
      <c r="AW41" s="9"/>
      <c r="AX41" s="9"/>
      <c r="AY41" s="527"/>
      <c r="AZ41" s="64"/>
      <c r="BA41" s="527"/>
      <c r="BB41" s="527"/>
      <c r="BC41" s="527"/>
      <c r="BD41" s="527"/>
      <c r="BE41" s="527"/>
      <c r="BF41" s="483"/>
      <c r="BG41" s="527"/>
      <c r="BH41" s="483"/>
      <c r="BI41" s="480"/>
      <c r="BJ41" s="483"/>
      <c r="BK41" s="9"/>
      <c r="BL41" s="527"/>
      <c r="BM41" s="64"/>
      <c r="BN41" s="64"/>
    </row>
    <row r="42" spans="1:66" ht="13.5" hidden="1" customHeight="1" outlineLevel="1" x14ac:dyDescent="0.25">
      <c r="A42" s="2"/>
      <c r="B42" s="37"/>
      <c r="C42" s="37"/>
      <c r="D42" s="528" t="s">
        <v>510</v>
      </c>
      <c r="E42" s="529"/>
      <c r="F42" s="9"/>
      <c r="G42" s="527"/>
      <c r="H42" s="64"/>
      <c r="I42" s="527"/>
      <c r="J42" s="527"/>
      <c r="K42" s="527"/>
      <c r="M42" s="527"/>
      <c r="N42" s="483"/>
      <c r="O42" s="527"/>
      <c r="P42" s="483"/>
      <c r="Q42" s="480"/>
      <c r="R42" s="483"/>
      <c r="S42" s="9"/>
      <c r="T42" s="527"/>
      <c r="U42" s="64"/>
      <c r="V42" s="64"/>
      <c r="W42" s="9"/>
      <c r="X42" s="2"/>
      <c r="Y42" s="37"/>
      <c r="AB42" s="9"/>
      <c r="AC42" s="527"/>
      <c r="AD42" s="64"/>
      <c r="AE42" s="527"/>
      <c r="AF42" s="527"/>
      <c r="AG42" s="527"/>
      <c r="AH42" s="527"/>
      <c r="AI42" s="527"/>
      <c r="AJ42" s="483"/>
      <c r="AK42" s="527"/>
      <c r="AL42" s="483"/>
      <c r="AM42" s="480"/>
      <c r="AN42" s="483"/>
      <c r="AO42" s="9"/>
      <c r="AP42" s="527"/>
      <c r="AQ42" s="64"/>
      <c r="AR42" s="64"/>
      <c r="AS42" s="2"/>
      <c r="AT42" s="2"/>
      <c r="AU42" s="37"/>
      <c r="AX42" s="9"/>
      <c r="AY42" s="527"/>
      <c r="AZ42" s="64"/>
      <c r="BA42" s="527"/>
      <c r="BB42" s="527"/>
      <c r="BC42" s="527"/>
      <c r="BD42" s="527"/>
      <c r="BE42" s="527"/>
      <c r="BF42" s="483"/>
      <c r="BG42" s="527"/>
      <c r="BH42" s="483"/>
      <c r="BI42" s="480"/>
      <c r="BJ42" s="483"/>
      <c r="BK42" s="9"/>
      <c r="BL42" s="527"/>
      <c r="BM42" s="64"/>
      <c r="BN42" s="64"/>
    </row>
    <row r="43" spans="1:66" ht="13.5" hidden="1" customHeight="1" outlineLevel="1" x14ac:dyDescent="0.25">
      <c r="A43" s="2"/>
      <c r="D43" s="530"/>
      <c r="E43" s="530"/>
      <c r="F43" s="37"/>
      <c r="G43" s="143"/>
      <c r="H43" s="143"/>
      <c r="I43" s="143"/>
      <c r="J43" s="143"/>
      <c r="K43" s="143"/>
      <c r="M43" s="143"/>
      <c r="N43" s="143"/>
      <c r="O43" s="143"/>
      <c r="P43" s="143"/>
      <c r="Q43" s="143"/>
      <c r="R43" s="143"/>
      <c r="S43" s="37"/>
      <c r="T43" s="143"/>
      <c r="U43" s="143"/>
      <c r="V43" s="143"/>
      <c r="W43" s="9"/>
      <c r="X43" s="2"/>
      <c r="Y43" s="37"/>
      <c r="Z43" s="530"/>
      <c r="AA43" s="530"/>
      <c r="AB43" s="37"/>
      <c r="AC43" s="143"/>
      <c r="AD43" s="143"/>
      <c r="AE43" s="143"/>
      <c r="AF43" s="143"/>
      <c r="AG43" s="143"/>
      <c r="AH43" s="143"/>
      <c r="AI43" s="143"/>
      <c r="AJ43" s="143"/>
      <c r="AK43" s="143"/>
      <c r="AL43" s="143"/>
      <c r="AM43" s="143"/>
      <c r="AN43" s="143"/>
      <c r="AO43" s="37"/>
      <c r="AP43" s="143"/>
      <c r="AQ43" s="143"/>
      <c r="AR43" s="143"/>
      <c r="AS43" s="2"/>
      <c r="AT43" s="2"/>
      <c r="AU43" s="37"/>
      <c r="AV43" s="530"/>
      <c r="AW43" s="530"/>
      <c r="AX43" s="37"/>
      <c r="AY43" s="143"/>
      <c r="AZ43" s="143"/>
      <c r="BA43" s="143"/>
      <c r="BB43" s="143"/>
      <c r="BC43" s="143"/>
      <c r="BD43" s="143"/>
      <c r="BE43" s="143"/>
      <c r="BF43" s="143"/>
      <c r="BG43" s="143"/>
      <c r="BH43" s="143"/>
      <c r="BI43" s="143"/>
      <c r="BJ43" s="143"/>
      <c r="BK43" s="37"/>
      <c r="BL43" s="143"/>
      <c r="BM43" s="143"/>
      <c r="BN43" s="143"/>
    </row>
    <row r="44" spans="1:66" ht="13.5" hidden="1" customHeight="1" outlineLevel="1" x14ac:dyDescent="0.25">
      <c r="A44" s="2"/>
      <c r="D44" s="987" t="str">
        <f>D4</f>
        <v>Primary Peer Group</v>
      </c>
      <c r="E44" s="944"/>
      <c r="F44" s="944"/>
      <c r="G44" s="944"/>
      <c r="H44" s="944"/>
      <c r="I44" s="944"/>
      <c r="J44" s="944"/>
      <c r="K44" s="944"/>
      <c r="L44" s="944"/>
      <c r="M44" s="944"/>
      <c r="N44" s="944"/>
      <c r="O44" s="944"/>
      <c r="P44" s="944"/>
      <c r="Q44" s="944"/>
      <c r="R44" s="944"/>
      <c r="S44" s="944"/>
      <c r="T44" s="944"/>
      <c r="U44" s="944"/>
      <c r="V44" s="944"/>
      <c r="W44" s="9"/>
      <c r="X44" s="2"/>
      <c r="Y44" s="37"/>
      <c r="Z44" s="987" t="str">
        <f>Z4</f>
        <v>Defense Peer Group</v>
      </c>
      <c r="AA44" s="944"/>
      <c r="AB44" s="944"/>
      <c r="AC44" s="944"/>
      <c r="AD44" s="944"/>
      <c r="AE44" s="944"/>
      <c r="AF44" s="944"/>
      <c r="AG44" s="944"/>
      <c r="AH44" s="944"/>
      <c r="AI44" s="944"/>
      <c r="AJ44" s="944"/>
      <c r="AK44" s="944"/>
      <c r="AL44" s="944"/>
      <c r="AM44" s="944"/>
      <c r="AN44" s="944"/>
      <c r="AO44" s="944"/>
      <c r="AP44" s="944"/>
      <c r="AQ44" s="944"/>
      <c r="AR44" s="944"/>
      <c r="AS44" s="2"/>
      <c r="AT44" s="2"/>
      <c r="AU44" s="37"/>
      <c r="AV44" s="987" t="str">
        <f>AV4</f>
        <v>Cap. Goods Peer Group</v>
      </c>
      <c r="AW44" s="944"/>
      <c r="AX44" s="944"/>
      <c r="AY44" s="944"/>
      <c r="AZ44" s="944"/>
      <c r="BA44" s="944"/>
      <c r="BB44" s="944"/>
      <c r="BC44" s="944"/>
      <c r="BD44" s="944"/>
      <c r="BE44" s="944"/>
      <c r="BF44" s="944"/>
      <c r="BG44" s="944"/>
      <c r="BH44" s="944"/>
      <c r="BI44" s="944"/>
      <c r="BJ44" s="944"/>
      <c r="BK44" s="944"/>
      <c r="BL44" s="944"/>
      <c r="BM44" s="944"/>
      <c r="BN44" s="944"/>
    </row>
    <row r="45" spans="1:66" ht="13.5" hidden="1" customHeight="1" outlineLevel="1" x14ac:dyDescent="0.25">
      <c r="A45" s="2"/>
      <c r="D45" s="64"/>
      <c r="E45" s="64"/>
      <c r="F45" s="9"/>
      <c r="G45" s="9"/>
      <c r="H45" s="9"/>
      <c r="I45" s="9"/>
      <c r="J45" s="9"/>
      <c r="K45" s="9"/>
      <c r="L45" s="9"/>
      <c r="M45" s="9"/>
      <c r="N45" s="9"/>
      <c r="O45" s="9"/>
      <c r="P45" s="9"/>
      <c r="Q45" s="987" t="str">
        <f>Q6</f>
        <v xml:space="preserve">Enterprise Value / </v>
      </c>
      <c r="R45" s="944"/>
      <c r="S45" s="944"/>
      <c r="T45" s="143">
        <f>T6</f>
        <v>0</v>
      </c>
      <c r="U45" s="9"/>
      <c r="V45" s="9"/>
      <c r="W45" s="9"/>
      <c r="X45" s="2"/>
      <c r="Y45" s="37"/>
      <c r="Z45" s="64"/>
      <c r="AA45" s="64"/>
      <c r="AB45" s="9"/>
      <c r="AC45" s="9"/>
      <c r="AD45" s="9"/>
      <c r="AE45" s="9"/>
      <c r="AF45" s="9"/>
      <c r="AG45" s="9"/>
      <c r="AH45" s="9"/>
      <c r="AI45" s="9"/>
      <c r="AJ45" s="9"/>
      <c r="AK45" s="9"/>
      <c r="AL45" s="9"/>
      <c r="AM45" s="987" t="str">
        <f>AM6</f>
        <v xml:space="preserve">Enterprise Value / </v>
      </c>
      <c r="AN45" s="944"/>
      <c r="AO45" s="944"/>
      <c r="AP45" s="143">
        <f>AP6</f>
        <v>0</v>
      </c>
      <c r="AQ45" s="9"/>
      <c r="AR45" s="9"/>
      <c r="AS45" s="2"/>
      <c r="AT45" s="2"/>
      <c r="AU45" s="37"/>
      <c r="AV45" s="64"/>
      <c r="AW45" s="64"/>
      <c r="AX45" s="9"/>
      <c r="AY45" s="9"/>
      <c r="AZ45" s="9"/>
      <c r="BA45" s="9"/>
      <c r="BB45" s="9"/>
      <c r="BC45" s="9"/>
      <c r="BD45" s="9"/>
      <c r="BE45" s="9"/>
      <c r="BF45" s="9"/>
      <c r="BG45" s="9"/>
      <c r="BH45" s="9"/>
      <c r="BI45" s="987" t="str">
        <f>BI6</f>
        <v xml:space="preserve">Enterprise Value / </v>
      </c>
      <c r="BJ45" s="944"/>
      <c r="BK45" s="944"/>
      <c r="BL45" s="143">
        <f>BL6</f>
        <v>0</v>
      </c>
      <c r="BM45" s="9"/>
      <c r="BN45" s="9"/>
    </row>
    <row r="46" spans="1:66" ht="13.5" hidden="1" customHeight="1" outlineLevel="1" x14ac:dyDescent="0.25">
      <c r="A46" s="2"/>
      <c r="D46" s="64"/>
      <c r="E46" s="64"/>
      <c r="F46" s="64"/>
      <c r="G46" s="64" t="str">
        <f t="shared" ref="G46:I47" si="32">G7</f>
        <v xml:space="preserve">Market </v>
      </c>
      <c r="H46" s="64" t="str">
        <f t="shared" si="32"/>
        <v>Enterprise</v>
      </c>
      <c r="I46" s="987" t="str">
        <f t="shared" si="32"/>
        <v>Sales</v>
      </c>
      <c r="J46" s="944"/>
      <c r="K46" s="987" t="str">
        <f>K7</f>
        <v>EPS</v>
      </c>
      <c r="L46" s="944"/>
      <c r="M46" s="987" t="str">
        <f>M7</f>
        <v>EBITDA Margin</v>
      </c>
      <c r="N46" s="944"/>
      <c r="O46" s="987" t="str">
        <f>O7</f>
        <v>Profit Margin</v>
      </c>
      <c r="P46" s="944"/>
      <c r="Q46" s="987" t="str">
        <f>Q7</f>
        <v>EBITDA</v>
      </c>
      <c r="R46" s="944"/>
      <c r="S46" s="987" t="str">
        <f>S7</f>
        <v>Sales</v>
      </c>
      <c r="T46" s="944"/>
      <c r="U46" s="987" t="str">
        <f>U7</f>
        <v>Price / Earnings</v>
      </c>
      <c r="V46" s="944"/>
      <c r="W46" s="9"/>
      <c r="X46" s="2"/>
      <c r="Y46" s="37"/>
      <c r="Z46" s="64"/>
      <c r="AA46" s="64"/>
      <c r="AB46" s="64"/>
      <c r="AC46" s="64" t="str">
        <f t="shared" ref="AC46:AE47" si="33">AC7</f>
        <v xml:space="preserve">Market </v>
      </c>
      <c r="AD46" s="64" t="str">
        <f t="shared" si="33"/>
        <v>Enterprise</v>
      </c>
      <c r="AE46" s="987" t="str">
        <f t="shared" si="33"/>
        <v>Sales</v>
      </c>
      <c r="AF46" s="944"/>
      <c r="AG46" s="987" t="str">
        <f>AG7</f>
        <v>EPS</v>
      </c>
      <c r="AH46" s="944"/>
      <c r="AI46" s="987" t="str">
        <f>AI7</f>
        <v>EBITDA Margin</v>
      </c>
      <c r="AJ46" s="944"/>
      <c r="AK46" s="987" t="str">
        <f>AK7</f>
        <v>Profit Margin</v>
      </c>
      <c r="AL46" s="944"/>
      <c r="AM46" s="987" t="str">
        <f>AM7</f>
        <v>EBITDA</v>
      </c>
      <c r="AN46" s="944"/>
      <c r="AO46" s="987" t="str">
        <f>AO7</f>
        <v>Sales</v>
      </c>
      <c r="AP46" s="944"/>
      <c r="AQ46" s="987" t="str">
        <f>AQ7</f>
        <v>Price / Earnings</v>
      </c>
      <c r="AR46" s="944"/>
      <c r="AS46" s="2"/>
      <c r="AT46" s="2"/>
      <c r="AU46" s="37"/>
      <c r="AV46" s="64"/>
      <c r="AW46" s="64"/>
      <c r="AX46" s="64"/>
      <c r="AY46" s="64" t="str">
        <f t="shared" ref="AY46:BA47" si="34">AY7</f>
        <v xml:space="preserve">Market </v>
      </c>
      <c r="AZ46" s="64" t="str">
        <f t="shared" si="34"/>
        <v>Enterprise</v>
      </c>
      <c r="BA46" s="987" t="str">
        <f t="shared" si="34"/>
        <v>Sales</v>
      </c>
      <c r="BB46" s="944"/>
      <c r="BC46" s="987" t="str">
        <f>BC7</f>
        <v>EPS</v>
      </c>
      <c r="BD46" s="944"/>
      <c r="BE46" s="987" t="str">
        <f>BE7</f>
        <v>EBITDA Margin</v>
      </c>
      <c r="BF46" s="944"/>
      <c r="BG46" s="987" t="str">
        <f>BG7</f>
        <v>Profit Margin</v>
      </c>
      <c r="BH46" s="944"/>
      <c r="BI46" s="987" t="str">
        <f>BI7</f>
        <v>EBITDA</v>
      </c>
      <c r="BJ46" s="944"/>
      <c r="BK46" s="987" t="str">
        <f>BK7</f>
        <v>Sales</v>
      </c>
      <c r="BL46" s="944"/>
      <c r="BM46" s="987" t="str">
        <f>BM7</f>
        <v>Price / Earnings</v>
      </c>
      <c r="BN46" s="944"/>
    </row>
    <row r="47" spans="1:66" ht="13.5" hidden="1" customHeight="1" outlineLevel="1" x14ac:dyDescent="0.25">
      <c r="A47" s="2"/>
      <c r="B47" s="37"/>
      <c r="C47" s="37"/>
      <c r="D47" s="103"/>
      <c r="E47" s="64"/>
      <c r="F47" s="470" t="str">
        <f>F8</f>
        <v>Ticker</v>
      </c>
      <c r="G47" s="470" t="str">
        <f t="shared" si="32"/>
        <v>Cap</v>
      </c>
      <c r="H47" s="470" t="str">
        <f t="shared" si="32"/>
        <v>Value</v>
      </c>
      <c r="I47" s="470" t="str">
        <f t="shared" si="32"/>
        <v>LTM</v>
      </c>
      <c r="J47" s="471">
        <f>J8</f>
        <v>46387</v>
      </c>
      <c r="K47" s="470" t="str">
        <f>K8</f>
        <v>LTM</v>
      </c>
      <c r="L47" s="471">
        <f>L8</f>
        <v>46387</v>
      </c>
      <c r="M47" s="470" t="str">
        <f>M8</f>
        <v>LTM</v>
      </c>
      <c r="N47" s="471">
        <f>N8</f>
        <v>46387</v>
      </c>
      <c r="O47" s="470" t="str">
        <f>O8</f>
        <v>LTM</v>
      </c>
      <c r="P47" s="471">
        <f>P8</f>
        <v>46387</v>
      </c>
      <c r="Q47" s="470" t="str">
        <f>Q8</f>
        <v>LTM</v>
      </c>
      <c r="R47" s="471">
        <f>R8</f>
        <v>46387</v>
      </c>
      <c r="S47" s="470" t="str">
        <f>S8</f>
        <v>LTM</v>
      </c>
      <c r="T47" s="471">
        <f>T8</f>
        <v>46387</v>
      </c>
      <c r="U47" s="470" t="str">
        <f>U8</f>
        <v>LTM</v>
      </c>
      <c r="V47" s="471">
        <f>V8</f>
        <v>46387</v>
      </c>
      <c r="W47" s="9"/>
      <c r="X47" s="2"/>
      <c r="Y47" s="37"/>
      <c r="Z47" s="103"/>
      <c r="AA47" s="64"/>
      <c r="AB47" s="470" t="str">
        <f>AB8</f>
        <v>Ticker</v>
      </c>
      <c r="AC47" s="470" t="str">
        <f t="shared" si="33"/>
        <v>Cap</v>
      </c>
      <c r="AD47" s="470" t="str">
        <f t="shared" si="33"/>
        <v>Value</v>
      </c>
      <c r="AE47" s="470" t="str">
        <f t="shared" si="33"/>
        <v>LTM</v>
      </c>
      <c r="AF47" s="471">
        <f>AF8</f>
        <v>46387</v>
      </c>
      <c r="AG47" s="470" t="str">
        <f>AG8</f>
        <v>LTM</v>
      </c>
      <c r="AH47" s="471">
        <f>AH8</f>
        <v>46387</v>
      </c>
      <c r="AI47" s="470" t="str">
        <f>AI8</f>
        <v>LTM</v>
      </c>
      <c r="AJ47" s="471">
        <f>AJ8</f>
        <v>46387</v>
      </c>
      <c r="AK47" s="470" t="str">
        <f>AK8</f>
        <v>LTM</v>
      </c>
      <c r="AL47" s="471">
        <f>AL8</f>
        <v>46387</v>
      </c>
      <c r="AM47" s="470" t="str">
        <f>AM8</f>
        <v>LTM</v>
      </c>
      <c r="AN47" s="471">
        <f>AN8</f>
        <v>46387</v>
      </c>
      <c r="AO47" s="470" t="str">
        <f>AO8</f>
        <v>LTM</v>
      </c>
      <c r="AP47" s="471">
        <f>AP8</f>
        <v>46387</v>
      </c>
      <c r="AQ47" s="470" t="str">
        <f>AQ8</f>
        <v>LTM</v>
      </c>
      <c r="AR47" s="471">
        <f>AR8</f>
        <v>46387</v>
      </c>
      <c r="AS47" s="2"/>
      <c r="AT47" s="2"/>
      <c r="AU47" s="37"/>
      <c r="AV47" s="103"/>
      <c r="AW47" s="64"/>
      <c r="AX47" s="470" t="str">
        <f>AX8</f>
        <v>Ticker</v>
      </c>
      <c r="AY47" s="470" t="str">
        <f t="shared" si="34"/>
        <v>Cap</v>
      </c>
      <c r="AZ47" s="470" t="str">
        <f t="shared" si="34"/>
        <v>Value</v>
      </c>
      <c r="BA47" s="470" t="str">
        <f t="shared" si="34"/>
        <v>LTM</v>
      </c>
      <c r="BB47" s="471">
        <f>BB8</f>
        <v>46387</v>
      </c>
      <c r="BC47" s="470" t="str">
        <f>BC8</f>
        <v>LTM</v>
      </c>
      <c r="BD47" s="471">
        <f>BD8</f>
        <v>46387</v>
      </c>
      <c r="BE47" s="470" t="str">
        <f>BE8</f>
        <v>LTM</v>
      </c>
      <c r="BF47" s="471">
        <f>BF8</f>
        <v>46387</v>
      </c>
      <c r="BG47" s="470" t="str">
        <f>BG8</f>
        <v>LTM</v>
      </c>
      <c r="BH47" s="471">
        <f>BH8</f>
        <v>46387</v>
      </c>
      <c r="BI47" s="470" t="str">
        <f>BI8</f>
        <v>LTM</v>
      </c>
      <c r="BJ47" s="471">
        <f>BJ8</f>
        <v>46387</v>
      </c>
      <c r="BK47" s="470" t="str">
        <f>BK8</f>
        <v>LTM</v>
      </c>
      <c r="BL47" s="471">
        <f>BL8</f>
        <v>46387</v>
      </c>
      <c r="BM47" s="470" t="str">
        <f>BM8</f>
        <v>LTM</v>
      </c>
      <c r="BN47" s="471">
        <f>BN8</f>
        <v>46387</v>
      </c>
    </row>
    <row r="48" spans="1:66" ht="4.5" hidden="1" customHeight="1" outlineLevel="1" x14ac:dyDescent="0.25">
      <c r="A48" s="2"/>
      <c r="B48" s="37"/>
      <c r="C48" s="37"/>
      <c r="D48" s="64"/>
      <c r="E48" s="64"/>
      <c r="F48" s="64"/>
      <c r="G48" s="64"/>
      <c r="H48" s="64"/>
      <c r="I48" s="472"/>
      <c r="J48" s="64"/>
      <c r="K48" s="64"/>
      <c r="L48" s="64"/>
      <c r="M48" s="64"/>
      <c r="N48" s="64"/>
      <c r="O48" s="64"/>
      <c r="P48" s="64"/>
      <c r="Q48" s="64"/>
      <c r="R48" s="64"/>
      <c r="S48" s="64"/>
      <c r="T48" s="64"/>
      <c r="U48" s="64"/>
      <c r="V48" s="64"/>
      <c r="W48" s="9"/>
      <c r="X48" s="2"/>
      <c r="Y48" s="37"/>
      <c r="Z48" s="64"/>
      <c r="AA48" s="64"/>
      <c r="AB48" s="64"/>
      <c r="AC48" s="64"/>
      <c r="AD48" s="64"/>
      <c r="AE48" s="472"/>
      <c r="AF48" s="64"/>
      <c r="AG48" s="64"/>
      <c r="AH48" s="64"/>
      <c r="AI48" s="64"/>
      <c r="AJ48" s="64"/>
      <c r="AK48" s="64"/>
      <c r="AL48" s="64"/>
      <c r="AM48" s="64"/>
      <c r="AN48" s="64"/>
      <c r="AO48" s="64"/>
      <c r="AP48" s="64"/>
      <c r="AQ48" s="64"/>
      <c r="AR48" s="64"/>
      <c r="AS48" s="2"/>
      <c r="AT48" s="2"/>
      <c r="AU48" s="37"/>
      <c r="AV48" s="64"/>
      <c r="AW48" s="64"/>
      <c r="AX48" s="64"/>
      <c r="AY48" s="64"/>
      <c r="AZ48" s="64"/>
      <c r="BA48" s="472"/>
      <c r="BB48" s="64"/>
      <c r="BC48" s="64"/>
      <c r="BD48" s="64"/>
      <c r="BE48" s="64"/>
      <c r="BF48" s="64"/>
      <c r="BG48" s="64"/>
      <c r="BH48" s="64"/>
      <c r="BI48" s="64"/>
      <c r="BJ48" s="64"/>
      <c r="BK48" s="64"/>
      <c r="BL48" s="64"/>
      <c r="BM48" s="64"/>
      <c r="BN48" s="64"/>
    </row>
    <row r="49" spans="1:66" ht="13.5" hidden="1" customHeight="1" outlineLevel="1" x14ac:dyDescent="0.25">
      <c r="A49" s="2"/>
      <c r="B49" s="531" t="str">
        <f>B67</f>
        <v>IQ92001</v>
      </c>
      <c r="C49" s="531"/>
      <c r="D49" s="532" t="e">
        <f ca="1">_xll.ciqfunctions.udf.CIQ($B49, "IQ_COMPANY_NAME",Current_Date)</f>
        <v>#NAME?</v>
      </c>
      <c r="E49" s="533"/>
      <c r="F49" s="534" t="str">
        <f>$E$85</f>
        <v>AXP</v>
      </c>
      <c r="G49" s="535" t="e">
        <f ca="1">_xll.ciqfunctions.udf.CIQ($B49, "IQ_MARKETCAP",Current_Date)</f>
        <v>#NAME?</v>
      </c>
      <c r="H49" s="535" t="e">
        <f ca="1">_xll.ciqfunctions.udf.CIQ($B49, "IQ_TEV",Current_Date)</f>
        <v>#NAME?</v>
      </c>
      <c r="I49" s="536" t="e">
        <f ca="1">_xll.ciqfunctions.udf.CIQ($B49, "IQ_TOTAL_REV_1YR_ANN_GROWTH",IQ_LTM,Current_Date)/100</f>
        <v>#NAME?</v>
      </c>
      <c r="J49" s="536" t="e">
        <f ca="1">_xll.ciqfunctions.udf.CIQ($B49,"IQ_REVENUE_EST",IQ_FY+1)/(_xll.ciqfunctions.udf.CIQ($B49,"IQ_TOTAL_REV",IQ_FY))-1</f>
        <v>#NAME?</v>
      </c>
      <c r="K49" s="536" t="e">
        <f ca="1">_xll.ciqfunctions.udf.CIQ($B49, "IQ_EPS_1YR_ANN_GROWTH",IQ_LTM,Current_Date)/100</f>
        <v>#NAME?</v>
      </c>
      <c r="L49" s="536" t="e">
        <f ca="1">_xll.ciqfunctions.udf.CIQ($B49,"IQ_EPS_EST",IQ_FY+1)/(_xll.ciqfunctions.udf.CIQ($B49,"IQ_DILUT_EPS_INCL",IQ_FY))-1</f>
        <v>#NAME?</v>
      </c>
      <c r="M49" s="536" t="e">
        <f ca="1">_xll.ciqfunctions.udf.CIQ($B49, "IQ_EBITDA_MARGIN",IQ_LTM)/100</f>
        <v>#NAME?</v>
      </c>
      <c r="N49" s="536" t="e">
        <f ca="1">_xll.ciqfunctions.udf.CIQ($B49,"IQ_EBITDA_EST",IQ_FY+1)/(_xll.ciqfunctions.udf.CIQ($B49,"IQ_REVENUE_EST",IQ_FY+1))</f>
        <v>#NAME?</v>
      </c>
      <c r="O49" s="536" t="e">
        <f ca="1">_xll.ciqfunctions.udf.CIQ($B49, "IQ_NI_MARGIN",IQ_LTM)/100</f>
        <v>#NAME?</v>
      </c>
      <c r="P49" s="536" t="e">
        <f ca="1">_xll.ciqfunctions.udf.CIQ($B49,"IQ_NI_EST",IQ_FY+1)/(_xll.ciqfunctions.udf.CIQ($B49,"IQ_REVENUE_EST",IQ_FY+1))</f>
        <v>#NAME?</v>
      </c>
      <c r="Q49" s="537" t="e">
        <f ca="1">_xll.ciqfunctions.udf.CIQ($B49, "IQ_TEV_EBITDA",IQ_LTM)</f>
        <v>#NAME?</v>
      </c>
      <c r="R49" s="537" t="e">
        <f ca="1">_xll.ciqfunctions.udf.CIQ($B49, "IQ_TEV",Current_Date)/_xll.ciqfunctions.udf.CIQ($B49, "IQ_EBITDA_EST",IQ_FY+1)</f>
        <v>#NAME?</v>
      </c>
      <c r="S49" s="537" t="e">
        <f ca="1">_xll.ciqfunctions.udf.CIQ($B49, "IQ_TEV_TOTAL_REV",IQ_LTM)</f>
        <v>#NAME?</v>
      </c>
      <c r="T49" s="537" t="e">
        <f ca="1">_xll.ciqfunctions.udf.CIQ($B49, "IQ_TEV",Current_Date)/_xll.ciqfunctions.udf.CIQ($B49, "IQ_REVENUE_EST",IQ_FY+1)</f>
        <v>#NAME?</v>
      </c>
      <c r="U49" s="537" t="e">
        <f ca="1">_xll.ciqfunctions.udf.CIQ($B49, "IQ_PE_EXCL",IQ_LTM)</f>
        <v>#NAME?</v>
      </c>
      <c r="V49" s="537" t="e">
        <f ca="1">_xll.ciqfunctions.udf.CIQ($B49, "IQ_MARKETCAP",Current_Date)/_xll.ciqfunctions.udf.CIQ($B49, "IQ_NI_EST",IQ_FY+1)</f>
        <v>#NAME?</v>
      </c>
      <c r="W49" s="9"/>
      <c r="X49" s="531" t="str">
        <f>X67</f>
        <v>IQ92001</v>
      </c>
      <c r="Y49" s="37"/>
      <c r="Z49" s="532" t="str">
        <f>Company_Name</f>
        <v>American Express Company</v>
      </c>
      <c r="AA49" s="533"/>
      <c r="AB49" s="534" t="str">
        <f>$E$85</f>
        <v>AXP</v>
      </c>
      <c r="AC49" s="535" t="e">
        <f ca="1">_xll.ciqfunctions.udf.CIQ($X49, "IQ_MARKETCAP",Current_Date)</f>
        <v>#NAME?</v>
      </c>
      <c r="AD49" s="535" t="e">
        <f ca="1">_xll.ciqfunctions.udf.CIQ($X49, "IQ_TEV",Current_Date)</f>
        <v>#NAME?</v>
      </c>
      <c r="AE49" s="536" t="e">
        <f ca="1">_xll.ciqfunctions.udf.CIQ($X49, "IQ_TOTAL_REV_1YR_ANN_GROWTH",IQ_LTM,Current_Date)/100</f>
        <v>#NAME?</v>
      </c>
      <c r="AF49" s="536" t="e">
        <f ca="1">_xll.ciqfunctions.udf.CIQ($X49,"IQ_REVENUE_EST",IQ_FY+1)/(_xll.ciqfunctions.udf.CIQ($X49,"IQ_TOTAL_REV",IQ_FY))-1</f>
        <v>#NAME?</v>
      </c>
      <c r="AG49" s="536" t="e">
        <f ca="1">_xll.ciqfunctions.udf.CIQ($X49, "IQ_EPS_1YR_ANN_GROWTH",IQ_LTM,Current_Date)/100</f>
        <v>#NAME?</v>
      </c>
      <c r="AH49" s="536" t="e">
        <f ca="1">_xll.ciqfunctions.udf.CIQ($X49,"IQ_EPS_EST",IQ_FY+1)/(_xll.ciqfunctions.udf.CIQ($X49,"IQ_DILUT_EPS_INCL",IQ_FY))-1</f>
        <v>#NAME?</v>
      </c>
      <c r="AI49" s="536" t="e">
        <f ca="1">_xll.ciqfunctions.udf.CIQ($X49, "IQ_EBITDA_MARGIN",IQ_LTM)/100</f>
        <v>#NAME?</v>
      </c>
      <c r="AJ49" s="536" t="e">
        <f ca="1">_xll.ciqfunctions.udf.CIQ($X49,"IQ_EBITDA_EST",IQ_FY+1)/(_xll.ciqfunctions.udf.CIQ($X49,"IQ_REVENUE_EST",IQ_FY+1))</f>
        <v>#NAME?</v>
      </c>
      <c r="AK49" s="536" t="e">
        <f ca="1">_xll.ciqfunctions.udf.CIQ($X49, "IQ_NI_MARGIN",IQ_LTM)/100</f>
        <v>#NAME?</v>
      </c>
      <c r="AL49" s="536" t="e">
        <f ca="1">_xll.ciqfunctions.udf.CIQ($X49,"IQ_NI_EST",IQ_FY+1)/(_xll.ciqfunctions.udf.CIQ($X49,"IQ_REVENUE_EST",IQ_FY+1))</f>
        <v>#NAME?</v>
      </c>
      <c r="AM49" s="537" t="e">
        <f ca="1">_xll.ciqfunctions.udf.CIQ($X49, "IQ_TEV_EBITDA",IQ_LTM)</f>
        <v>#NAME?</v>
      </c>
      <c r="AN49" s="537" t="e">
        <f ca="1">_xll.ciqfunctions.udf.CIQ($X49, "IQ_TEV",Current_Date)/_xll.ciqfunctions.udf.CIQ($X49, "IQ_EBITDA_EST",IQ_FY+1)</f>
        <v>#NAME?</v>
      </c>
      <c r="AO49" s="537" t="e">
        <f ca="1">_xll.ciqfunctions.udf.CIQ($X49, "IQ_TEV_TOTAL_REV",IQ_LTM)</f>
        <v>#NAME?</v>
      </c>
      <c r="AP49" s="537" t="e">
        <f ca="1">_xll.ciqfunctions.udf.CIQ($X49, "IQ_TEV",Current_Date)/_xll.ciqfunctions.udf.CIQ($X49, "IQ_REVENUE_EST",IQ_FY+1)</f>
        <v>#NAME?</v>
      </c>
      <c r="AQ49" s="537" t="e">
        <f ca="1">_xll.ciqfunctions.udf.CIQ($X49, "IQ_PE_EXCL",IQ_LTM)</f>
        <v>#NAME?</v>
      </c>
      <c r="AR49" s="538" t="e">
        <f ca="1">_xll.ciqfunctions.udf.CIQ($X49, "IQ_MARKETCAP",Current_Date)/_xll.ciqfunctions.udf.CIQ($X49, "IQ_NI_EST",IQ_FY+1)</f>
        <v>#NAME?</v>
      </c>
      <c r="AS49" s="2"/>
      <c r="AT49" s="531" t="str">
        <f>AT67</f>
        <v>IQ92001</v>
      </c>
      <c r="AU49" s="37"/>
      <c r="AV49" s="532" t="str">
        <f>Company_Name</f>
        <v>American Express Company</v>
      </c>
      <c r="AW49" s="533"/>
      <c r="AX49" s="534" t="str">
        <f>Ticker</f>
        <v>AXP</v>
      </c>
      <c r="AY49" s="535" t="e">
        <f ca="1">_xll.ciqfunctions.udf.CIQ($AT49, "IQ_MARKETCAP",Current_Date)</f>
        <v>#NAME?</v>
      </c>
      <c r="AZ49" s="535" t="e">
        <f ca="1">_xll.ciqfunctions.udf.CIQ($AT49, "IQ_TEV",Current_Date)</f>
        <v>#NAME?</v>
      </c>
      <c r="BA49" s="536" t="e">
        <f ca="1">_xll.ciqfunctions.udf.CIQ($AT49, "IQ_TOTAL_REV_1YR_ANN_GROWTH",IQ_LTM,Current_Date)/100</f>
        <v>#NAME?</v>
      </c>
      <c r="BB49" s="536" t="e">
        <f ca="1">_xll.ciqfunctions.udf.CIQ($AT49,"IQ_REVENUE_EST",IQ_FY+1)/(_xll.ciqfunctions.udf.CIQ($AT49,"IQ_TOTAL_REV",IQ_FY))-1</f>
        <v>#NAME?</v>
      </c>
      <c r="BC49" s="536" t="e">
        <f ca="1">_xll.ciqfunctions.udf.CIQ($AT49, "IQ_EPS_1YR_ANN_GROWTH",IQ_LTM,Current_Date)/100</f>
        <v>#NAME?</v>
      </c>
      <c r="BD49" s="536" t="e">
        <f ca="1">_xll.ciqfunctions.udf.CIQ($AT49,"IQ_EPS_EST",IQ_FY+1)/(_xll.ciqfunctions.udf.CIQ($AT49,"IQ_DILUT_EPS_INCL",IQ_FY))-1</f>
        <v>#NAME?</v>
      </c>
      <c r="BE49" s="536" t="e">
        <f ca="1">_xll.ciqfunctions.udf.CIQ($AT49, "IQ_EBITDA_MARGIN",IQ_LTM)/100</f>
        <v>#NAME?</v>
      </c>
      <c r="BF49" s="536" t="e">
        <f ca="1">_xll.ciqfunctions.udf.CIQ($AT49,"IQ_EBITDA_EST",IQ_FY+1)/(_xll.ciqfunctions.udf.CIQ($AT49,"IQ_REVENUE_EST",IQ_FY+1))</f>
        <v>#NAME?</v>
      </c>
      <c r="BG49" s="536" t="e">
        <f ca="1">_xll.ciqfunctions.udf.CIQ($AT49, "IQ_NI_MARGIN",IQ_LTM)/100</f>
        <v>#NAME?</v>
      </c>
      <c r="BH49" s="536" t="e">
        <f ca="1">_xll.ciqfunctions.udf.CIQ($AT49,"IQ_NI_EST",IQ_FY+1)/(_xll.ciqfunctions.udf.CIQ($AT49,"IQ_REVENUE_EST",IQ_FY+1))</f>
        <v>#NAME?</v>
      </c>
      <c r="BI49" s="537" t="e">
        <f ca="1">_xll.ciqfunctions.udf.CIQ($AT49, "IQ_TEV_EBITDA",IQ_LTM)</f>
        <v>#NAME?</v>
      </c>
      <c r="BJ49" s="537" t="e">
        <f ca="1">_xll.ciqfunctions.udf.CIQ($AT49, "IQ_TEV",Current_Date)/_xll.ciqfunctions.udf.CIQ($AT49, "IQ_EBITDA_EST",IQ_FY+1)</f>
        <v>#NAME?</v>
      </c>
      <c r="BK49" s="537" t="e">
        <f ca="1">_xll.ciqfunctions.udf.CIQ($AT49, "IQ_TEV_TOTAL_REV",IQ_LTM)</f>
        <v>#NAME?</v>
      </c>
      <c r="BL49" s="537" t="e">
        <f ca="1">_xll.ciqfunctions.udf.CIQ($AT49, "IQ_TEV",Current_Date)/_xll.ciqfunctions.udf.CIQ($AT49, "IQ_REVENUE_EST",IQ_FY+1)</f>
        <v>#NAME?</v>
      </c>
      <c r="BM49" s="537" t="e">
        <f ca="1">_xll.ciqfunctions.udf.CIQ($AT49, "IQ_PE_EXCL",IQ_LTM)</f>
        <v>#NAME?</v>
      </c>
      <c r="BN49" s="538" t="e">
        <f ca="1">_xll.ciqfunctions.udf.CIQ($AT49, "IQ_MARKETCAP",Current_Date)/_xll.ciqfunctions.udf.CIQ($AT49, "IQ_NI_EST",IQ_FY+1)</f>
        <v>#NAME?</v>
      </c>
    </row>
    <row r="50" spans="1:66" ht="13.5" hidden="1" customHeight="1" outlineLevel="1" x14ac:dyDescent="0.25">
      <c r="A50" s="2"/>
      <c r="B50" s="531"/>
      <c r="C50" s="531"/>
      <c r="D50" s="9"/>
      <c r="E50" s="9"/>
      <c r="F50" s="64"/>
      <c r="G50" s="64"/>
      <c r="H50" s="64"/>
      <c r="I50" s="472"/>
      <c r="J50" s="472"/>
      <c r="K50" s="472"/>
      <c r="L50" s="472"/>
      <c r="M50" s="472"/>
      <c r="N50" s="472"/>
      <c r="O50" s="527"/>
      <c r="P50" s="527"/>
      <c r="Q50" s="480"/>
      <c r="R50" s="480"/>
      <c r="S50" s="64"/>
      <c r="T50" s="64"/>
      <c r="U50" s="64"/>
      <c r="V50" s="64"/>
      <c r="W50" s="9"/>
      <c r="X50" s="531"/>
      <c r="Y50" s="37"/>
      <c r="Z50" s="9"/>
      <c r="AA50" s="9"/>
      <c r="AB50" s="64"/>
      <c r="AC50" s="478"/>
      <c r="AD50" s="64"/>
      <c r="AE50" s="472"/>
      <c r="AF50" s="539"/>
      <c r="AG50" s="472"/>
      <c r="AH50" s="472"/>
      <c r="AI50" s="527"/>
      <c r="AJ50" s="527"/>
      <c r="AK50" s="527"/>
      <c r="AL50" s="527"/>
      <c r="AM50" s="480"/>
      <c r="AN50" s="480"/>
      <c r="AO50" s="64"/>
      <c r="AP50" s="64"/>
      <c r="AQ50" s="64"/>
      <c r="AR50" s="64"/>
      <c r="AS50" s="2"/>
      <c r="AT50" s="531"/>
      <c r="AU50" s="37"/>
      <c r="AV50" s="9"/>
      <c r="AW50" s="9"/>
      <c r="AX50" s="64"/>
      <c r="AY50" s="478"/>
      <c r="AZ50" s="64"/>
      <c r="BA50" s="472"/>
      <c r="BB50" s="539"/>
      <c r="BC50" s="472"/>
      <c r="BD50" s="472"/>
      <c r="BE50" s="527"/>
      <c r="BF50" s="527"/>
      <c r="BG50" s="527"/>
      <c r="BH50" s="527"/>
      <c r="BI50" s="480"/>
      <c r="BJ50" s="480"/>
      <c r="BK50" s="64"/>
      <c r="BL50" s="64"/>
      <c r="BM50" s="64"/>
      <c r="BN50" s="64"/>
    </row>
    <row r="51" spans="1:66" ht="13.5" hidden="1" customHeight="1" outlineLevel="1" x14ac:dyDescent="0.25">
      <c r="A51" s="2"/>
      <c r="B51" s="531" t="str">
        <f t="shared" ref="B51:B54" si="35">B69</f>
        <v>IQ38043467</v>
      </c>
      <c r="C51" s="531"/>
      <c r="D51" s="9" t="e">
        <f ca="1">_xll.ciqfunctions.udf.CIQ($B51, "IQ_COMPANY_NAME",Current_Date)</f>
        <v>#NAME?</v>
      </c>
      <c r="E51" s="9"/>
      <c r="F51" s="64" t="str">
        <f t="shared" ref="F51:F54" si="36">F69</f>
        <v>V</v>
      </c>
      <c r="G51" s="481" t="e">
        <f ca="1">_xll.ciqfunctions.udf.CIQ($B51, "IQ_MARKETCAP",Current_Date)</f>
        <v>#NAME?</v>
      </c>
      <c r="H51" s="481" t="e">
        <f ca="1">_xll.ciqfunctions.udf.CIQ($B51, "IQ_TEV",Current_Date)</f>
        <v>#NAME?</v>
      </c>
      <c r="I51" s="479" t="e">
        <f ca="1">_xll.ciqfunctions.udf.CIQ($B51, "IQ_TOTAL_REV_1YR_ANN_GROWTH",IQ_LTM,Current_Date)/100</f>
        <v>#NAME?</v>
      </c>
      <c r="J51" s="479" t="e">
        <f ca="1">_xll.ciqfunctions.udf.CIQ($B51,"IQ_REVENUE_EST",IQ_FY+1)/(_xll.ciqfunctions.udf.CIQ($B51,"IQ_TOTAL_REV",IQ_FY))-1</f>
        <v>#NAME?</v>
      </c>
      <c r="K51" s="479" t="e">
        <f ca="1">_xll.ciqfunctions.udf.CIQ($B51, "IQ_EPS_1YR_ANN_GROWTH",IQ_LTM,Current_Date)/100</f>
        <v>#NAME?</v>
      </c>
      <c r="L51" s="479" t="e">
        <f ca="1">_xll.ciqfunctions.udf.CIQ($B51,"IQ_EPS_EST",IQ_FY+1)/(_xll.ciqfunctions.udf.CIQ($B51,"IQ_DILUT_EPS_INCL",IQ_FY))-1</f>
        <v>#NAME?</v>
      </c>
      <c r="M51" s="479" t="e">
        <f ca="1">_xll.ciqfunctions.udf.CIQ($B51, "IQ_EBITDA_MARGIN",IQ_LTM)/100</f>
        <v>#NAME?</v>
      </c>
      <c r="N51" s="479" t="e">
        <f ca="1">_xll.ciqfunctions.udf.CIQ($B51,"IQ_EBITDA_EST",IQ_FY+1)/(_xll.ciqfunctions.udf.CIQ($B51,"IQ_REVENUE_EST",IQ_FY+1))</f>
        <v>#NAME?</v>
      </c>
      <c r="O51" s="479" t="e">
        <f ca="1">_xll.ciqfunctions.udf.CIQ($B51, "IQ_NI_MARGIN",IQ_LTM)/100</f>
        <v>#NAME?</v>
      </c>
      <c r="P51" s="479" t="e">
        <f ca="1">_xll.ciqfunctions.udf.CIQ($B51,"IQ_NI_EST",IQ_FY+1)/(_xll.ciqfunctions.udf.CIQ($B51,"IQ_REVENUE_EST",IQ_FY+1))</f>
        <v>#NAME?</v>
      </c>
      <c r="Q51" s="483" t="e">
        <f ca="1">_xll.ciqfunctions.udf.CIQ($B51, "IQ_TEV_EBITDA",IQ_LTM)</f>
        <v>#NAME?</v>
      </c>
      <c r="R51" s="483" t="e">
        <f ca="1">_xll.ciqfunctions.udf.CIQ($B51, "IQ_TEV",Current_Date)/_xll.ciqfunctions.udf.CIQ($B51, "IQ_EBITDA_EST",IQ_FY+1)</f>
        <v>#NAME?</v>
      </c>
      <c r="S51" s="483" t="e">
        <f ca="1">_xll.ciqfunctions.udf.CIQ($B51, "IQ_TEV_TOTAL_REV",IQ_LTM)</f>
        <v>#NAME?</v>
      </c>
      <c r="T51" s="483" t="e">
        <f ca="1">_xll.ciqfunctions.udf.CIQ($B51, "IQ_TEV",Current_Date)/_xll.ciqfunctions.udf.CIQ($B51, "IQ_REVENUE_EST",IQ_FY+1)</f>
        <v>#NAME?</v>
      </c>
      <c r="U51" s="483" t="e">
        <f ca="1">_xll.ciqfunctions.udf.CIQ($B51, "IQ_PE_EXCL",IQ_LTM)</f>
        <v>#NAME?</v>
      </c>
      <c r="V51" s="483" t="e">
        <f ca="1">_xll.ciqfunctions.udf.CIQ($B51, "IQ_MARKETCAP",Current_Date)/_xll.ciqfunctions.udf.CIQ($B51, "IQ_NI_EST",IQ_FY+1)</f>
        <v>#NAME?</v>
      </c>
      <c r="W51" s="9"/>
      <c r="X51" s="531" t="str">
        <f t="shared" ref="X51:X54" si="37">X69</f>
        <v>IQ159230</v>
      </c>
      <c r="Y51" s="37"/>
      <c r="Z51" s="9" t="e">
        <f ca="1">_xll.ciqfunctions.udf.CIQ($X51, "IQ_COMPANY_NAME",Current_Date)</f>
        <v>#NAME?</v>
      </c>
      <c r="AA51" s="9"/>
      <c r="AB51" s="64" t="str">
        <f t="shared" ref="AB51:AB54" si="38">AB69</f>
        <v>RTX</v>
      </c>
      <c r="AC51" s="481" t="e">
        <f ca="1">_xll.ciqfunctions.udf.CIQ($X51, "IQ_MARKETCAP",Current_Date)</f>
        <v>#NAME?</v>
      </c>
      <c r="AD51" s="481" t="e">
        <f ca="1">_xll.ciqfunctions.udf.CIQ($X51, "IQ_TEV",Current_Date)</f>
        <v>#NAME?</v>
      </c>
      <c r="AE51" s="479" t="e">
        <f ca="1">_xll.ciqfunctions.udf.CIQ($X51, "IQ_TOTAL_REV_1YR_ANN_GROWTH",IQ_LTM,Current_Date)/100</f>
        <v>#NAME?</v>
      </c>
      <c r="AF51" s="479" t="e">
        <f ca="1">_xll.ciqfunctions.udf.CIQ($X51,"IQ_REVENUE_EST",IQ_FY+1)/(_xll.ciqfunctions.udf.CIQ($X51,"IQ_TOTAL_REV",IQ_FY))-1</f>
        <v>#NAME?</v>
      </c>
      <c r="AG51" s="479" t="e">
        <f ca="1">_xll.ciqfunctions.udf.CIQ($X51, "IQ_EPS_1YR_ANN_GROWTH",IQ_LTM,Current_Date)/100</f>
        <v>#NAME?</v>
      </c>
      <c r="AH51" s="479" t="e">
        <f ca="1">_xll.ciqfunctions.udf.CIQ($X51,"IQ_EPS_EST",IQ_FY+1)/(_xll.ciqfunctions.udf.CIQ($X51,"IQ_DILUT_EPS_INCL",IQ_FY))-1</f>
        <v>#NAME?</v>
      </c>
      <c r="AI51" s="479" t="e">
        <f ca="1">_xll.ciqfunctions.udf.CIQ($X51, "IQ_EBITDA_MARGIN",IQ_LTM)/100</f>
        <v>#NAME?</v>
      </c>
      <c r="AJ51" s="479" t="e">
        <f ca="1">_xll.ciqfunctions.udf.CIQ($X51,"IQ_EBITDA_EST",IQ_FY+1)/(_xll.ciqfunctions.udf.CIQ($X51,"IQ_REVENUE_EST",IQ_FY+1))</f>
        <v>#NAME?</v>
      </c>
      <c r="AK51" s="479" t="e">
        <f ca="1">_xll.ciqfunctions.udf.CIQ($X51, "IQ_NI_MARGIN",IQ_LTM)/100</f>
        <v>#NAME?</v>
      </c>
      <c r="AL51" s="479" t="e">
        <f ca="1">_xll.ciqfunctions.udf.CIQ($X51,"IQ_NI_EST",IQ_FY+1)/(_xll.ciqfunctions.udf.CIQ($X51,"IQ_REVENUE_EST",IQ_FY+1))</f>
        <v>#NAME?</v>
      </c>
      <c r="AM51" s="483" t="e">
        <f ca="1">_xll.ciqfunctions.udf.CIQ($X51, "IQ_TEV_EBITDA",IQ_LTM)</f>
        <v>#NAME?</v>
      </c>
      <c r="AN51" s="483" t="e">
        <f ca="1">_xll.ciqfunctions.udf.CIQ($X51, "IQ_TEV",Current_Date)/_xll.ciqfunctions.udf.CIQ($X51, "IQ_EBITDA_EST",IQ_FY+1)</f>
        <v>#NAME?</v>
      </c>
      <c r="AO51" s="483" t="e">
        <f ca="1">_xll.ciqfunctions.udf.CIQ($X51, "IQ_TEV_TOTAL_REV",IQ_LTM)</f>
        <v>#NAME?</v>
      </c>
      <c r="AP51" s="483" t="e">
        <f ca="1">_xll.ciqfunctions.udf.CIQ($X51, "IQ_TEV",Current_Date)/_xll.ciqfunctions.udf.CIQ($X51, "IQ_REVENUE_EST",IQ_FY+1)</f>
        <v>#NAME?</v>
      </c>
      <c r="AQ51" s="483" t="e">
        <f ca="1">_xll.ciqfunctions.udf.CIQ($X51, "IQ_PE_EXCL",IQ_LTM)</f>
        <v>#NAME?</v>
      </c>
      <c r="AR51" s="483" t="e">
        <f ca="1">_xll.ciqfunctions.udf.CIQ($X51, "IQ_MARKETCAP",Current_Date)/_xll.ciqfunctions.udf.CIQ($X51, "IQ_NI_EST",IQ_FY+1)</f>
        <v>#NAME?</v>
      </c>
      <c r="AS51" s="2"/>
      <c r="AT51" s="531" t="str">
        <f t="shared" ref="AT51:AT54" si="39">AT69</f>
        <v>IQ289194</v>
      </c>
      <c r="AU51" s="37"/>
      <c r="AV51" s="9" t="e">
        <f ca="1">_xll.ciqfunctions.udf.CIQ($AT51, "IQ_COMPANY_NAME",Current_Date)</f>
        <v>#NAME?</v>
      </c>
      <c r="AW51" s="9"/>
      <c r="AX51" s="64" t="str">
        <f>N89</f>
        <v>MMM</v>
      </c>
      <c r="AY51" s="481" t="e">
        <f ca="1">_xll.ciqfunctions.udf.CIQ($AT51, "IQ_MARKETCAP",Current_Date)</f>
        <v>#NAME?</v>
      </c>
      <c r="AZ51" s="481" t="e">
        <f ca="1">_xll.ciqfunctions.udf.CIQ($AT51, "IQ_TEV",Current_Date)</f>
        <v>#NAME?</v>
      </c>
      <c r="BA51" s="479" t="e">
        <f ca="1">_xll.ciqfunctions.udf.CIQ($AT51, "IQ_TOTAL_REV_1YR_ANN_GROWTH",IQ_LTM,Current_Date)/100</f>
        <v>#NAME?</v>
      </c>
      <c r="BB51" s="479" t="e">
        <f ca="1">_xll.ciqfunctions.udf.CIQ($AT51,"IQ_REVENUE_EST",IQ_FY+1)/(_xll.ciqfunctions.udf.CIQ($AT51,"IQ_TOTAL_REV",IQ_FY))-1</f>
        <v>#NAME?</v>
      </c>
      <c r="BC51" s="479" t="e">
        <f ca="1">_xll.ciqfunctions.udf.CIQ($AT51, "IQ_EPS_1YR_ANN_GROWTH",IQ_LTM,Current_Date)/100</f>
        <v>#NAME?</v>
      </c>
      <c r="BD51" s="479" t="e">
        <f ca="1">_xll.ciqfunctions.udf.CIQ($AT51,"IQ_EPS_EST",IQ_FY+1)/(_xll.ciqfunctions.udf.CIQ($AT51,"IQ_DILUT_EPS_INCL",IQ_FY))-1</f>
        <v>#NAME?</v>
      </c>
      <c r="BE51" s="479" t="e">
        <f ca="1">_xll.ciqfunctions.udf.CIQ($AT51, "IQ_EBITDA_MARGIN",IQ_LTM)/100</f>
        <v>#NAME?</v>
      </c>
      <c r="BF51" s="479" t="e">
        <f ca="1">_xll.ciqfunctions.udf.CIQ($AT51,"IQ_EBITDA_EST",IQ_FY+1)/(_xll.ciqfunctions.udf.CIQ($AT51,"IQ_REVENUE_EST",IQ_FY+1))</f>
        <v>#NAME?</v>
      </c>
      <c r="BG51" s="479" t="e">
        <f ca="1">_xll.ciqfunctions.udf.CIQ($AT51, "IQ_NI_MARGIN",IQ_LTM)/100</f>
        <v>#NAME?</v>
      </c>
      <c r="BH51" s="479" t="e">
        <f ca="1">_xll.ciqfunctions.udf.CIQ($AT51,"IQ_NI_EST",IQ_FY+1)/(_xll.ciqfunctions.udf.CIQ($AT51,"IQ_REVENUE_EST",IQ_FY+1))</f>
        <v>#NAME?</v>
      </c>
      <c r="BI51" s="483" t="e">
        <f ca="1">_xll.ciqfunctions.udf.CIQ($AT51, "IQ_TEV_EBITDA",IQ_LTM)</f>
        <v>#NAME?</v>
      </c>
      <c r="BJ51" s="483" t="e">
        <f ca="1">_xll.ciqfunctions.udf.CIQ($AT51, "IQ_TEV",Current_Date)/_xll.ciqfunctions.udf.CIQ($AT51, "IQ_EBITDA_EST",IQ_FY+1)</f>
        <v>#NAME?</v>
      </c>
      <c r="BK51" s="483" t="e">
        <f ca="1">_xll.ciqfunctions.udf.CIQ($AT51, "IQ_TEV_TOTAL_REV",IQ_LTM)</f>
        <v>#NAME?</v>
      </c>
      <c r="BL51" s="483" t="e">
        <f ca="1">_xll.ciqfunctions.udf.CIQ($AT51, "IQ_TEV",Current_Date)/_xll.ciqfunctions.udf.CIQ($AT51, "IQ_REVENUE_EST",IQ_FY+1)</f>
        <v>#NAME?</v>
      </c>
      <c r="BM51" s="483" t="e">
        <f ca="1">_xll.ciqfunctions.udf.CIQ($AT51, "IQ_PE_EXCL",IQ_LTM)</f>
        <v>#NAME?</v>
      </c>
      <c r="BN51" s="483" t="e">
        <f ca="1">_xll.ciqfunctions.udf.CIQ($AT51, "IQ_MARKETCAP",Current_Date)/_xll.ciqfunctions.udf.CIQ($AT51, "IQ_NI_EST",IQ_FY+1)</f>
        <v>#NAME?</v>
      </c>
    </row>
    <row r="52" spans="1:66" ht="13.5" hidden="1" customHeight="1" outlineLevel="1" x14ac:dyDescent="0.25">
      <c r="A52" s="2"/>
      <c r="B52" s="531" t="str">
        <f t="shared" si="35"/>
        <v>IQ6477196</v>
      </c>
      <c r="C52" s="531"/>
      <c r="D52" s="9" t="e">
        <f ca="1">_xll.ciqfunctions.udf.CIQ($B52, "IQ_COMPANY_NAME",Current_Date)</f>
        <v>#NAME?</v>
      </c>
      <c r="E52" s="9"/>
      <c r="F52" s="64" t="str">
        <f t="shared" si="36"/>
        <v>MA</v>
      </c>
      <c r="G52" s="481" t="e">
        <f ca="1">_xll.ciqfunctions.udf.CIQ($B52, "IQ_MARKETCAP",Current_Date)</f>
        <v>#NAME?</v>
      </c>
      <c r="H52" s="481" t="e">
        <f ca="1">_xll.ciqfunctions.udf.CIQ($B52, "IQ_TEV",Current_Date)</f>
        <v>#NAME?</v>
      </c>
      <c r="I52" s="479" t="e">
        <f ca="1">_xll.ciqfunctions.udf.CIQ($B52, "IQ_TOTAL_REV_1YR_ANN_GROWTH",IQ_LTM,Current_Date)/100</f>
        <v>#NAME?</v>
      </c>
      <c r="J52" s="479" t="e">
        <f ca="1">_xll.ciqfunctions.udf.CIQ($B52,"IQ_REVENUE_EST",IQ_FY+1)/(_xll.ciqfunctions.udf.CIQ($B52,"IQ_TOTAL_REV",IQ_FY))-1</f>
        <v>#NAME?</v>
      </c>
      <c r="K52" s="479" t="e">
        <f ca="1">_xll.ciqfunctions.udf.CIQ($B52, "IQ_EPS_1YR_ANN_GROWTH",IQ_LTM,Current_Date)/100</f>
        <v>#NAME?</v>
      </c>
      <c r="L52" s="479" t="e">
        <f ca="1">_xll.ciqfunctions.udf.CIQ($B52,"IQ_EPS_EST",IQ_FY+1)/(_xll.ciqfunctions.udf.CIQ($B52,"IQ_DILUT_EPS_INCL",IQ_FY))-1</f>
        <v>#NAME?</v>
      </c>
      <c r="M52" s="479" t="e">
        <f ca="1">_xll.ciqfunctions.udf.CIQ($B52, "IQ_EBITDA_MARGIN",IQ_LTM)/100</f>
        <v>#NAME?</v>
      </c>
      <c r="N52" s="479" t="e">
        <f ca="1">_xll.ciqfunctions.udf.CIQ($B52,"IQ_EBITDA_EST",IQ_FY+1)/(_xll.ciqfunctions.udf.CIQ($B52,"IQ_REVENUE_EST",IQ_FY+1))</f>
        <v>#NAME?</v>
      </c>
      <c r="O52" s="479" t="e">
        <f ca="1">_xll.ciqfunctions.udf.CIQ($B52, "IQ_NI_MARGIN",IQ_LTM)/100</f>
        <v>#NAME?</v>
      </c>
      <c r="P52" s="479" t="e">
        <f ca="1">_xll.ciqfunctions.udf.CIQ($B52,"IQ_NI_EST",IQ_FY+1)/(_xll.ciqfunctions.udf.CIQ($B52,"IQ_REVENUE_EST",IQ_FY+1))</f>
        <v>#NAME?</v>
      </c>
      <c r="Q52" s="483" t="e">
        <f ca="1">_xll.ciqfunctions.udf.CIQ($B52, "IQ_TEV_EBITDA",IQ_LTM)</f>
        <v>#NAME?</v>
      </c>
      <c r="R52" s="483" t="e">
        <f ca="1">_xll.ciqfunctions.udf.CIQ($B52, "IQ_TEV",Current_Date)/_xll.ciqfunctions.udf.CIQ($B52, "IQ_EBITDA_EST",IQ_FY+1)</f>
        <v>#NAME?</v>
      </c>
      <c r="S52" s="483" t="e">
        <f ca="1">_xll.ciqfunctions.udf.CIQ($B52, "IQ_TEV_TOTAL_REV",IQ_LTM)</f>
        <v>#NAME?</v>
      </c>
      <c r="T52" s="483" t="e">
        <f ca="1">_xll.ciqfunctions.udf.CIQ($B52, "IQ_TEV",Current_Date)/_xll.ciqfunctions.udf.CIQ($B52, "IQ_REVENUE_EST",IQ_FY+1)</f>
        <v>#NAME?</v>
      </c>
      <c r="U52" s="483" t="e">
        <f ca="1">_xll.ciqfunctions.udf.CIQ($B52, "IQ_PE_EXCL",IQ_LTM)</f>
        <v>#NAME?</v>
      </c>
      <c r="V52" s="483" t="e">
        <f ca="1">_xll.ciqfunctions.udf.CIQ($B52, "IQ_MARKETCAP",Current_Date)/_xll.ciqfunctions.udf.CIQ($B52, "IQ_NI_EST",IQ_FY+1)</f>
        <v>#NAME?</v>
      </c>
      <c r="W52" s="9"/>
      <c r="X52" s="531" t="str">
        <f t="shared" si="37"/>
        <v>IQ370857</v>
      </c>
      <c r="Y52" s="37"/>
      <c r="Z52" s="9" t="e">
        <f ca="1">_xll.ciqfunctions.udf.CIQ($X52, "IQ_COMPANY_NAME",Current_Date)</f>
        <v>#NAME?</v>
      </c>
      <c r="AA52" s="9"/>
      <c r="AB52" s="64" t="str">
        <f t="shared" si="38"/>
        <v>BA</v>
      </c>
      <c r="AC52" s="481" t="e">
        <f ca="1">_xll.ciqfunctions.udf.CIQ($X52, "IQ_MARKETCAP",Current_Date)</f>
        <v>#NAME?</v>
      </c>
      <c r="AD52" s="481" t="e">
        <f ca="1">_xll.ciqfunctions.udf.CIQ($X52, "IQ_TEV",Current_Date)</f>
        <v>#NAME?</v>
      </c>
      <c r="AE52" s="479" t="e">
        <f ca="1">_xll.ciqfunctions.udf.CIQ($X52, "IQ_TOTAL_REV_1YR_ANN_GROWTH",IQ_LTM,Current_Date)/100</f>
        <v>#NAME?</v>
      </c>
      <c r="AF52" s="479" t="e">
        <f ca="1">_xll.ciqfunctions.udf.CIQ($X52,"IQ_REVENUE_EST",IQ_FY+1)/(_xll.ciqfunctions.udf.CIQ($X52,"IQ_TOTAL_REV",IQ_FY))-1</f>
        <v>#NAME?</v>
      </c>
      <c r="AG52" s="479" t="e">
        <f ca="1">_xll.ciqfunctions.udf.CIQ($X52, "IQ_EPS_1YR_ANN_GROWTH",IQ_LTM,Current_Date)/100</f>
        <v>#NAME?</v>
      </c>
      <c r="AH52" s="479" t="e">
        <f ca="1">_xll.ciqfunctions.udf.CIQ($X52,"IQ_EPS_EST",IQ_FY+1)/(_xll.ciqfunctions.udf.CIQ($X52,"IQ_DILUT_EPS_INCL",IQ_FY))-1</f>
        <v>#NAME?</v>
      </c>
      <c r="AI52" s="479" t="e">
        <f ca="1">_xll.ciqfunctions.udf.CIQ($X52, "IQ_EBITDA_MARGIN",IQ_LTM)/100</f>
        <v>#NAME?</v>
      </c>
      <c r="AJ52" s="479" t="e">
        <f ca="1">_xll.ciqfunctions.udf.CIQ($X52,"IQ_EBITDA_EST",IQ_FY+1)/(_xll.ciqfunctions.udf.CIQ($X52,"IQ_REVENUE_EST",IQ_FY+1))</f>
        <v>#NAME?</v>
      </c>
      <c r="AK52" s="479" t="e">
        <f ca="1">_xll.ciqfunctions.udf.CIQ($X52, "IQ_NI_MARGIN",IQ_LTM)/100</f>
        <v>#NAME?</v>
      </c>
      <c r="AL52" s="479" t="e">
        <f ca="1">_xll.ciqfunctions.udf.CIQ($X52,"IQ_NI_EST",IQ_FY+1)/(_xll.ciqfunctions.udf.CIQ($X52,"IQ_REVENUE_EST",IQ_FY+1))</f>
        <v>#NAME?</v>
      </c>
      <c r="AM52" s="483" t="e">
        <f ca="1">_xll.ciqfunctions.udf.CIQ($X52, "IQ_TEV_EBITDA",IQ_LTM)</f>
        <v>#NAME?</v>
      </c>
      <c r="AN52" s="483" t="e">
        <f ca="1">_xll.ciqfunctions.udf.CIQ($X52, "IQ_TEV",Current_Date)/_xll.ciqfunctions.udf.CIQ($X52, "IQ_EBITDA_EST",IQ_FY+1)</f>
        <v>#NAME?</v>
      </c>
      <c r="AO52" s="483" t="e">
        <f ca="1">_xll.ciqfunctions.udf.CIQ($X52, "IQ_TEV_TOTAL_REV",IQ_LTM)</f>
        <v>#NAME?</v>
      </c>
      <c r="AP52" s="483" t="e">
        <f ca="1">_xll.ciqfunctions.udf.CIQ($X52, "IQ_TEV",Current_Date)/_xll.ciqfunctions.udf.CIQ($X52, "IQ_REVENUE_EST",IQ_FY+1)</f>
        <v>#NAME?</v>
      </c>
      <c r="AQ52" s="483" t="e">
        <f ca="1">_xll.ciqfunctions.udf.CIQ($X52, "IQ_PE_EXCL",IQ_LTM)</f>
        <v>#NAME?</v>
      </c>
      <c r="AR52" s="483" t="e">
        <f ca="1">_xll.ciqfunctions.udf.CIQ($X52, "IQ_MARKETCAP",Current_Date)/_xll.ciqfunctions.udf.CIQ($X52, "IQ_NI_EST",IQ_FY+1)</f>
        <v>#NAME?</v>
      </c>
      <c r="AS52" s="2"/>
      <c r="AT52" s="531" t="str">
        <f t="shared" si="39"/>
        <v>IQ177031</v>
      </c>
      <c r="AU52" s="37"/>
      <c r="AV52" s="9" t="e">
        <f ca="1">_xll.ciqfunctions.udf.CIQ($AT52, "IQ_COMPANY_NAME",Current_Date)</f>
        <v>#NAME?</v>
      </c>
      <c r="AW52" s="9"/>
      <c r="AX52" s="64" t="str">
        <f>N93</f>
        <v>GE</v>
      </c>
      <c r="AY52" s="481" t="e">
        <f ca="1">_xll.ciqfunctions.udf.CIQ($AT52, "IQ_MARKETCAP",Current_Date)</f>
        <v>#NAME?</v>
      </c>
      <c r="AZ52" s="481" t="e">
        <f ca="1">_xll.ciqfunctions.udf.CIQ($AT52, "IQ_TEV",Current_Date)</f>
        <v>#NAME?</v>
      </c>
      <c r="BA52" s="479" t="e">
        <f ca="1">_xll.ciqfunctions.udf.CIQ($AT52, "IQ_TOTAL_REV_1YR_ANN_GROWTH",IQ_LTM,Current_Date)/100</f>
        <v>#NAME?</v>
      </c>
      <c r="BB52" s="479" t="e">
        <f ca="1">_xll.ciqfunctions.udf.CIQ($AT52,"IQ_REVENUE_EST",IQ_FY+1)/(_xll.ciqfunctions.udf.CIQ($AT52,"IQ_TOTAL_REV",IQ_FY))-1</f>
        <v>#NAME?</v>
      </c>
      <c r="BC52" s="479" t="e">
        <f ca="1">_xll.ciqfunctions.udf.CIQ($AT52, "IQ_EPS_1YR_ANN_GROWTH",IQ_LTM,Current_Date)/100</f>
        <v>#NAME?</v>
      </c>
      <c r="BD52" s="479" t="e">
        <f ca="1">_xll.ciqfunctions.udf.CIQ($AT52,"IQ_EPS_EST",IQ_FY+1)/(_xll.ciqfunctions.udf.CIQ($AT52,"IQ_DILUT_EPS_INCL",IQ_FY))-1</f>
        <v>#NAME?</v>
      </c>
      <c r="BE52" s="479" t="e">
        <f ca="1">_xll.ciqfunctions.udf.CIQ($AT52, "IQ_EBITDA_MARGIN",IQ_LTM)/100</f>
        <v>#NAME?</v>
      </c>
      <c r="BF52" s="479" t="e">
        <f ca="1">_xll.ciqfunctions.udf.CIQ($AT52,"IQ_EBITDA_EST",IQ_FY+1)/(_xll.ciqfunctions.udf.CIQ($AT52,"IQ_REVENUE_EST",IQ_FY+1))</f>
        <v>#NAME?</v>
      </c>
      <c r="BG52" s="479" t="e">
        <f ca="1">_xll.ciqfunctions.udf.CIQ($AT52, "IQ_NI_MARGIN",IQ_LTM)/100</f>
        <v>#NAME?</v>
      </c>
      <c r="BH52" s="479" t="e">
        <f ca="1">_xll.ciqfunctions.udf.CIQ($AT52,"IQ_NI_EST",IQ_FY+1)/(_xll.ciqfunctions.udf.CIQ($AT52,"IQ_REVENUE_EST",IQ_FY+1))</f>
        <v>#NAME?</v>
      </c>
      <c r="BI52" s="483" t="e">
        <f ca="1">_xll.ciqfunctions.udf.CIQ($AT52, "IQ_TEV_EBITDA",IQ_LTM)</f>
        <v>#NAME?</v>
      </c>
      <c r="BJ52" s="483" t="e">
        <f ca="1">_xll.ciqfunctions.udf.CIQ($AT52, "IQ_TEV",Current_Date)/_xll.ciqfunctions.udf.CIQ($AT52, "IQ_EBITDA_EST",IQ_FY+1)</f>
        <v>#NAME?</v>
      </c>
      <c r="BK52" s="483" t="e">
        <f ca="1">_xll.ciqfunctions.udf.CIQ($AT52, "IQ_TEV_TOTAL_REV",IQ_LTM)</f>
        <v>#NAME?</v>
      </c>
      <c r="BL52" s="483" t="e">
        <f ca="1">_xll.ciqfunctions.udf.CIQ($AT52, "IQ_TEV",Current_Date)/_xll.ciqfunctions.udf.CIQ($AT52, "IQ_REVENUE_EST",IQ_FY+1)</f>
        <v>#NAME?</v>
      </c>
      <c r="BM52" s="483" t="e">
        <f ca="1">_xll.ciqfunctions.udf.CIQ($AT52, "IQ_PE_EXCL",IQ_LTM)</f>
        <v>#NAME?</v>
      </c>
      <c r="BN52" s="483" t="e">
        <f ca="1">_xll.ciqfunctions.udf.CIQ($AT52, "IQ_MARKETCAP",Current_Date)/_xll.ciqfunctions.udf.CIQ($AT52, "IQ_NI_EST",IQ_FY+1)</f>
        <v>#NAME?</v>
      </c>
    </row>
    <row r="53" spans="1:66" ht="13.5" hidden="1" customHeight="1" outlineLevel="1" x14ac:dyDescent="0.25">
      <c r="A53" s="2"/>
      <c r="B53" s="531" t="str">
        <f t="shared" si="35"/>
        <v>IQ336241</v>
      </c>
      <c r="C53" s="531"/>
      <c r="D53" s="9" t="e">
        <f ca="1">_xll.ciqfunctions.udf.CIQ($B53, "IQ_COMPANY_NAME",Current_Date)</f>
        <v>#NAME?</v>
      </c>
      <c r="E53" s="9"/>
      <c r="F53" s="64" t="str">
        <f t="shared" si="36"/>
        <v>COF</v>
      </c>
      <c r="G53" s="481" t="e">
        <f ca="1">_xll.ciqfunctions.udf.CIQ($B53, "IQ_MARKETCAP",Current_Date)</f>
        <v>#NAME?</v>
      </c>
      <c r="H53" s="481" t="e">
        <f ca="1">_xll.ciqfunctions.udf.CIQ($B53, "IQ_TEV",Current_Date)</f>
        <v>#NAME?</v>
      </c>
      <c r="I53" s="479" t="e">
        <f ca="1">_xll.ciqfunctions.udf.CIQ($B53, "IQ_TOTAL_REV_1YR_ANN_GROWTH",IQ_LTM,Current_Date)/100</f>
        <v>#NAME?</v>
      </c>
      <c r="J53" s="479" t="e">
        <f ca="1">_xll.ciqfunctions.udf.CIQ($B53,"IQ_REVENUE_EST",IQ_FY+1)/(_xll.ciqfunctions.udf.CIQ($B53,"IQ_TOTAL_REV",IQ_FY))-1</f>
        <v>#NAME?</v>
      </c>
      <c r="K53" s="479" t="e">
        <f ca="1">_xll.ciqfunctions.udf.CIQ($B53, "IQ_EPS_1YR_ANN_GROWTH",IQ_LTM,Current_Date)/100</f>
        <v>#NAME?</v>
      </c>
      <c r="L53" s="479" t="e">
        <f ca="1">_xll.ciqfunctions.udf.CIQ($B53,"IQ_EPS_EST",IQ_FY+1)/(_xll.ciqfunctions.udf.CIQ($B53,"IQ_DILUT_EPS_INCL",IQ_FY))-1</f>
        <v>#NAME?</v>
      </c>
      <c r="M53" s="479" t="e">
        <f ca="1">_xll.ciqfunctions.udf.CIQ($B53, "IQ_EBITDA_MARGIN",IQ_LTM)/100</f>
        <v>#NAME?</v>
      </c>
      <c r="N53" s="479" t="e">
        <f ca="1">_xll.ciqfunctions.udf.CIQ($B53,"IQ_EBITDA_EST",IQ_FY+1)/(_xll.ciqfunctions.udf.CIQ($B53,"IQ_REVENUE_EST",IQ_FY+1))</f>
        <v>#NAME?</v>
      </c>
      <c r="O53" s="479" t="e">
        <f ca="1">_xll.ciqfunctions.udf.CIQ($B53, "IQ_NI_MARGIN",IQ_LTM)/100</f>
        <v>#NAME?</v>
      </c>
      <c r="P53" s="479" t="e">
        <f ca="1">_xll.ciqfunctions.udf.CIQ($B53,"IQ_NI_EST",IQ_FY+1)/(_xll.ciqfunctions.udf.CIQ($B53,"IQ_REVENUE_EST",IQ_FY+1))</f>
        <v>#NAME?</v>
      </c>
      <c r="Q53" s="483" t="e">
        <f ca="1">_xll.ciqfunctions.udf.CIQ($B53, "IQ_TEV_EBITDA",IQ_LTM)</f>
        <v>#NAME?</v>
      </c>
      <c r="R53" s="483" t="e">
        <f ca="1">_xll.ciqfunctions.udf.CIQ($B53, "IQ_TEV",Current_Date)/_xll.ciqfunctions.udf.CIQ($B53, "IQ_EBITDA_EST",IQ_FY+1)</f>
        <v>#NAME?</v>
      </c>
      <c r="S53" s="483" t="e">
        <f ca="1">_xll.ciqfunctions.udf.CIQ($B53, "IQ_TEV_TOTAL_REV",IQ_LTM)</f>
        <v>#NAME?</v>
      </c>
      <c r="T53" s="483" t="e">
        <f ca="1">_xll.ciqfunctions.udf.CIQ($B53, "IQ_TEV",Current_Date)/_xll.ciqfunctions.udf.CIQ($B53, "IQ_REVENUE_EST",IQ_FY+1)</f>
        <v>#NAME?</v>
      </c>
      <c r="U53" s="483" t="e">
        <f ca="1">_xll.ciqfunctions.udf.CIQ($B53, "IQ_PE_EXCL",IQ_LTM)</f>
        <v>#NAME?</v>
      </c>
      <c r="V53" s="483" t="e">
        <f ca="1">_xll.ciqfunctions.udf.CIQ($B53, "IQ_MARKETCAP",Current_Date)/_xll.ciqfunctions.udf.CIQ($B53, "IQ_NI_EST",IQ_FY+1)</f>
        <v>#NAME?</v>
      </c>
      <c r="W53" s="9"/>
      <c r="X53" s="531" t="str">
        <f t="shared" si="37"/>
        <v>IQ363263</v>
      </c>
      <c r="Y53" s="37"/>
      <c r="Z53" s="9" t="e">
        <f ca="1">_xll.ciqfunctions.udf.CIQ($X53, "IQ_COMPANY_NAME",Current_Date)</f>
        <v>#NAME?</v>
      </c>
      <c r="AA53" s="9"/>
      <c r="AB53" s="64" t="str">
        <f t="shared" si="38"/>
        <v>HII</v>
      </c>
      <c r="AC53" s="481" t="e">
        <f ca="1">_xll.ciqfunctions.udf.CIQ($X53, "IQ_MARKETCAP",Current_Date)</f>
        <v>#NAME?</v>
      </c>
      <c r="AD53" s="481" t="e">
        <f ca="1">_xll.ciqfunctions.udf.CIQ($X53, "IQ_TEV",Current_Date)</f>
        <v>#NAME?</v>
      </c>
      <c r="AE53" s="479" t="e">
        <f ca="1">_xll.ciqfunctions.udf.CIQ($X53, "IQ_TOTAL_REV_1YR_ANN_GROWTH",IQ_LTM,Current_Date)/100</f>
        <v>#NAME?</v>
      </c>
      <c r="AF53" s="479" t="e">
        <f ca="1">_xll.ciqfunctions.udf.CIQ($X53,"IQ_REVENUE_EST",IQ_FY+1)/(_xll.ciqfunctions.udf.CIQ($X53,"IQ_TOTAL_REV",IQ_FY))-1</f>
        <v>#NAME?</v>
      </c>
      <c r="AG53" s="479" t="e">
        <f ca="1">_xll.ciqfunctions.udf.CIQ($X53, "IQ_EPS_1YR_ANN_GROWTH",IQ_LTM,Current_Date)/100</f>
        <v>#NAME?</v>
      </c>
      <c r="AH53" s="479" t="e">
        <f ca="1">_xll.ciqfunctions.udf.CIQ($X53,"IQ_EPS_EST",IQ_FY+1)/(_xll.ciqfunctions.udf.CIQ($X53,"IQ_DILUT_EPS_INCL",IQ_FY))-1</f>
        <v>#NAME?</v>
      </c>
      <c r="AI53" s="479" t="e">
        <f ca="1">_xll.ciqfunctions.udf.CIQ($X53, "IQ_EBITDA_MARGIN",IQ_LTM)/100</f>
        <v>#NAME?</v>
      </c>
      <c r="AJ53" s="479" t="e">
        <f ca="1">_xll.ciqfunctions.udf.CIQ($X53,"IQ_EBITDA_EST",IQ_FY+1)/(_xll.ciqfunctions.udf.CIQ($X53,"IQ_REVENUE_EST",IQ_FY+1))</f>
        <v>#NAME?</v>
      </c>
      <c r="AK53" s="479" t="e">
        <f ca="1">_xll.ciqfunctions.udf.CIQ($X53, "IQ_NI_MARGIN",IQ_LTM)/100</f>
        <v>#NAME?</v>
      </c>
      <c r="AL53" s="479" t="e">
        <f ca="1">_xll.ciqfunctions.udf.CIQ($X53,"IQ_NI_EST",IQ_FY+1)/(_xll.ciqfunctions.udf.CIQ($X53,"IQ_REVENUE_EST",IQ_FY+1))</f>
        <v>#NAME?</v>
      </c>
      <c r="AM53" s="483" t="e">
        <f ca="1">_xll.ciqfunctions.udf.CIQ($X53, "IQ_TEV_EBITDA",IQ_LTM)</f>
        <v>#NAME?</v>
      </c>
      <c r="AN53" s="483" t="e">
        <f ca="1">_xll.ciqfunctions.udf.CIQ($X53, "IQ_TEV",Current_Date)/_xll.ciqfunctions.udf.CIQ($X53, "IQ_EBITDA_EST",IQ_FY+1)</f>
        <v>#NAME?</v>
      </c>
      <c r="AO53" s="483" t="e">
        <f ca="1">_xll.ciqfunctions.udf.CIQ($X53, "IQ_TEV_TOTAL_REV",IQ_LTM)</f>
        <v>#NAME?</v>
      </c>
      <c r="AP53" s="483" t="e">
        <f ca="1">_xll.ciqfunctions.udf.CIQ($X53, "IQ_TEV",Current_Date)/_xll.ciqfunctions.udf.CIQ($X53, "IQ_REVENUE_EST",IQ_FY+1)</f>
        <v>#NAME?</v>
      </c>
      <c r="AQ53" s="483" t="e">
        <f ca="1">_xll.ciqfunctions.udf.CIQ($X53, "IQ_PE_EXCL",IQ_LTM)</f>
        <v>#NAME?</v>
      </c>
      <c r="AR53" s="483" t="e">
        <f ca="1">_xll.ciqfunctions.udf.CIQ($X53, "IQ_MARKETCAP",Current_Date)/_xll.ciqfunctions.udf.CIQ($X53, "IQ_NI_EST",IQ_FY+1)</f>
        <v>#NAME?</v>
      </c>
      <c r="AS53" s="2"/>
      <c r="AT53" s="531" t="str">
        <f t="shared" si="39"/>
        <v>IQ1340740</v>
      </c>
      <c r="AU53" s="37"/>
      <c r="AV53" s="9" t="e">
        <f ca="1">_xll.ciqfunctions.udf.CIQ($AT53, "IQ_COMPANY_NAME",Current_Date)</f>
        <v>#NAME?</v>
      </c>
      <c r="AW53" s="9"/>
      <c r="AX53" s="64" t="str">
        <f>N97</f>
        <v>HON</v>
      </c>
      <c r="AY53" s="481" t="e">
        <f ca="1">_xll.ciqfunctions.udf.CIQ($AT53, "IQ_MARKETCAP",Current_Date)</f>
        <v>#NAME?</v>
      </c>
      <c r="AZ53" s="481" t="e">
        <f ca="1">_xll.ciqfunctions.udf.CIQ($AT53, "IQ_TEV",Current_Date)</f>
        <v>#NAME?</v>
      </c>
      <c r="BA53" s="479" t="e">
        <f ca="1">_xll.ciqfunctions.udf.CIQ($AT53, "IQ_TOTAL_REV_1YR_ANN_GROWTH",IQ_LTM,Current_Date)/100</f>
        <v>#NAME?</v>
      </c>
      <c r="BB53" s="479" t="e">
        <f ca="1">_xll.ciqfunctions.udf.CIQ($AT53,"IQ_REVENUE_EST",IQ_FY+1)/(_xll.ciqfunctions.udf.CIQ($AT53,"IQ_TOTAL_REV",IQ_FY))-1</f>
        <v>#NAME?</v>
      </c>
      <c r="BC53" s="479" t="e">
        <f ca="1">_xll.ciqfunctions.udf.CIQ($AT53, "IQ_EPS_1YR_ANN_GROWTH",IQ_LTM,Current_Date)/100</f>
        <v>#NAME?</v>
      </c>
      <c r="BD53" s="479" t="e">
        <f ca="1">_xll.ciqfunctions.udf.CIQ($AT53,"IQ_EPS_EST",IQ_FY+1)/(_xll.ciqfunctions.udf.CIQ($AT53,"IQ_DILUT_EPS_INCL",IQ_FY))-1</f>
        <v>#NAME?</v>
      </c>
      <c r="BE53" s="479" t="e">
        <f ca="1">_xll.ciqfunctions.udf.CIQ($AT53, "IQ_EBITDA_MARGIN",IQ_LTM)/100</f>
        <v>#NAME?</v>
      </c>
      <c r="BF53" s="479" t="e">
        <f ca="1">_xll.ciqfunctions.udf.CIQ($AT53,"IQ_EBITDA_EST",IQ_FY+1)/(_xll.ciqfunctions.udf.CIQ($AT53,"IQ_REVENUE_EST",IQ_FY+1))</f>
        <v>#NAME?</v>
      </c>
      <c r="BG53" s="479" t="e">
        <f ca="1">_xll.ciqfunctions.udf.CIQ($AT53, "IQ_NI_MARGIN",IQ_LTM)/100</f>
        <v>#NAME?</v>
      </c>
      <c r="BH53" s="479" t="e">
        <f ca="1">_xll.ciqfunctions.udf.CIQ($AT53,"IQ_NI_EST",IQ_FY+1)/(_xll.ciqfunctions.udf.CIQ($AT53,"IQ_REVENUE_EST",IQ_FY+1))</f>
        <v>#NAME?</v>
      </c>
      <c r="BI53" s="483" t="e">
        <f ca="1">_xll.ciqfunctions.udf.CIQ($AT53, "IQ_TEV_EBITDA",IQ_LTM)</f>
        <v>#NAME?</v>
      </c>
      <c r="BJ53" s="483" t="e">
        <f ca="1">_xll.ciqfunctions.udf.CIQ($AT53, "IQ_TEV",Current_Date)/_xll.ciqfunctions.udf.CIQ($AT53, "IQ_EBITDA_EST",IQ_FY+1)</f>
        <v>#NAME?</v>
      </c>
      <c r="BK53" s="483" t="e">
        <f ca="1">_xll.ciqfunctions.udf.CIQ($AT53, "IQ_TEV_TOTAL_REV",IQ_LTM)</f>
        <v>#NAME?</v>
      </c>
      <c r="BL53" s="483" t="e">
        <f ca="1">_xll.ciqfunctions.udf.CIQ($AT53, "IQ_TEV",Current_Date)/_xll.ciqfunctions.udf.CIQ($AT53, "IQ_REVENUE_EST",IQ_FY+1)</f>
        <v>#NAME?</v>
      </c>
      <c r="BM53" s="483" t="e">
        <f ca="1">_xll.ciqfunctions.udf.CIQ($AT53, "IQ_PE_EXCL",IQ_LTM)</f>
        <v>#NAME?</v>
      </c>
      <c r="BN53" s="483" t="e">
        <f ca="1">_xll.ciqfunctions.udf.CIQ($AT53, "IQ_MARKETCAP",Current_Date)/_xll.ciqfunctions.udf.CIQ($AT53, "IQ_NI_EST",IQ_FY+1)</f>
        <v>#NAME?</v>
      </c>
    </row>
    <row r="54" spans="1:66" ht="13.5" hidden="1" customHeight="1" outlineLevel="1" x14ac:dyDescent="0.25">
      <c r="A54" s="2"/>
      <c r="B54" s="531" t="str">
        <f t="shared" si="35"/>
        <v>IQ658776</v>
      </c>
      <c r="C54" s="531"/>
      <c r="D54" s="9" t="e">
        <f ca="1">_xll.ciqfunctions.udf.CIQ($B54, "IQ_COMPANY_NAME",Current_Date)</f>
        <v>#NAME?</v>
      </c>
      <c r="E54" s="9"/>
      <c r="F54" s="64" t="str">
        <f t="shared" si="36"/>
        <v>JPM</v>
      </c>
      <c r="G54" s="481" t="e">
        <f ca="1">_xll.ciqfunctions.udf.CIQ($B54, "IQ_MARKETCAP",Current_Date)</f>
        <v>#NAME?</v>
      </c>
      <c r="H54" s="481" t="e">
        <f ca="1">_xll.ciqfunctions.udf.CIQ($B54, "IQ_TEV",Current_Date)</f>
        <v>#NAME?</v>
      </c>
      <c r="I54" s="479" t="e">
        <f ca="1">_xll.ciqfunctions.udf.CIQ($B54, "IQ_TOTAL_REV_1YR_ANN_GROWTH",IQ_LTM,Current_Date)/100</f>
        <v>#NAME?</v>
      </c>
      <c r="J54" s="479" t="e">
        <f ca="1">_xll.ciqfunctions.udf.CIQ($B54,"IQ_REVENUE_EST",IQ_FY+1)/(_xll.ciqfunctions.udf.CIQ($B54,"IQ_TOTAL_REV",IQ_FY))-1</f>
        <v>#NAME?</v>
      </c>
      <c r="K54" s="479" t="e">
        <f ca="1">_xll.ciqfunctions.udf.CIQ($B54, "IQ_EPS_1YR_ANN_GROWTH",IQ_LTM,Current_Date)/100</f>
        <v>#NAME?</v>
      </c>
      <c r="L54" s="479" t="e">
        <f ca="1">_xll.ciqfunctions.udf.CIQ($B54,"IQ_EPS_EST",IQ_FY+1)/(_xll.ciqfunctions.udf.CIQ($B54,"IQ_DILUT_EPS_INCL",IQ_FY))-1</f>
        <v>#NAME?</v>
      </c>
      <c r="M54" s="479" t="e">
        <f ca="1">_xll.ciqfunctions.udf.CIQ($B54, "IQ_EBITDA_MARGIN",IQ_LTM)/100</f>
        <v>#NAME?</v>
      </c>
      <c r="N54" s="479" t="e">
        <f ca="1">_xll.ciqfunctions.udf.CIQ($B54,"IQ_EBITDA_EST",IQ_FY+1)/(_xll.ciqfunctions.udf.CIQ($B54,"IQ_REVENUE_EST",IQ_FY+1))</f>
        <v>#NAME?</v>
      </c>
      <c r="O54" s="479" t="e">
        <f ca="1">_xll.ciqfunctions.udf.CIQ($B54, "IQ_NI_MARGIN",IQ_LTM)/100</f>
        <v>#NAME?</v>
      </c>
      <c r="P54" s="479" t="e">
        <f ca="1">_xll.ciqfunctions.udf.CIQ($B54,"IQ_NI_EST",IQ_FY+1)/(_xll.ciqfunctions.udf.CIQ($B54,"IQ_REVENUE_EST",IQ_FY+1))</f>
        <v>#NAME?</v>
      </c>
      <c r="Q54" s="483" t="e">
        <f ca="1">_xll.ciqfunctions.udf.CIQ($B54, "IQ_TEV_EBITDA",IQ_LTM)</f>
        <v>#NAME?</v>
      </c>
      <c r="R54" s="483" t="e">
        <f ca="1">_xll.ciqfunctions.udf.CIQ($B54, "IQ_TEV",Current_Date)/_xll.ciqfunctions.udf.CIQ($B54, "IQ_EBITDA_EST",IQ_FY+1)</f>
        <v>#NAME?</v>
      </c>
      <c r="S54" s="483" t="e">
        <f ca="1">_xll.ciqfunctions.udf.CIQ($B54, "IQ_TEV_TOTAL_REV",IQ_LTM)</f>
        <v>#NAME?</v>
      </c>
      <c r="T54" s="483" t="e">
        <f ca="1">_xll.ciqfunctions.udf.CIQ($B54, "IQ_TEV",Current_Date)/_xll.ciqfunctions.udf.CIQ($B54, "IQ_REVENUE_EST",IQ_FY+1)</f>
        <v>#NAME?</v>
      </c>
      <c r="U54" s="483" t="e">
        <f ca="1">_xll.ciqfunctions.udf.CIQ($B54, "IQ_PE_EXCL",IQ_LTM)</f>
        <v>#NAME?</v>
      </c>
      <c r="V54" s="483" t="e">
        <f ca="1">_xll.ciqfunctions.udf.CIQ($B54, "IQ_MARKETCAP",Current_Date)/_xll.ciqfunctions.udf.CIQ($B54, "IQ_NI_EST",IQ_FY+1)</f>
        <v>#NAME?</v>
      </c>
      <c r="W54" s="9"/>
      <c r="X54" s="531" t="str">
        <f t="shared" si="37"/>
        <v>IQ285827</v>
      </c>
      <c r="Y54" s="37"/>
      <c r="Z54" s="9" t="e">
        <f ca="1">_xll.ciqfunctions.udf.CIQ($X54, "IQ_COMPANY_NAME",Current_Date)</f>
        <v>#NAME?</v>
      </c>
      <c r="AA54" s="9"/>
      <c r="AB54" s="64" t="str">
        <f t="shared" si="38"/>
        <v>LMT</v>
      </c>
      <c r="AC54" s="481" t="e">
        <f ca="1">_xll.ciqfunctions.udf.CIQ($X54, "IQ_MARKETCAP",Current_Date)</f>
        <v>#NAME?</v>
      </c>
      <c r="AD54" s="481" t="e">
        <f ca="1">_xll.ciqfunctions.udf.CIQ($X54, "IQ_TEV",Current_Date)</f>
        <v>#NAME?</v>
      </c>
      <c r="AE54" s="479" t="e">
        <f ca="1">_xll.ciqfunctions.udf.CIQ($X54, "IQ_TOTAL_REV_1YR_ANN_GROWTH",IQ_LTM,Current_Date)/100</f>
        <v>#NAME?</v>
      </c>
      <c r="AF54" s="479" t="e">
        <f ca="1">_xll.ciqfunctions.udf.CIQ($X54,"IQ_REVENUE_EST",IQ_FY+1)/(_xll.ciqfunctions.udf.CIQ($X54,"IQ_TOTAL_REV",IQ_FY))-1</f>
        <v>#NAME?</v>
      </c>
      <c r="AG54" s="479" t="e">
        <f ca="1">_xll.ciqfunctions.udf.CIQ($X54, "IQ_EPS_1YR_ANN_GROWTH",IQ_LTM,Current_Date)/100</f>
        <v>#NAME?</v>
      </c>
      <c r="AH54" s="479" t="e">
        <f ca="1">_xll.ciqfunctions.udf.CIQ($X54,"IQ_EPS_EST",IQ_FY+1)/(_xll.ciqfunctions.udf.CIQ($X54,"IQ_DILUT_EPS_INCL",IQ_FY))-1</f>
        <v>#NAME?</v>
      </c>
      <c r="AI54" s="479" t="e">
        <f ca="1">_xll.ciqfunctions.udf.CIQ($X54, "IQ_EBITDA_MARGIN",IQ_LTM)/100</f>
        <v>#NAME?</v>
      </c>
      <c r="AJ54" s="479" t="e">
        <f ca="1">_xll.ciqfunctions.udf.CIQ($X54,"IQ_EBITDA_EST",IQ_FY+1)/(_xll.ciqfunctions.udf.CIQ($X54,"IQ_REVENUE_EST",IQ_FY+1))</f>
        <v>#NAME?</v>
      </c>
      <c r="AK54" s="479" t="e">
        <f ca="1">_xll.ciqfunctions.udf.CIQ($X54, "IQ_NI_MARGIN",IQ_LTM)/100</f>
        <v>#NAME?</v>
      </c>
      <c r="AL54" s="479" t="e">
        <f ca="1">_xll.ciqfunctions.udf.CIQ($X54,"IQ_NI_EST",IQ_FY+1)/(_xll.ciqfunctions.udf.CIQ($X54,"IQ_REVENUE_EST",IQ_FY+1))</f>
        <v>#NAME?</v>
      </c>
      <c r="AM54" s="483" t="e">
        <f ca="1">_xll.ciqfunctions.udf.CIQ($X54, "IQ_TEV_EBITDA",IQ_LTM)</f>
        <v>#NAME?</v>
      </c>
      <c r="AN54" s="483" t="e">
        <f ca="1">_xll.ciqfunctions.udf.CIQ($X54, "IQ_TEV",Current_Date)/_xll.ciqfunctions.udf.CIQ($X54, "IQ_EBITDA_EST",IQ_FY+1)</f>
        <v>#NAME?</v>
      </c>
      <c r="AO54" s="483" t="e">
        <f ca="1">_xll.ciqfunctions.udf.CIQ($X54, "IQ_TEV_TOTAL_REV",IQ_LTM)</f>
        <v>#NAME?</v>
      </c>
      <c r="AP54" s="483" t="e">
        <f ca="1">_xll.ciqfunctions.udf.CIQ($X54, "IQ_TEV",Current_Date)/_xll.ciqfunctions.udf.CIQ($X54, "IQ_REVENUE_EST",IQ_FY+1)</f>
        <v>#NAME?</v>
      </c>
      <c r="AQ54" s="483" t="e">
        <f ca="1">_xll.ciqfunctions.udf.CIQ($X54, "IQ_PE_EXCL",IQ_LTM)</f>
        <v>#NAME?</v>
      </c>
      <c r="AR54" s="483" t="e">
        <f ca="1">_xll.ciqfunctions.udf.CIQ($X54, "IQ_MARKETCAP",Current_Date)/_xll.ciqfunctions.udf.CIQ($X54, "IQ_NI_EST",IQ_FY+1)</f>
        <v>#NAME?</v>
      </c>
      <c r="AS54" s="2"/>
      <c r="AT54" s="531" t="str">
        <f t="shared" si="39"/>
        <v>IQ22751</v>
      </c>
      <c r="AU54" s="37"/>
      <c r="AV54" s="9" t="e">
        <f ca="1">_xll.ciqfunctions.udf.CIQ($AT54, "IQ_COMPANY_NAME",Current_Date)</f>
        <v>#NAME?</v>
      </c>
      <c r="AW54" s="9"/>
      <c r="AX54" s="64" t="str">
        <f>N101</f>
        <v>ROP</v>
      </c>
      <c r="AY54" s="481" t="e">
        <f ca="1">_xll.ciqfunctions.udf.CIQ($AT54, "IQ_MARKETCAP",Current_Date)</f>
        <v>#NAME?</v>
      </c>
      <c r="AZ54" s="481" t="e">
        <f ca="1">_xll.ciqfunctions.udf.CIQ($AT54, "IQ_TEV",Current_Date)</f>
        <v>#NAME?</v>
      </c>
      <c r="BA54" s="479" t="e">
        <f ca="1">_xll.ciqfunctions.udf.CIQ($AT54, "IQ_TOTAL_REV_1YR_ANN_GROWTH",IQ_LTM,Current_Date)/100</f>
        <v>#NAME?</v>
      </c>
      <c r="BB54" s="479" t="e">
        <f ca="1">_xll.ciqfunctions.udf.CIQ($AT54,"IQ_REVENUE_EST",IQ_FY+1)/(_xll.ciqfunctions.udf.CIQ($AT54,"IQ_TOTAL_REV",IQ_FY))-1</f>
        <v>#NAME?</v>
      </c>
      <c r="BC54" s="479" t="e">
        <f ca="1">_xll.ciqfunctions.udf.CIQ($AT54, "IQ_EPS_1YR_ANN_GROWTH",IQ_LTM,Current_Date)/100</f>
        <v>#NAME?</v>
      </c>
      <c r="BD54" s="479" t="e">
        <f ca="1">_xll.ciqfunctions.udf.CIQ($AT54,"IQ_EPS_EST",IQ_FY+1)/(_xll.ciqfunctions.udf.CIQ($AT54,"IQ_DILUT_EPS_INCL",IQ_FY))-1</f>
        <v>#NAME?</v>
      </c>
      <c r="BE54" s="479" t="e">
        <f ca="1">_xll.ciqfunctions.udf.CIQ($AT54, "IQ_EBITDA_MARGIN",IQ_LTM)/100</f>
        <v>#NAME?</v>
      </c>
      <c r="BF54" s="479" t="e">
        <f ca="1">_xll.ciqfunctions.udf.CIQ($AT54,"IQ_EBITDA_EST",IQ_FY+1)/(_xll.ciqfunctions.udf.CIQ($AT54,"IQ_REVENUE_EST",IQ_FY+1))</f>
        <v>#NAME?</v>
      </c>
      <c r="BG54" s="479" t="e">
        <f ca="1">_xll.ciqfunctions.udf.CIQ($AT54, "IQ_NI_MARGIN",IQ_LTM)/100</f>
        <v>#NAME?</v>
      </c>
      <c r="BH54" s="479" t="e">
        <f ca="1">_xll.ciqfunctions.udf.CIQ($AT54,"IQ_NI_EST",IQ_FY+1)/(_xll.ciqfunctions.udf.CIQ($AT54,"IQ_REVENUE_EST",IQ_FY+1))</f>
        <v>#NAME?</v>
      </c>
      <c r="BI54" s="483" t="e">
        <f ca="1">_xll.ciqfunctions.udf.CIQ($AT54, "IQ_TEV_EBITDA",IQ_LTM)</f>
        <v>#NAME?</v>
      </c>
      <c r="BJ54" s="483" t="e">
        <f ca="1">_xll.ciqfunctions.udf.CIQ($AT54, "IQ_TEV",Current_Date)/_xll.ciqfunctions.udf.CIQ($AT54, "IQ_EBITDA_EST",IQ_FY+1)</f>
        <v>#NAME?</v>
      </c>
      <c r="BK54" s="483" t="e">
        <f ca="1">_xll.ciqfunctions.udf.CIQ($AT54, "IQ_TEV_TOTAL_REV",IQ_LTM)</f>
        <v>#NAME?</v>
      </c>
      <c r="BL54" s="483" t="e">
        <f ca="1">_xll.ciqfunctions.udf.CIQ($AT54, "IQ_TEV",Current_Date)/_xll.ciqfunctions.udf.CIQ($AT54, "IQ_REVENUE_EST",IQ_FY+1)</f>
        <v>#NAME?</v>
      </c>
      <c r="BM54" s="483" t="e">
        <f ca="1">_xll.ciqfunctions.udf.CIQ($AT54, "IQ_PE_EXCL",IQ_LTM)</f>
        <v>#NAME?</v>
      </c>
      <c r="BN54" s="483" t="e">
        <f ca="1">_xll.ciqfunctions.udf.CIQ($AT54, "IQ_MARKETCAP",Current_Date)/_xll.ciqfunctions.udf.CIQ($AT54, "IQ_NI_EST",IQ_FY+1)</f>
        <v>#NAME?</v>
      </c>
    </row>
    <row r="55" spans="1:66" ht="13.5" hidden="1" customHeight="1" outlineLevel="1" x14ac:dyDescent="0.25">
      <c r="A55" s="2"/>
      <c r="B55" s="2"/>
      <c r="C55" s="2"/>
      <c r="D55" s="9"/>
      <c r="E55" s="9"/>
      <c r="F55" s="64"/>
      <c r="G55" s="64"/>
      <c r="H55" s="64"/>
      <c r="I55" s="64"/>
      <c r="J55" s="64"/>
      <c r="K55" s="64"/>
      <c r="L55" s="64"/>
      <c r="M55" s="64"/>
      <c r="N55" s="64"/>
      <c r="O55" s="64"/>
      <c r="P55" s="64"/>
      <c r="Q55" s="64"/>
      <c r="R55" s="64"/>
      <c r="S55" s="154"/>
      <c r="T55" s="64"/>
      <c r="U55" s="64"/>
      <c r="V55" s="64"/>
      <c r="W55" s="9"/>
      <c r="X55" s="2"/>
      <c r="Y55" s="37"/>
      <c r="Z55" s="9"/>
      <c r="AA55" s="9"/>
      <c r="AB55" s="64"/>
      <c r="AC55" s="64"/>
      <c r="AD55" s="64"/>
      <c r="AE55" s="64"/>
      <c r="AF55" s="64"/>
      <c r="AG55" s="64"/>
      <c r="AH55" s="64"/>
      <c r="AI55" s="64"/>
      <c r="AJ55" s="64"/>
      <c r="AK55" s="64"/>
      <c r="AL55" s="64"/>
      <c r="AM55" s="64"/>
      <c r="AN55" s="64"/>
      <c r="AO55" s="154"/>
      <c r="AP55" s="64"/>
      <c r="AQ55" s="64"/>
      <c r="AR55" s="64"/>
      <c r="AS55" s="2"/>
      <c r="AT55" s="2"/>
      <c r="AU55" s="37"/>
      <c r="AV55" s="9"/>
      <c r="AW55" s="9"/>
      <c r="AX55" s="64"/>
      <c r="AY55" s="64"/>
      <c r="AZ55" s="64"/>
      <c r="BA55" s="64"/>
      <c r="BB55" s="64"/>
      <c r="BC55" s="64"/>
      <c r="BD55" s="64"/>
      <c r="BE55" s="64"/>
      <c r="BF55" s="64"/>
      <c r="BG55" s="64"/>
      <c r="BH55" s="64"/>
      <c r="BI55" s="64"/>
      <c r="BJ55" s="64"/>
      <c r="BK55" s="154"/>
      <c r="BL55" s="64"/>
      <c r="BM55" s="64"/>
      <c r="BN55" s="64"/>
    </row>
    <row r="56" spans="1:66" ht="13.5" hidden="1" customHeight="1" outlineLevel="1" x14ac:dyDescent="0.25">
      <c r="A56" s="2"/>
      <c r="B56" s="2"/>
      <c r="C56" s="2"/>
      <c r="D56" s="540" t="str">
        <f>D17</f>
        <v>High</v>
      </c>
      <c r="E56" s="541"/>
      <c r="F56" s="542"/>
      <c r="G56" s="543" t="e">
        <f t="shared" ref="G56:V56" ca="1" si="40">MAX(G51:G54)</f>
        <v>#NAME?</v>
      </c>
      <c r="H56" s="543" t="e">
        <f t="shared" ca="1" si="40"/>
        <v>#NAME?</v>
      </c>
      <c r="I56" s="544" t="e">
        <f t="shared" ca="1" si="40"/>
        <v>#NAME?</v>
      </c>
      <c r="J56" s="544" t="e">
        <f t="shared" ca="1" si="40"/>
        <v>#NAME?</v>
      </c>
      <c r="K56" s="544" t="e">
        <f t="shared" ca="1" si="40"/>
        <v>#NAME?</v>
      </c>
      <c r="L56" s="544" t="e">
        <f t="shared" ca="1" si="40"/>
        <v>#NAME?</v>
      </c>
      <c r="M56" s="544" t="e">
        <f t="shared" ca="1" si="40"/>
        <v>#NAME?</v>
      </c>
      <c r="N56" s="544" t="e">
        <f t="shared" ca="1" si="40"/>
        <v>#NAME?</v>
      </c>
      <c r="O56" s="544" t="e">
        <f t="shared" ca="1" si="40"/>
        <v>#NAME?</v>
      </c>
      <c r="P56" s="544" t="e">
        <f t="shared" ca="1" si="40"/>
        <v>#NAME?</v>
      </c>
      <c r="Q56" s="545" t="e">
        <f t="shared" ca="1" si="40"/>
        <v>#NAME?</v>
      </c>
      <c r="R56" s="546" t="e">
        <f t="shared" ca="1" si="40"/>
        <v>#NAME?</v>
      </c>
      <c r="S56" s="546" t="e">
        <f t="shared" ca="1" si="40"/>
        <v>#NAME?</v>
      </c>
      <c r="T56" s="546" t="e">
        <f t="shared" ca="1" si="40"/>
        <v>#NAME?</v>
      </c>
      <c r="U56" s="546" t="e">
        <f t="shared" ca="1" si="40"/>
        <v>#NAME?</v>
      </c>
      <c r="V56" s="547" t="e">
        <f t="shared" ca="1" si="40"/>
        <v>#NAME?</v>
      </c>
      <c r="W56" s="9"/>
      <c r="X56" s="2"/>
      <c r="Y56" s="37"/>
      <c r="Z56" s="540" t="str">
        <f>Z17</f>
        <v>High</v>
      </c>
      <c r="AA56" s="541"/>
      <c r="AB56" s="542"/>
      <c r="AC56" s="543" t="e">
        <f t="shared" ref="AC56:AR56" ca="1" si="41">MAX(AC51:AC54)</f>
        <v>#NAME?</v>
      </c>
      <c r="AD56" s="543" t="e">
        <f t="shared" ca="1" si="41"/>
        <v>#NAME?</v>
      </c>
      <c r="AE56" s="544" t="e">
        <f t="shared" ca="1" si="41"/>
        <v>#NAME?</v>
      </c>
      <c r="AF56" s="544" t="e">
        <f t="shared" ca="1" si="41"/>
        <v>#NAME?</v>
      </c>
      <c r="AG56" s="544" t="e">
        <f t="shared" ca="1" si="41"/>
        <v>#NAME?</v>
      </c>
      <c r="AH56" s="544" t="e">
        <f t="shared" ca="1" si="41"/>
        <v>#NAME?</v>
      </c>
      <c r="AI56" s="544" t="e">
        <f t="shared" ca="1" si="41"/>
        <v>#NAME?</v>
      </c>
      <c r="AJ56" s="544" t="e">
        <f t="shared" ca="1" si="41"/>
        <v>#NAME?</v>
      </c>
      <c r="AK56" s="544" t="e">
        <f t="shared" ca="1" si="41"/>
        <v>#NAME?</v>
      </c>
      <c r="AL56" s="544" t="e">
        <f t="shared" ca="1" si="41"/>
        <v>#NAME?</v>
      </c>
      <c r="AM56" s="545" t="e">
        <f t="shared" ca="1" si="41"/>
        <v>#NAME?</v>
      </c>
      <c r="AN56" s="546" t="e">
        <f t="shared" ca="1" si="41"/>
        <v>#NAME?</v>
      </c>
      <c r="AO56" s="546" t="e">
        <f t="shared" ca="1" si="41"/>
        <v>#NAME?</v>
      </c>
      <c r="AP56" s="546" t="e">
        <f t="shared" ca="1" si="41"/>
        <v>#NAME?</v>
      </c>
      <c r="AQ56" s="546" t="e">
        <f t="shared" ca="1" si="41"/>
        <v>#NAME?</v>
      </c>
      <c r="AR56" s="547" t="e">
        <f t="shared" ca="1" si="41"/>
        <v>#NAME?</v>
      </c>
      <c r="AS56" s="2"/>
      <c r="AT56" s="2"/>
      <c r="AU56" s="37"/>
      <c r="AV56" s="540" t="str">
        <f>AV17</f>
        <v>High</v>
      </c>
      <c r="AW56" s="541"/>
      <c r="AX56" s="542"/>
      <c r="AY56" s="543" t="e">
        <f t="shared" ref="AY56:BN56" ca="1" si="42">MAX(AY51:AY54)</f>
        <v>#NAME?</v>
      </c>
      <c r="AZ56" s="543" t="e">
        <f t="shared" ca="1" si="42"/>
        <v>#NAME?</v>
      </c>
      <c r="BA56" s="544" t="e">
        <f t="shared" ca="1" si="42"/>
        <v>#NAME?</v>
      </c>
      <c r="BB56" s="544" t="e">
        <f t="shared" ca="1" si="42"/>
        <v>#NAME?</v>
      </c>
      <c r="BC56" s="544" t="e">
        <f t="shared" ca="1" si="42"/>
        <v>#NAME?</v>
      </c>
      <c r="BD56" s="544" t="e">
        <f t="shared" ca="1" si="42"/>
        <v>#NAME?</v>
      </c>
      <c r="BE56" s="544" t="e">
        <f t="shared" ca="1" si="42"/>
        <v>#NAME?</v>
      </c>
      <c r="BF56" s="544" t="e">
        <f t="shared" ca="1" si="42"/>
        <v>#NAME?</v>
      </c>
      <c r="BG56" s="544" t="e">
        <f t="shared" ca="1" si="42"/>
        <v>#NAME?</v>
      </c>
      <c r="BH56" s="544" t="e">
        <f t="shared" ca="1" si="42"/>
        <v>#NAME?</v>
      </c>
      <c r="BI56" s="545" t="e">
        <f t="shared" ca="1" si="42"/>
        <v>#NAME?</v>
      </c>
      <c r="BJ56" s="546" t="e">
        <f t="shared" ca="1" si="42"/>
        <v>#NAME?</v>
      </c>
      <c r="BK56" s="546" t="e">
        <f t="shared" ca="1" si="42"/>
        <v>#NAME?</v>
      </c>
      <c r="BL56" s="546" t="e">
        <f t="shared" ca="1" si="42"/>
        <v>#NAME?</v>
      </c>
      <c r="BM56" s="546" t="e">
        <f t="shared" ca="1" si="42"/>
        <v>#NAME?</v>
      </c>
      <c r="BN56" s="547" t="e">
        <f t="shared" ca="1" si="42"/>
        <v>#NAME?</v>
      </c>
    </row>
    <row r="57" spans="1:66" ht="13.5" hidden="1" customHeight="1" outlineLevel="1" x14ac:dyDescent="0.25">
      <c r="A57" s="2"/>
      <c r="B57" s="2"/>
      <c r="C57" s="2"/>
      <c r="D57" s="548" t="str">
        <f>D18</f>
        <v>Mean</v>
      </c>
      <c r="E57" s="549"/>
      <c r="F57" s="550"/>
      <c r="G57" s="551" t="e">
        <f t="shared" ref="G57:V57" ca="1" si="43">AVERAGE(G51:G54)</f>
        <v>#NAME?</v>
      </c>
      <c r="H57" s="551" t="e">
        <f t="shared" ca="1" si="43"/>
        <v>#NAME?</v>
      </c>
      <c r="I57" s="552" t="e">
        <f t="shared" ca="1" si="43"/>
        <v>#NAME?</v>
      </c>
      <c r="J57" s="552" t="e">
        <f t="shared" ca="1" si="43"/>
        <v>#NAME?</v>
      </c>
      <c r="K57" s="552" t="e">
        <f t="shared" ca="1" si="43"/>
        <v>#NAME?</v>
      </c>
      <c r="L57" s="552" t="e">
        <f t="shared" ca="1" si="43"/>
        <v>#NAME?</v>
      </c>
      <c r="M57" s="552" t="e">
        <f t="shared" ca="1" si="43"/>
        <v>#NAME?</v>
      </c>
      <c r="N57" s="552" t="e">
        <f t="shared" ca="1" si="43"/>
        <v>#NAME?</v>
      </c>
      <c r="O57" s="552" t="e">
        <f t="shared" ca="1" si="43"/>
        <v>#NAME?</v>
      </c>
      <c r="P57" s="552" t="e">
        <f t="shared" ca="1" si="43"/>
        <v>#NAME?</v>
      </c>
      <c r="Q57" s="553" t="e">
        <f t="shared" ca="1" si="43"/>
        <v>#NAME?</v>
      </c>
      <c r="R57" s="554" t="e">
        <f t="shared" ca="1" si="43"/>
        <v>#NAME?</v>
      </c>
      <c r="S57" s="554" t="e">
        <f t="shared" ca="1" si="43"/>
        <v>#NAME?</v>
      </c>
      <c r="T57" s="554" t="e">
        <f t="shared" ca="1" si="43"/>
        <v>#NAME?</v>
      </c>
      <c r="U57" s="554" t="e">
        <f t="shared" ca="1" si="43"/>
        <v>#NAME?</v>
      </c>
      <c r="V57" s="555" t="e">
        <f t="shared" ca="1" si="43"/>
        <v>#NAME?</v>
      </c>
      <c r="W57" s="9"/>
      <c r="X57" s="2"/>
      <c r="Y57" s="37"/>
      <c r="Z57" s="548" t="str">
        <f>Z18</f>
        <v>Mean</v>
      </c>
      <c r="AA57" s="549"/>
      <c r="AB57" s="550"/>
      <c r="AC57" s="551" t="e">
        <f t="shared" ref="AC57:AR57" ca="1" si="44">AVERAGE(AC51:AC54)</f>
        <v>#NAME?</v>
      </c>
      <c r="AD57" s="551" t="e">
        <f t="shared" ca="1" si="44"/>
        <v>#NAME?</v>
      </c>
      <c r="AE57" s="552" t="e">
        <f t="shared" ca="1" si="44"/>
        <v>#NAME?</v>
      </c>
      <c r="AF57" s="552" t="e">
        <f t="shared" ca="1" si="44"/>
        <v>#NAME?</v>
      </c>
      <c r="AG57" s="552" t="e">
        <f t="shared" ca="1" si="44"/>
        <v>#NAME?</v>
      </c>
      <c r="AH57" s="552" t="e">
        <f t="shared" ca="1" si="44"/>
        <v>#NAME?</v>
      </c>
      <c r="AI57" s="552" t="e">
        <f t="shared" ca="1" si="44"/>
        <v>#NAME?</v>
      </c>
      <c r="AJ57" s="552" t="e">
        <f t="shared" ca="1" si="44"/>
        <v>#NAME?</v>
      </c>
      <c r="AK57" s="552" t="e">
        <f t="shared" ca="1" si="44"/>
        <v>#NAME?</v>
      </c>
      <c r="AL57" s="552" t="e">
        <f t="shared" ca="1" si="44"/>
        <v>#NAME?</v>
      </c>
      <c r="AM57" s="553" t="e">
        <f t="shared" ca="1" si="44"/>
        <v>#NAME?</v>
      </c>
      <c r="AN57" s="554" t="e">
        <f t="shared" ca="1" si="44"/>
        <v>#NAME?</v>
      </c>
      <c r="AO57" s="554" t="e">
        <f t="shared" ca="1" si="44"/>
        <v>#NAME?</v>
      </c>
      <c r="AP57" s="554" t="e">
        <f t="shared" ca="1" si="44"/>
        <v>#NAME?</v>
      </c>
      <c r="AQ57" s="554" t="e">
        <f t="shared" ca="1" si="44"/>
        <v>#NAME?</v>
      </c>
      <c r="AR57" s="555" t="e">
        <f t="shared" ca="1" si="44"/>
        <v>#NAME?</v>
      </c>
      <c r="AS57" s="2"/>
      <c r="AT57" s="2"/>
      <c r="AU57" s="37"/>
      <c r="AV57" s="548" t="str">
        <f>AV18</f>
        <v>Mean</v>
      </c>
      <c r="AW57" s="549"/>
      <c r="AX57" s="550"/>
      <c r="AY57" s="551" t="e">
        <f t="shared" ref="AY57:BN57" ca="1" si="45">AVERAGE(AY51:AY54)</f>
        <v>#NAME?</v>
      </c>
      <c r="AZ57" s="551" t="e">
        <f t="shared" ca="1" si="45"/>
        <v>#NAME?</v>
      </c>
      <c r="BA57" s="552" t="e">
        <f t="shared" ca="1" si="45"/>
        <v>#NAME?</v>
      </c>
      <c r="BB57" s="552" t="e">
        <f t="shared" ca="1" si="45"/>
        <v>#NAME?</v>
      </c>
      <c r="BC57" s="552" t="e">
        <f t="shared" ca="1" si="45"/>
        <v>#NAME?</v>
      </c>
      <c r="BD57" s="552" t="e">
        <f t="shared" ca="1" si="45"/>
        <v>#NAME?</v>
      </c>
      <c r="BE57" s="552" t="e">
        <f t="shared" ca="1" si="45"/>
        <v>#NAME?</v>
      </c>
      <c r="BF57" s="552" t="e">
        <f t="shared" ca="1" si="45"/>
        <v>#NAME?</v>
      </c>
      <c r="BG57" s="552" t="e">
        <f t="shared" ca="1" si="45"/>
        <v>#NAME?</v>
      </c>
      <c r="BH57" s="552" t="e">
        <f t="shared" ca="1" si="45"/>
        <v>#NAME?</v>
      </c>
      <c r="BI57" s="553" t="e">
        <f t="shared" ca="1" si="45"/>
        <v>#NAME?</v>
      </c>
      <c r="BJ57" s="554" t="e">
        <f t="shared" ca="1" si="45"/>
        <v>#NAME?</v>
      </c>
      <c r="BK57" s="554" t="e">
        <f t="shared" ca="1" si="45"/>
        <v>#NAME?</v>
      </c>
      <c r="BL57" s="554" t="e">
        <f t="shared" ca="1" si="45"/>
        <v>#NAME?</v>
      </c>
      <c r="BM57" s="554" t="e">
        <f t="shared" ca="1" si="45"/>
        <v>#NAME?</v>
      </c>
      <c r="BN57" s="555" t="e">
        <f t="shared" ca="1" si="45"/>
        <v>#NAME?</v>
      </c>
    </row>
    <row r="58" spans="1:66" ht="13.5" hidden="1" customHeight="1" outlineLevel="1" x14ac:dyDescent="0.25">
      <c r="A58" s="2"/>
      <c r="B58" s="2"/>
      <c r="C58" s="2"/>
      <c r="D58" s="548" t="str">
        <f>D19</f>
        <v>Median</v>
      </c>
      <c r="E58" s="549"/>
      <c r="F58" s="549"/>
      <c r="G58" s="551" t="e">
        <f t="shared" ref="G58:V58" ca="1" si="46">MEDIAN(G51:G54)</f>
        <v>#NAME?</v>
      </c>
      <c r="H58" s="551" t="e">
        <f t="shared" ca="1" si="46"/>
        <v>#NAME?</v>
      </c>
      <c r="I58" s="552" t="e">
        <f t="shared" ca="1" si="46"/>
        <v>#NAME?</v>
      </c>
      <c r="J58" s="552" t="e">
        <f t="shared" ca="1" si="46"/>
        <v>#NAME?</v>
      </c>
      <c r="K58" s="552" t="e">
        <f t="shared" ca="1" si="46"/>
        <v>#NAME?</v>
      </c>
      <c r="L58" s="552" t="e">
        <f t="shared" ca="1" si="46"/>
        <v>#NAME?</v>
      </c>
      <c r="M58" s="552" t="e">
        <f t="shared" ca="1" si="46"/>
        <v>#NAME?</v>
      </c>
      <c r="N58" s="552" t="e">
        <f t="shared" ca="1" si="46"/>
        <v>#NAME?</v>
      </c>
      <c r="O58" s="552" t="e">
        <f t="shared" ca="1" si="46"/>
        <v>#NAME?</v>
      </c>
      <c r="P58" s="552" t="e">
        <f t="shared" ca="1" si="46"/>
        <v>#NAME?</v>
      </c>
      <c r="Q58" s="553" t="e">
        <f t="shared" ca="1" si="46"/>
        <v>#NAME?</v>
      </c>
      <c r="R58" s="554" t="e">
        <f t="shared" ca="1" si="46"/>
        <v>#NAME?</v>
      </c>
      <c r="S58" s="554" t="e">
        <f t="shared" ca="1" si="46"/>
        <v>#NAME?</v>
      </c>
      <c r="T58" s="554" t="e">
        <f t="shared" ca="1" si="46"/>
        <v>#NAME?</v>
      </c>
      <c r="U58" s="554" t="e">
        <f t="shared" ca="1" si="46"/>
        <v>#NAME?</v>
      </c>
      <c r="V58" s="555" t="e">
        <f t="shared" ca="1" si="46"/>
        <v>#NAME?</v>
      </c>
      <c r="W58" s="9"/>
      <c r="X58" s="2"/>
      <c r="Y58" s="37"/>
      <c r="Z58" s="548" t="str">
        <f>Z19</f>
        <v>Median</v>
      </c>
      <c r="AA58" s="549"/>
      <c r="AB58" s="549"/>
      <c r="AC58" s="551" t="e">
        <f t="shared" ref="AC58:AR58" ca="1" si="47">MEDIAN(AC51:AC54)</f>
        <v>#NAME?</v>
      </c>
      <c r="AD58" s="551" t="e">
        <f t="shared" ca="1" si="47"/>
        <v>#NAME?</v>
      </c>
      <c r="AE58" s="552" t="e">
        <f t="shared" ca="1" si="47"/>
        <v>#NAME?</v>
      </c>
      <c r="AF58" s="552" t="e">
        <f t="shared" ca="1" si="47"/>
        <v>#NAME?</v>
      </c>
      <c r="AG58" s="552" t="e">
        <f t="shared" ca="1" si="47"/>
        <v>#NAME?</v>
      </c>
      <c r="AH58" s="552" t="e">
        <f t="shared" ca="1" si="47"/>
        <v>#NAME?</v>
      </c>
      <c r="AI58" s="552" t="e">
        <f t="shared" ca="1" si="47"/>
        <v>#NAME?</v>
      </c>
      <c r="AJ58" s="552" t="e">
        <f t="shared" ca="1" si="47"/>
        <v>#NAME?</v>
      </c>
      <c r="AK58" s="552" t="e">
        <f t="shared" ca="1" si="47"/>
        <v>#NAME?</v>
      </c>
      <c r="AL58" s="552" t="e">
        <f t="shared" ca="1" si="47"/>
        <v>#NAME?</v>
      </c>
      <c r="AM58" s="553" t="e">
        <f t="shared" ca="1" si="47"/>
        <v>#NAME?</v>
      </c>
      <c r="AN58" s="554" t="e">
        <f t="shared" ca="1" si="47"/>
        <v>#NAME?</v>
      </c>
      <c r="AO58" s="554" t="e">
        <f t="shared" ca="1" si="47"/>
        <v>#NAME?</v>
      </c>
      <c r="AP58" s="554" t="e">
        <f t="shared" ca="1" si="47"/>
        <v>#NAME?</v>
      </c>
      <c r="AQ58" s="554" t="e">
        <f t="shared" ca="1" si="47"/>
        <v>#NAME?</v>
      </c>
      <c r="AR58" s="555" t="e">
        <f t="shared" ca="1" si="47"/>
        <v>#NAME?</v>
      </c>
      <c r="AS58" s="2"/>
      <c r="AT58" s="2"/>
      <c r="AU58" s="37"/>
      <c r="AV58" s="548" t="str">
        <f>AV19</f>
        <v>Median</v>
      </c>
      <c r="AW58" s="549"/>
      <c r="AX58" s="549"/>
      <c r="AY58" s="551" t="e">
        <f t="shared" ref="AY58:BN58" ca="1" si="48">MEDIAN(AY51:AY54)</f>
        <v>#NAME?</v>
      </c>
      <c r="AZ58" s="551" t="e">
        <f t="shared" ca="1" si="48"/>
        <v>#NAME?</v>
      </c>
      <c r="BA58" s="552" t="e">
        <f t="shared" ca="1" si="48"/>
        <v>#NAME?</v>
      </c>
      <c r="BB58" s="552" t="e">
        <f t="shared" ca="1" si="48"/>
        <v>#NAME?</v>
      </c>
      <c r="BC58" s="552" t="e">
        <f t="shared" ca="1" si="48"/>
        <v>#NAME?</v>
      </c>
      <c r="BD58" s="552" t="e">
        <f t="shared" ca="1" si="48"/>
        <v>#NAME?</v>
      </c>
      <c r="BE58" s="552" t="e">
        <f t="shared" ca="1" si="48"/>
        <v>#NAME?</v>
      </c>
      <c r="BF58" s="552" t="e">
        <f t="shared" ca="1" si="48"/>
        <v>#NAME?</v>
      </c>
      <c r="BG58" s="552" t="e">
        <f t="shared" ca="1" si="48"/>
        <v>#NAME?</v>
      </c>
      <c r="BH58" s="552" t="e">
        <f t="shared" ca="1" si="48"/>
        <v>#NAME?</v>
      </c>
      <c r="BI58" s="553" t="e">
        <f t="shared" ca="1" si="48"/>
        <v>#NAME?</v>
      </c>
      <c r="BJ58" s="554" t="e">
        <f t="shared" ca="1" si="48"/>
        <v>#NAME?</v>
      </c>
      <c r="BK58" s="554" t="e">
        <f t="shared" ca="1" si="48"/>
        <v>#NAME?</v>
      </c>
      <c r="BL58" s="554" t="e">
        <f t="shared" ca="1" si="48"/>
        <v>#NAME?</v>
      </c>
      <c r="BM58" s="554" t="e">
        <f t="shared" ca="1" si="48"/>
        <v>#NAME?</v>
      </c>
      <c r="BN58" s="555" t="e">
        <f t="shared" ca="1" si="48"/>
        <v>#NAME?</v>
      </c>
    </row>
    <row r="59" spans="1:66" ht="13.5" hidden="1" customHeight="1" outlineLevel="1" x14ac:dyDescent="0.25">
      <c r="A59" s="2"/>
      <c r="B59" s="2"/>
      <c r="C59" s="2"/>
      <c r="D59" s="556" t="str">
        <f>D20</f>
        <v>Low</v>
      </c>
      <c r="E59" s="557"/>
      <c r="F59" s="557"/>
      <c r="G59" s="558" t="e">
        <f t="shared" ref="G59:V59" ca="1" si="49">MIN(G51:G54)</f>
        <v>#NAME?</v>
      </c>
      <c r="H59" s="558" t="e">
        <f t="shared" ca="1" si="49"/>
        <v>#NAME?</v>
      </c>
      <c r="I59" s="559" t="e">
        <f t="shared" ca="1" si="49"/>
        <v>#NAME?</v>
      </c>
      <c r="J59" s="559" t="e">
        <f t="shared" ca="1" si="49"/>
        <v>#NAME?</v>
      </c>
      <c r="K59" s="559" t="e">
        <f t="shared" ca="1" si="49"/>
        <v>#NAME?</v>
      </c>
      <c r="L59" s="559" t="e">
        <f t="shared" ca="1" si="49"/>
        <v>#NAME?</v>
      </c>
      <c r="M59" s="559" t="e">
        <f t="shared" ca="1" si="49"/>
        <v>#NAME?</v>
      </c>
      <c r="N59" s="559" t="e">
        <f t="shared" ca="1" si="49"/>
        <v>#NAME?</v>
      </c>
      <c r="O59" s="559" t="e">
        <f t="shared" ca="1" si="49"/>
        <v>#NAME?</v>
      </c>
      <c r="P59" s="559" t="e">
        <f t="shared" ca="1" si="49"/>
        <v>#NAME?</v>
      </c>
      <c r="Q59" s="560" t="e">
        <f t="shared" ca="1" si="49"/>
        <v>#NAME?</v>
      </c>
      <c r="R59" s="561" t="e">
        <f t="shared" ca="1" si="49"/>
        <v>#NAME?</v>
      </c>
      <c r="S59" s="561" t="e">
        <f t="shared" ca="1" si="49"/>
        <v>#NAME?</v>
      </c>
      <c r="T59" s="561" t="e">
        <f t="shared" ca="1" si="49"/>
        <v>#NAME?</v>
      </c>
      <c r="U59" s="561" t="e">
        <f t="shared" ca="1" si="49"/>
        <v>#NAME?</v>
      </c>
      <c r="V59" s="562" t="e">
        <f t="shared" ca="1" si="49"/>
        <v>#NAME?</v>
      </c>
      <c r="W59" s="9"/>
      <c r="X59" s="2"/>
      <c r="Y59" s="37"/>
      <c r="Z59" s="556" t="str">
        <f>Z20</f>
        <v>Low</v>
      </c>
      <c r="AA59" s="557"/>
      <c r="AB59" s="557"/>
      <c r="AC59" s="558" t="e">
        <f t="shared" ref="AC59:AR59" ca="1" si="50">MIN(AC51:AC54)</f>
        <v>#NAME?</v>
      </c>
      <c r="AD59" s="558" t="e">
        <f t="shared" ca="1" si="50"/>
        <v>#NAME?</v>
      </c>
      <c r="AE59" s="559" t="e">
        <f t="shared" ca="1" si="50"/>
        <v>#NAME?</v>
      </c>
      <c r="AF59" s="559" t="e">
        <f t="shared" ca="1" si="50"/>
        <v>#NAME?</v>
      </c>
      <c r="AG59" s="559" t="e">
        <f t="shared" ca="1" si="50"/>
        <v>#NAME?</v>
      </c>
      <c r="AH59" s="559" t="e">
        <f t="shared" ca="1" si="50"/>
        <v>#NAME?</v>
      </c>
      <c r="AI59" s="559" t="e">
        <f t="shared" ca="1" si="50"/>
        <v>#NAME?</v>
      </c>
      <c r="AJ59" s="559" t="e">
        <f t="shared" ca="1" si="50"/>
        <v>#NAME?</v>
      </c>
      <c r="AK59" s="559" t="e">
        <f t="shared" ca="1" si="50"/>
        <v>#NAME?</v>
      </c>
      <c r="AL59" s="559" t="e">
        <f t="shared" ca="1" si="50"/>
        <v>#NAME?</v>
      </c>
      <c r="AM59" s="560" t="e">
        <f t="shared" ca="1" si="50"/>
        <v>#NAME?</v>
      </c>
      <c r="AN59" s="561" t="e">
        <f t="shared" ca="1" si="50"/>
        <v>#NAME?</v>
      </c>
      <c r="AO59" s="561" t="e">
        <f t="shared" ca="1" si="50"/>
        <v>#NAME?</v>
      </c>
      <c r="AP59" s="561" t="e">
        <f t="shared" ca="1" si="50"/>
        <v>#NAME?</v>
      </c>
      <c r="AQ59" s="561" t="e">
        <f t="shared" ca="1" si="50"/>
        <v>#NAME?</v>
      </c>
      <c r="AR59" s="562" t="e">
        <f t="shared" ca="1" si="50"/>
        <v>#NAME?</v>
      </c>
      <c r="AS59" s="2"/>
      <c r="AT59" s="2"/>
      <c r="AU59" s="37"/>
      <c r="AV59" s="556" t="str">
        <f>AV20</f>
        <v>Low</v>
      </c>
      <c r="AW59" s="557"/>
      <c r="AX59" s="557"/>
      <c r="AY59" s="558" t="e">
        <f t="shared" ref="AY59:BN59" ca="1" si="51">MIN(AY51:AY54)</f>
        <v>#NAME?</v>
      </c>
      <c r="AZ59" s="558" t="e">
        <f t="shared" ca="1" si="51"/>
        <v>#NAME?</v>
      </c>
      <c r="BA59" s="559" t="e">
        <f t="shared" ca="1" si="51"/>
        <v>#NAME?</v>
      </c>
      <c r="BB59" s="559" t="e">
        <f t="shared" ca="1" si="51"/>
        <v>#NAME?</v>
      </c>
      <c r="BC59" s="559" t="e">
        <f t="shared" ca="1" si="51"/>
        <v>#NAME?</v>
      </c>
      <c r="BD59" s="559" t="e">
        <f t="shared" ca="1" si="51"/>
        <v>#NAME?</v>
      </c>
      <c r="BE59" s="559" t="e">
        <f t="shared" ca="1" si="51"/>
        <v>#NAME?</v>
      </c>
      <c r="BF59" s="559" t="e">
        <f t="shared" ca="1" si="51"/>
        <v>#NAME?</v>
      </c>
      <c r="BG59" s="559" t="e">
        <f t="shared" ca="1" si="51"/>
        <v>#NAME?</v>
      </c>
      <c r="BH59" s="559" t="e">
        <f t="shared" ca="1" si="51"/>
        <v>#NAME?</v>
      </c>
      <c r="BI59" s="560" t="e">
        <f t="shared" ca="1" si="51"/>
        <v>#NAME?</v>
      </c>
      <c r="BJ59" s="561" t="e">
        <f t="shared" ca="1" si="51"/>
        <v>#NAME?</v>
      </c>
      <c r="BK59" s="561" t="e">
        <f t="shared" ca="1" si="51"/>
        <v>#NAME?</v>
      </c>
      <c r="BL59" s="561" t="e">
        <f t="shared" ca="1" si="51"/>
        <v>#NAME?</v>
      </c>
      <c r="BM59" s="561" t="e">
        <f t="shared" ca="1" si="51"/>
        <v>#NAME?</v>
      </c>
      <c r="BN59" s="562" t="e">
        <f t="shared" ca="1" si="51"/>
        <v>#NAME?</v>
      </c>
    </row>
    <row r="60" spans="1:66" ht="13.5" hidden="1" customHeight="1" outlineLevel="1" x14ac:dyDescent="0.25">
      <c r="A60" s="2"/>
      <c r="B60" s="37"/>
      <c r="C60" s="37"/>
      <c r="D60" s="9"/>
      <c r="E60" s="9"/>
      <c r="F60" s="9"/>
      <c r="G60" s="9"/>
      <c r="H60" s="9"/>
      <c r="I60" s="9"/>
      <c r="J60" s="9"/>
      <c r="K60" s="9"/>
      <c r="L60" s="9"/>
      <c r="M60" s="9"/>
      <c r="N60" s="9"/>
      <c r="O60" s="9"/>
      <c r="P60" s="9"/>
      <c r="Q60" s="9"/>
      <c r="R60" s="9"/>
      <c r="S60" s="9"/>
      <c r="T60" s="9"/>
      <c r="U60" s="9"/>
      <c r="V60" s="9"/>
      <c r="W60" s="9"/>
      <c r="X60" s="2"/>
      <c r="Y60" s="37"/>
      <c r="Z60" s="9"/>
      <c r="AA60" s="9"/>
      <c r="AB60" s="9"/>
      <c r="AC60" s="9"/>
      <c r="AD60" s="9"/>
      <c r="AE60" s="9"/>
      <c r="AF60" s="9"/>
      <c r="AG60" s="9"/>
      <c r="AH60" s="9"/>
      <c r="AI60" s="9"/>
      <c r="AJ60" s="9"/>
      <c r="AK60" s="9"/>
      <c r="AL60" s="9"/>
      <c r="AM60" s="9"/>
      <c r="AN60" s="9"/>
      <c r="AO60" s="9"/>
      <c r="AP60" s="9"/>
      <c r="AQ60" s="9"/>
      <c r="AR60" s="9"/>
      <c r="AS60" s="2"/>
      <c r="AT60" s="2"/>
      <c r="AU60" s="37"/>
      <c r="AV60" s="9"/>
      <c r="AW60" s="9"/>
      <c r="AX60" s="9"/>
      <c r="AY60" s="9"/>
      <c r="AZ60" s="9"/>
      <c r="BA60" s="9"/>
      <c r="BB60" s="9"/>
      <c r="BC60" s="9"/>
      <c r="BD60" s="9"/>
      <c r="BE60" s="9"/>
      <c r="BF60" s="9"/>
      <c r="BG60" s="9"/>
      <c r="BH60" s="9"/>
      <c r="BI60" s="9"/>
      <c r="BJ60" s="9"/>
      <c r="BK60" s="9"/>
      <c r="BL60" s="9"/>
      <c r="BM60" s="9"/>
      <c r="BN60" s="9"/>
    </row>
    <row r="61" spans="1:66" ht="13.5" hidden="1" customHeight="1" outlineLevel="1" x14ac:dyDescent="0.25">
      <c r="A61" s="2"/>
      <c r="B61" s="37"/>
      <c r="C61" s="37"/>
      <c r="D61" s="530"/>
      <c r="E61" s="530"/>
      <c r="F61" s="37"/>
      <c r="G61" s="143"/>
      <c r="H61" s="143"/>
      <c r="I61" s="143"/>
      <c r="J61" s="143"/>
      <c r="K61" s="143"/>
      <c r="L61" s="143"/>
      <c r="M61" s="143"/>
      <c r="N61" s="143"/>
      <c r="O61" s="143"/>
      <c r="P61" s="143"/>
      <c r="Q61" s="143"/>
      <c r="R61" s="143"/>
      <c r="S61" s="143"/>
      <c r="T61" s="143"/>
      <c r="U61" s="143"/>
      <c r="V61" s="143"/>
      <c r="W61" s="9"/>
      <c r="X61" s="2"/>
      <c r="Y61" s="37"/>
      <c r="Z61" s="530"/>
      <c r="AA61" s="530"/>
      <c r="AB61" s="37"/>
      <c r="AC61" s="143"/>
      <c r="AD61" s="143"/>
      <c r="AE61" s="143"/>
      <c r="AF61" s="143"/>
      <c r="AG61" s="143"/>
      <c r="AH61" s="143"/>
      <c r="AI61" s="143"/>
      <c r="AJ61" s="143"/>
      <c r="AK61" s="143"/>
      <c r="AL61" s="143"/>
      <c r="AM61" s="143"/>
      <c r="AN61" s="143"/>
      <c r="AO61" s="143"/>
      <c r="AP61" s="143"/>
      <c r="AQ61" s="143"/>
      <c r="AR61" s="143"/>
      <c r="AS61" s="2"/>
      <c r="AT61" s="2"/>
      <c r="AU61" s="37"/>
      <c r="AV61" s="530"/>
      <c r="AW61" s="530"/>
      <c r="AX61" s="37"/>
      <c r="AY61" s="143"/>
      <c r="AZ61" s="143"/>
      <c r="BA61" s="143"/>
      <c r="BB61" s="143"/>
      <c r="BC61" s="143"/>
      <c r="BD61" s="143"/>
      <c r="BE61" s="143"/>
      <c r="BF61" s="143"/>
      <c r="BG61" s="143"/>
      <c r="BH61" s="143"/>
      <c r="BI61" s="143"/>
      <c r="BJ61" s="143"/>
      <c r="BK61" s="143"/>
      <c r="BL61" s="143"/>
      <c r="BM61" s="143"/>
      <c r="BN61" s="143"/>
    </row>
    <row r="62" spans="1:66" ht="13.5" hidden="1" customHeight="1" outlineLevel="1" x14ac:dyDescent="0.25">
      <c r="A62" s="2"/>
      <c r="B62" s="37"/>
      <c r="C62" s="37"/>
      <c r="D62" s="987" t="str">
        <f>D22</f>
        <v>Company</v>
      </c>
      <c r="E62" s="944"/>
      <c r="F62" s="944"/>
      <c r="G62" s="987" t="str">
        <f>G22</f>
        <v>General Statistics</v>
      </c>
      <c r="H62" s="944"/>
      <c r="I62" s="944"/>
      <c r="J62" s="987" t="str">
        <f>J22</f>
        <v>Returns Analysis</v>
      </c>
      <c r="K62" s="944"/>
      <c r="L62" s="944"/>
      <c r="M62" s="987" t="str">
        <f>M22</f>
        <v>2025A Leverage Analysis</v>
      </c>
      <c r="N62" s="944"/>
      <c r="O62" s="944"/>
      <c r="P62" s="987" t="str">
        <f>P22</f>
        <v>2025A Coverage Analysis</v>
      </c>
      <c r="Q62" s="944"/>
      <c r="R62" s="944"/>
      <c r="S62" s="987" t="str">
        <f>S22</f>
        <v>Liquidity Profile</v>
      </c>
      <c r="T62" s="944"/>
      <c r="U62" s="987" t="str">
        <f>U22</f>
        <v>Credit Profile</v>
      </c>
      <c r="V62" s="944"/>
      <c r="W62" s="9"/>
      <c r="X62" s="2"/>
      <c r="Y62" s="37"/>
      <c r="Z62" s="987" t="str">
        <f>Z22</f>
        <v>Company</v>
      </c>
      <c r="AA62" s="944"/>
      <c r="AB62" s="944"/>
      <c r="AC62" s="987" t="str">
        <f>AC22</f>
        <v>General Statistics</v>
      </c>
      <c r="AD62" s="944"/>
      <c r="AE62" s="944"/>
      <c r="AF62" s="987" t="str">
        <f>AF22</f>
        <v>Returns Analysis</v>
      </c>
      <c r="AG62" s="944"/>
      <c r="AH62" s="944"/>
      <c r="AI62" s="987" t="str">
        <f>AI22</f>
        <v>2025A Leverage Analysis</v>
      </c>
      <c r="AJ62" s="944"/>
      <c r="AK62" s="944"/>
      <c r="AL62" s="987" t="str">
        <f>AL22</f>
        <v>2025A Coverage Analysis</v>
      </c>
      <c r="AM62" s="944"/>
      <c r="AN62" s="944"/>
      <c r="AO62" s="987" t="str">
        <f>AO22</f>
        <v>Liquidity Profile</v>
      </c>
      <c r="AP62" s="944"/>
      <c r="AQ62" s="987" t="str">
        <f>AQ22</f>
        <v>Credit Profile</v>
      </c>
      <c r="AR62" s="944"/>
      <c r="AS62" s="2"/>
      <c r="AT62" s="2"/>
      <c r="AU62" s="37"/>
      <c r="AV62" s="987" t="str">
        <f>AV22</f>
        <v>Company</v>
      </c>
      <c r="AW62" s="944"/>
      <c r="AX62" s="944"/>
      <c r="AY62" s="987" t="str">
        <f>AY22</f>
        <v>General Statistics</v>
      </c>
      <c r="AZ62" s="944"/>
      <c r="BA62" s="944"/>
      <c r="BB62" s="987" t="str">
        <f>BB22</f>
        <v>Returns Analysis</v>
      </c>
      <c r="BC62" s="944"/>
      <c r="BD62" s="944"/>
      <c r="BE62" s="987" t="str">
        <f>BE22</f>
        <v>2025A Leverage Analysis</v>
      </c>
      <c r="BF62" s="944"/>
      <c r="BG62" s="944"/>
      <c r="BH62" s="987" t="str">
        <f>BH22</f>
        <v>2025A Coverage Analysis</v>
      </c>
      <c r="BI62" s="944"/>
      <c r="BJ62" s="944"/>
      <c r="BK62" s="987" t="str">
        <f>BK22</f>
        <v>Liquidity Profile</v>
      </c>
      <c r="BL62" s="944"/>
      <c r="BM62" s="987" t="str">
        <f>BM22</f>
        <v>Credit Profile</v>
      </c>
      <c r="BN62" s="944"/>
    </row>
    <row r="63" spans="1:66" ht="13.5" hidden="1" customHeight="1" outlineLevel="1" x14ac:dyDescent="0.25">
      <c r="A63" s="2"/>
      <c r="B63" s="37"/>
      <c r="C63" s="37"/>
      <c r="D63" s="9"/>
      <c r="E63" s="9"/>
      <c r="F63" s="9"/>
      <c r="G63" s="9"/>
      <c r="H63" s="9"/>
      <c r="I63" s="9"/>
      <c r="J63" s="9"/>
      <c r="K63" s="9"/>
      <c r="L63" s="9"/>
      <c r="M63" s="987" t="str">
        <f>M23</f>
        <v xml:space="preserve">Total Debt / </v>
      </c>
      <c r="N63" s="944"/>
      <c r="O63" s="944"/>
      <c r="P63" s="9"/>
      <c r="Q63" s="9"/>
      <c r="R63" s="9"/>
      <c r="S63" s="9"/>
      <c r="T63" s="9"/>
      <c r="U63" s="9"/>
      <c r="V63" s="9"/>
      <c r="W63" s="9"/>
      <c r="X63" s="2"/>
      <c r="Y63" s="37"/>
      <c r="Z63" s="9"/>
      <c r="AA63" s="9"/>
      <c r="AB63" s="9"/>
      <c r="AC63" s="9"/>
      <c r="AD63" s="9"/>
      <c r="AE63" s="9"/>
      <c r="AF63" s="9"/>
      <c r="AG63" s="9"/>
      <c r="AH63" s="9"/>
      <c r="AI63" s="987" t="str">
        <f>AI23</f>
        <v xml:space="preserve">Total Debt / </v>
      </c>
      <c r="AJ63" s="944"/>
      <c r="AK63" s="944"/>
      <c r="AL63" s="9"/>
      <c r="AM63" s="9"/>
      <c r="AN63" s="9"/>
      <c r="AO63" s="9"/>
      <c r="AP63" s="9"/>
      <c r="AQ63" s="9"/>
      <c r="AR63" s="9"/>
      <c r="AS63" s="2"/>
      <c r="AT63" s="2"/>
      <c r="AU63" s="37"/>
      <c r="AV63" s="9"/>
      <c r="AW63" s="9"/>
      <c r="AX63" s="9"/>
      <c r="AY63" s="9"/>
      <c r="AZ63" s="9"/>
      <c r="BA63" s="9"/>
      <c r="BB63" s="9"/>
      <c r="BC63" s="9"/>
      <c r="BD63" s="9"/>
      <c r="BE63" s="987" t="str">
        <f>BE23</f>
        <v xml:space="preserve">Total Debt / </v>
      </c>
      <c r="BF63" s="944"/>
      <c r="BG63" s="944"/>
      <c r="BH63" s="9"/>
      <c r="BI63" s="9"/>
      <c r="BJ63" s="9"/>
      <c r="BK63" s="9"/>
      <c r="BL63" s="9"/>
      <c r="BM63" s="9"/>
      <c r="BN63" s="9"/>
    </row>
    <row r="64" spans="1:66" ht="13.5" hidden="1" customHeight="1" outlineLevel="1" x14ac:dyDescent="0.25">
      <c r="A64" s="2"/>
      <c r="B64" s="37"/>
      <c r="C64" s="37"/>
      <c r="D64" s="64"/>
      <c r="E64" s="64"/>
      <c r="F64" s="64"/>
      <c r="G64" s="64"/>
      <c r="H64" s="64"/>
      <c r="I64" s="64" t="str">
        <f>I24</f>
        <v>Dividend</v>
      </c>
      <c r="J64" s="64"/>
      <c r="K64" s="64"/>
      <c r="L64" s="64"/>
      <c r="M64" s="64"/>
      <c r="N64" s="64"/>
      <c r="O64" s="64"/>
      <c r="P64" s="64" t="str">
        <f t="shared" ref="P64:T65" si="52">P24</f>
        <v xml:space="preserve">EBITDA / </v>
      </c>
      <c r="Q64" s="64" t="str">
        <f t="shared" si="52"/>
        <v>(EBITDA -</v>
      </c>
      <c r="R64" s="64" t="str">
        <f t="shared" si="52"/>
        <v xml:space="preserve">EBIT / </v>
      </c>
      <c r="S64" s="64" t="str">
        <f t="shared" si="52"/>
        <v>Quick</v>
      </c>
      <c r="T64" s="64" t="str">
        <f t="shared" si="52"/>
        <v>Current</v>
      </c>
      <c r="U64" s="64"/>
      <c r="V64" s="64"/>
      <c r="W64" s="9"/>
      <c r="X64" s="2"/>
      <c r="Y64" s="37"/>
      <c r="Z64" s="64"/>
      <c r="AA64" s="64"/>
      <c r="AB64" s="64"/>
      <c r="AC64" s="64"/>
      <c r="AD64" s="64"/>
      <c r="AE64" s="64" t="str">
        <f>AE24</f>
        <v>Dividend</v>
      </c>
      <c r="AF64" s="64"/>
      <c r="AG64" s="64"/>
      <c r="AH64" s="64"/>
      <c r="AI64" s="64"/>
      <c r="AJ64" s="64"/>
      <c r="AK64" s="64"/>
      <c r="AL64" s="64" t="str">
        <f t="shared" ref="AL64:AP65" si="53">AL24</f>
        <v xml:space="preserve">EBITDA / </v>
      </c>
      <c r="AM64" s="64" t="str">
        <f t="shared" si="53"/>
        <v>(EBITDA -</v>
      </c>
      <c r="AN64" s="64" t="str">
        <f t="shared" si="53"/>
        <v xml:space="preserve">EBIT / </v>
      </c>
      <c r="AO64" s="64" t="str">
        <f t="shared" si="53"/>
        <v>Quick</v>
      </c>
      <c r="AP64" s="64" t="str">
        <f t="shared" si="53"/>
        <v>Current</v>
      </c>
      <c r="AQ64" s="64"/>
      <c r="AR64" s="64"/>
      <c r="AS64" s="2"/>
      <c r="AT64" s="2"/>
      <c r="AU64" s="37"/>
      <c r="AV64" s="64"/>
      <c r="AW64" s="64"/>
      <c r="AX64" s="64"/>
      <c r="AY64" s="64"/>
      <c r="AZ64" s="64"/>
      <c r="BA64" s="64" t="str">
        <f>BA24</f>
        <v>Dividend</v>
      </c>
      <c r="BB64" s="64"/>
      <c r="BC64" s="64"/>
      <c r="BD64" s="64"/>
      <c r="BE64" s="64"/>
      <c r="BF64" s="64"/>
      <c r="BG64" s="64"/>
      <c r="BH64" s="64" t="str">
        <f t="shared" ref="BH64:BL65" si="54">BH24</f>
        <v xml:space="preserve">EBITDA / </v>
      </c>
      <c r="BI64" s="64" t="str">
        <f t="shared" si="54"/>
        <v>(EBITDA -</v>
      </c>
      <c r="BJ64" s="64" t="str">
        <f t="shared" si="54"/>
        <v xml:space="preserve">EBIT / </v>
      </c>
      <c r="BK64" s="64" t="str">
        <f t="shared" si="54"/>
        <v>Quick</v>
      </c>
      <c r="BL64" s="64" t="str">
        <f t="shared" si="54"/>
        <v>Current</v>
      </c>
      <c r="BM64" s="64"/>
      <c r="BN64" s="64"/>
    </row>
    <row r="65" spans="1:66" ht="13.5" hidden="1" customHeight="1" outlineLevel="1" x14ac:dyDescent="0.25">
      <c r="A65" s="2"/>
      <c r="B65" s="37"/>
      <c r="C65" s="37"/>
      <c r="D65" s="103"/>
      <c r="E65" s="64"/>
      <c r="F65" s="470" t="str">
        <f>F25</f>
        <v>Ticker</v>
      </c>
      <c r="G65" s="470" t="str">
        <f>G25</f>
        <v>Tax Rate</v>
      </c>
      <c r="H65" s="470" t="str">
        <f>H25</f>
        <v>Beta</v>
      </c>
      <c r="I65" s="470" t="str">
        <f>I25</f>
        <v>Yield</v>
      </c>
      <c r="J65" s="470" t="str">
        <f t="shared" ref="J65:O65" si="55">J25</f>
        <v>ROIC</v>
      </c>
      <c r="K65" s="470" t="str">
        <f t="shared" si="55"/>
        <v xml:space="preserve">ROE </v>
      </c>
      <c r="L65" s="470" t="str">
        <f t="shared" si="55"/>
        <v>ROA</v>
      </c>
      <c r="M65" s="470" t="str">
        <f t="shared" si="55"/>
        <v>Cap</v>
      </c>
      <c r="N65" s="470" t="str">
        <f t="shared" si="55"/>
        <v>EBITDA</v>
      </c>
      <c r="O65" s="470" t="str">
        <f t="shared" si="55"/>
        <v>Equity</v>
      </c>
      <c r="P65" s="470" t="str">
        <f t="shared" si="52"/>
        <v>Int. Exp.</v>
      </c>
      <c r="Q65" s="470" t="str">
        <f t="shared" si="52"/>
        <v>Capex)/Int.</v>
      </c>
      <c r="R65" s="470" t="str">
        <f t="shared" si="52"/>
        <v>Int. Exp.</v>
      </c>
      <c r="S65" s="470" t="str">
        <f t="shared" si="52"/>
        <v>Ratio</v>
      </c>
      <c r="T65" s="470" t="str">
        <f t="shared" si="52"/>
        <v>Ratio</v>
      </c>
      <c r="U65" s="470" t="s">
        <v>499</v>
      </c>
      <c r="V65" s="470" t="s">
        <v>500</v>
      </c>
      <c r="W65" s="9"/>
      <c r="X65" s="2"/>
      <c r="Y65" s="37"/>
      <c r="Z65" s="103"/>
      <c r="AA65" s="64"/>
      <c r="AB65" s="470" t="str">
        <f>AB25</f>
        <v>Ticker</v>
      </c>
      <c r="AC65" s="470" t="str">
        <f>AC25</f>
        <v>Tax Rate</v>
      </c>
      <c r="AD65" s="470" t="str">
        <f>AD25</f>
        <v>Beta</v>
      </c>
      <c r="AE65" s="470" t="str">
        <f>AE25</f>
        <v>Yield</v>
      </c>
      <c r="AF65" s="470" t="str">
        <f t="shared" ref="AF65:AK65" si="56">AF25</f>
        <v>ROIC</v>
      </c>
      <c r="AG65" s="470" t="str">
        <f t="shared" si="56"/>
        <v xml:space="preserve">ROE </v>
      </c>
      <c r="AH65" s="470" t="str">
        <f t="shared" si="56"/>
        <v>ROA</v>
      </c>
      <c r="AI65" s="470" t="str">
        <f t="shared" si="56"/>
        <v>Cap</v>
      </c>
      <c r="AJ65" s="470" t="str">
        <f t="shared" si="56"/>
        <v>EBITDA</v>
      </c>
      <c r="AK65" s="470" t="str">
        <f t="shared" si="56"/>
        <v>Equity</v>
      </c>
      <c r="AL65" s="470" t="str">
        <f t="shared" si="53"/>
        <v>Int. Exp.</v>
      </c>
      <c r="AM65" s="470" t="str">
        <f t="shared" si="53"/>
        <v>Capex)/Int.</v>
      </c>
      <c r="AN65" s="470" t="str">
        <f t="shared" si="53"/>
        <v>Int. Exp.</v>
      </c>
      <c r="AO65" s="470" t="str">
        <f t="shared" si="53"/>
        <v>Ratio</v>
      </c>
      <c r="AP65" s="470" t="str">
        <f t="shared" si="53"/>
        <v>Ratio</v>
      </c>
      <c r="AQ65" s="470" t="str">
        <f>AQ25</f>
        <v>S&amp;P</v>
      </c>
      <c r="AR65" s="470" t="str">
        <f>AR25</f>
        <v>Outlook</v>
      </c>
      <c r="AS65" s="2"/>
      <c r="AT65" s="2"/>
      <c r="AU65" s="37"/>
      <c r="AV65" s="103"/>
      <c r="AW65" s="64"/>
      <c r="AX65" s="470" t="str">
        <f>AX25</f>
        <v>Ticker</v>
      </c>
      <c r="AY65" s="470" t="str">
        <f>AY25</f>
        <v>Tax Rate</v>
      </c>
      <c r="AZ65" s="470" t="str">
        <f>AZ25</f>
        <v>Beta</v>
      </c>
      <c r="BA65" s="470" t="str">
        <f>BA25</f>
        <v>Yield</v>
      </c>
      <c r="BB65" s="470" t="str">
        <f t="shared" ref="BB65:BG65" si="57">BB25</f>
        <v>ROIC</v>
      </c>
      <c r="BC65" s="470" t="str">
        <f t="shared" si="57"/>
        <v xml:space="preserve">ROE </v>
      </c>
      <c r="BD65" s="470" t="str">
        <f t="shared" si="57"/>
        <v>ROA</v>
      </c>
      <c r="BE65" s="470" t="str">
        <f t="shared" si="57"/>
        <v>Cap</v>
      </c>
      <c r="BF65" s="470" t="str">
        <f t="shared" si="57"/>
        <v>EBITDA</v>
      </c>
      <c r="BG65" s="470" t="str">
        <f t="shared" si="57"/>
        <v>Equity</v>
      </c>
      <c r="BH65" s="470" t="str">
        <f t="shared" si="54"/>
        <v>Int. Exp.</v>
      </c>
      <c r="BI65" s="470" t="str">
        <f t="shared" si="54"/>
        <v>Capex)/Int.</v>
      </c>
      <c r="BJ65" s="470" t="str">
        <f t="shared" si="54"/>
        <v>Int. Exp.</v>
      </c>
      <c r="BK65" s="470" t="str">
        <f t="shared" si="54"/>
        <v>Ratio</v>
      </c>
      <c r="BL65" s="470" t="str">
        <f t="shared" si="54"/>
        <v>Ratio</v>
      </c>
      <c r="BM65" s="470" t="str">
        <f>BM25</f>
        <v>S&amp;P</v>
      </c>
      <c r="BN65" s="470" t="str">
        <f>BN25</f>
        <v>Outlook</v>
      </c>
    </row>
    <row r="66" spans="1:66" ht="4.5" hidden="1" customHeight="1" outlineLevel="1" x14ac:dyDescent="0.25">
      <c r="A66" s="2"/>
      <c r="B66" s="37"/>
      <c r="C66" s="37"/>
      <c r="D66" s="64"/>
      <c r="E66" s="64"/>
      <c r="F66" s="64"/>
      <c r="G66" s="64"/>
      <c r="H66" s="64"/>
      <c r="I66" s="472"/>
      <c r="J66" s="64"/>
      <c r="K66" s="64"/>
      <c r="L66" s="64"/>
      <c r="M66" s="64"/>
      <c r="N66" s="64"/>
      <c r="O66" s="64"/>
      <c r="P66" s="64"/>
      <c r="Q66" s="64"/>
      <c r="R66" s="64"/>
      <c r="S66" s="64"/>
      <c r="T66" s="64"/>
      <c r="U66" s="64"/>
      <c r="V66" s="64"/>
      <c r="W66" s="9"/>
      <c r="X66" s="2"/>
      <c r="Y66" s="37"/>
      <c r="Z66" s="64"/>
      <c r="AA66" s="64"/>
      <c r="AB66" s="64"/>
      <c r="AC66" s="64"/>
      <c r="AD66" s="64"/>
      <c r="AE66" s="472"/>
      <c r="AF66" s="64"/>
      <c r="AG66" s="64"/>
      <c r="AH66" s="64"/>
      <c r="AI66" s="64"/>
      <c r="AJ66" s="64"/>
      <c r="AK66" s="64"/>
      <c r="AL66" s="64"/>
      <c r="AM66" s="64"/>
      <c r="AN66" s="64"/>
      <c r="AO66" s="64"/>
      <c r="AP66" s="64"/>
      <c r="AQ66" s="64"/>
      <c r="AR66" s="64"/>
      <c r="AS66" s="2"/>
      <c r="AT66" s="2"/>
      <c r="AU66" s="37"/>
      <c r="AV66" s="64"/>
      <c r="AW66" s="64"/>
      <c r="AX66" s="64"/>
      <c r="AY66" s="64"/>
      <c r="AZ66" s="64"/>
      <c r="BA66" s="472"/>
      <c r="BB66" s="64"/>
      <c r="BC66" s="64"/>
      <c r="BD66" s="64"/>
      <c r="BE66" s="64"/>
      <c r="BF66" s="64"/>
      <c r="BG66" s="64"/>
      <c r="BH66" s="64"/>
      <c r="BI66" s="64"/>
      <c r="BJ66" s="64"/>
      <c r="BK66" s="64"/>
      <c r="BL66" s="64"/>
      <c r="BM66" s="64"/>
      <c r="BN66" s="64"/>
    </row>
    <row r="67" spans="1:66" ht="13.5" hidden="1" customHeight="1" outlineLevel="1" x14ac:dyDescent="0.25">
      <c r="A67" s="2"/>
      <c r="B67" s="531" t="str">
        <f>E86</f>
        <v>IQ92001</v>
      </c>
      <c r="C67" s="531"/>
      <c r="D67" s="532" t="e">
        <f ca="1">D49</f>
        <v>#NAME?</v>
      </c>
      <c r="E67" s="533"/>
      <c r="F67" s="534" t="str">
        <f>F49</f>
        <v>AXP</v>
      </c>
      <c r="G67" s="536" t="e">
        <f ca="1">_xll.ciqfunctions.udf.CIQ($B67, "IQ_EFFECT_TAX_RATE",IQ_FY)/100</f>
        <v>#NAME?</v>
      </c>
      <c r="H67" s="563" t="e">
        <f ca="1">_xll.ciqfunctions.udf.CIQ($B67, "IQ_BETA_5YR",Current_Date)</f>
        <v>#NAME?</v>
      </c>
      <c r="I67" s="536" t="e">
        <f ca="1">_xll.ciqfunctions.udf.CIQ($B67, "IQ_DIVIDEND_YIELD",Current_Date)/100</f>
        <v>#NAME?</v>
      </c>
      <c r="J67" s="536" t="e">
        <f ca="1">(_xll.ciqfunctions.udf.CIQ($B67,"IQ_OPER_INC",IQ_LTM)*(1-G67))/(((_xll.ciqfunctions.udf.CIQ($B67,"IQ_TOTAL_DEBT",IQ_LTM))+_xll.ciqfunctions.udf.CIQ($B67,"IQ_TOTAL_EQUITY",IQ_LTM))-_xll.ciqfunctions.udf.CIQ($B67,"IQ_CASH_EQUIV",IQ_LTM))</f>
        <v>#NAME?</v>
      </c>
      <c r="K67" s="536" t="e">
        <f ca="1">_xll.ciqfunctions.udf.CIQ($B67, "IQ_RETURN_EQUITY",IQ_LTM)/100</f>
        <v>#NAME?</v>
      </c>
      <c r="L67" s="536" t="e">
        <f ca="1">_xll.ciqfunctions.udf.CIQ($B67, "IQ_RETURN_ASSETS",IQ_LTM)/100</f>
        <v>#NAME?</v>
      </c>
      <c r="M67" s="537" t="e">
        <f ca="1">_xll.ciqfunctions.udf.CIQ($B67, "IQ_TOTAL_DEBT_CAPITAL",IQ_FY)/100</f>
        <v>#NAME?</v>
      </c>
      <c r="N67" s="537" t="e">
        <f ca="1">_xll.ciqfunctions.udf.CIQ($B67, "IQ_TOTAL_DEBT_EBITDA",IQ_FY)</f>
        <v>#NAME?</v>
      </c>
      <c r="O67" s="537" t="e">
        <f ca="1">_xll.ciqfunctions.udf.CIQ($B67, "IQ_TOTAL_DEBT_EQUITY",IQ_FY)/100</f>
        <v>#NAME?</v>
      </c>
      <c r="P67" s="537" t="e">
        <f ca="1">_xll.ciqfunctions.udf.CIQ($B67, "IQ_EBITDA_INT",IQ_FY)</f>
        <v>#NAME?</v>
      </c>
      <c r="Q67" s="537" t="e">
        <f ca="1">_xll.ciqfunctions.udf.CIQ($B67, "IQ_EBITDA_CAPEX_INT",IQ_FY)</f>
        <v>#NAME?</v>
      </c>
      <c r="R67" s="537" t="e">
        <f ca="1">_xll.ciqfunctions.udf.CIQ($B67, "IQ_EBIT_INT",IQ_FY)</f>
        <v>#NAME?</v>
      </c>
      <c r="S67" s="537" t="e">
        <f ca="1">_xll.ciqfunctions.udf.CIQ($B67, "IQ_QUICK_RATIO",IQ_FY)</f>
        <v>#NAME?</v>
      </c>
      <c r="T67" s="537" t="e">
        <f ca="1">_xll.ciqfunctions.udf.CIQ($B67, "IQ_CURRENT_RATIO",IQ_FY)</f>
        <v>#NAME?</v>
      </c>
      <c r="U67" s="534" t="e">
        <f ca="1">_xll.ciqfunctions.udf.CIQ($B67, "IQ_SP_LC_LT",Current)</f>
        <v>#NAME?</v>
      </c>
      <c r="V67" s="564" t="e">
        <f ca="1">_xll.ciqfunctions.udf.CIQ($B67, "IQ_SP_OUTLOOK_WATCH",Current)</f>
        <v>#NAME?</v>
      </c>
      <c r="W67" s="9"/>
      <c r="X67" s="531" t="str">
        <f>I86</f>
        <v>IQ92001</v>
      </c>
      <c r="Y67" s="37"/>
      <c r="Z67" s="532" t="str">
        <f>Z49</f>
        <v>American Express Company</v>
      </c>
      <c r="AA67" s="533"/>
      <c r="AB67" s="534" t="str">
        <f>AB49</f>
        <v>AXP</v>
      </c>
      <c r="AC67" s="536" t="e">
        <f ca="1">_xll.ciqfunctions.udf.CIQ($X67, "IQ_EFFECT_TAX_RATE",IQ_FY)/100</f>
        <v>#NAME?</v>
      </c>
      <c r="AD67" s="563" t="e">
        <f ca="1">_xll.ciqfunctions.udf.CIQ($X67, "IQ_BETA_5YR",Current_Date)</f>
        <v>#NAME?</v>
      </c>
      <c r="AE67" s="536" t="e">
        <f ca="1">_xll.ciqfunctions.udf.CIQ($X67, "IQ_DIVIDEND_YIELD",Current_Date)/100</f>
        <v>#NAME?</v>
      </c>
      <c r="AF67" s="536" t="e">
        <f ca="1">(_xll.ciqfunctions.udf.CIQ($X67,"IQ_OPER_INC",IQ_LTM)*(1-AC67))/(((_xll.ciqfunctions.udf.CIQ($X67,"IQ_TOTAL_DEBT",IQ_LTM))+_xll.ciqfunctions.udf.CIQ($X67,"IQ_TOTAL_EQUITY",IQ_LTM))-_xll.ciqfunctions.udf.CIQ($X67,"IQ_CASH_EQUIV",IQ_LTM))</f>
        <v>#NAME?</v>
      </c>
      <c r="AG67" s="536" t="e">
        <f ca="1">_xll.ciqfunctions.udf.CIQ($X67, "IQ_RETURN_EQUITY",IQ_LTM)/100</f>
        <v>#NAME?</v>
      </c>
      <c r="AH67" s="536" t="e">
        <f ca="1">_xll.ciqfunctions.udf.CIQ($X67, "IQ_RETURN_ASSETS",IQ_LTM)/100</f>
        <v>#NAME?</v>
      </c>
      <c r="AI67" s="537" t="e">
        <f ca="1">_xll.ciqfunctions.udf.CIQ($X67, "IQ_TOTAL_DEBT_CAPITAL",IQ_FY)/100</f>
        <v>#NAME?</v>
      </c>
      <c r="AJ67" s="537" t="e">
        <f ca="1">_xll.ciqfunctions.udf.CIQ($X67, "IQ_TOTAL_DEBT_EBITDA",IQ_FY)</f>
        <v>#NAME?</v>
      </c>
      <c r="AK67" s="537" t="e">
        <f ca="1">_xll.ciqfunctions.udf.CIQ($X67, "IQ_TOTAL_DEBT_EQUITY",IQ_FY)/100</f>
        <v>#NAME?</v>
      </c>
      <c r="AL67" s="537" t="e">
        <f ca="1">_xll.ciqfunctions.udf.CIQ($X67, "IQ_EBITDA_INT",IQ_FY)</f>
        <v>#NAME?</v>
      </c>
      <c r="AM67" s="537" t="e">
        <f ca="1">_xll.ciqfunctions.udf.CIQ($X67, "IQ_EBITDA_CAPEX_INT",IQ_FY)</f>
        <v>#NAME?</v>
      </c>
      <c r="AN67" s="537" t="e">
        <f ca="1">_xll.ciqfunctions.udf.CIQ($X67, "IQ_EBIT_INT",IQ_FY)</f>
        <v>#NAME?</v>
      </c>
      <c r="AO67" s="563" t="e">
        <f ca="1">_xll.ciqfunctions.udf.CIQ($X67, "IQ_QUICK_RATIO",IQ_FY)</f>
        <v>#NAME?</v>
      </c>
      <c r="AP67" s="563" t="e">
        <f ca="1">_xll.ciqfunctions.udf.CIQ($X67, "IQ_CURRENT_RATIO",IQ_FY)</f>
        <v>#NAME?</v>
      </c>
      <c r="AQ67" s="534" t="e">
        <f ca="1">_xll.ciqfunctions.udf.CIQ($X67, "IQ_SP_LC_LT",Current)</f>
        <v>#NAME?</v>
      </c>
      <c r="AR67" s="564" t="e">
        <f ca="1">_xll.ciqfunctions.udf.CIQ($X67, "IQ_SP_OUTLOOK_WATCH",Current)</f>
        <v>#NAME?</v>
      </c>
      <c r="AS67" s="2"/>
      <c r="AT67" s="531" t="str">
        <f>N86</f>
        <v>IQ92001</v>
      </c>
      <c r="AU67" s="37">
        <f t="shared" ref="AU67:AV67" si="58">AU49</f>
        <v>0</v>
      </c>
      <c r="AV67" s="532" t="str">
        <f t="shared" si="58"/>
        <v>American Express Company</v>
      </c>
      <c r="AW67" s="533"/>
      <c r="AX67" s="534" t="str">
        <f>AX49</f>
        <v>AXP</v>
      </c>
      <c r="AY67" s="536" t="e">
        <f ca="1">_xll.ciqfunctions.udf.CIQ($AT67, "IQ_EFFECT_TAX_RATE",IQ_FY)/100</f>
        <v>#NAME?</v>
      </c>
      <c r="AZ67" s="563" t="e">
        <f ca="1">_xll.ciqfunctions.udf.CIQ($AT67, "IQ_BETA_5YR",Current_Date)</f>
        <v>#NAME?</v>
      </c>
      <c r="BA67" s="536" t="e">
        <f ca="1">_xll.ciqfunctions.udf.CIQ($AT67, "IQ_DIVIDEND_YIELD",Current_Date)/100</f>
        <v>#NAME?</v>
      </c>
      <c r="BB67" s="536" t="e">
        <f ca="1">(_xll.ciqfunctions.udf.CIQ($AT67,"IQ_OPER_INC",IQ_LTM)*(1-AY67))/(((_xll.ciqfunctions.udf.CIQ($AT67,"IQ_TOTAL_DEBT",IQ_LTM))+_xll.ciqfunctions.udf.CIQ($AT67,"IQ_TOTAL_EQUITY",IQ_LTM))-_xll.ciqfunctions.udf.CIQ($AT67,"IQ_CASH_EQUIV",IQ_LTM))</f>
        <v>#NAME?</v>
      </c>
      <c r="BC67" s="536" t="e">
        <f ca="1">_xll.ciqfunctions.udf.CIQ($AT67, "IQ_RETURN_EQUITY",IQ_LTM)/100</f>
        <v>#NAME?</v>
      </c>
      <c r="BD67" s="536" t="e">
        <f ca="1">_xll.ciqfunctions.udf.CIQ($AT67, "IQ_RETURN_ASSETS",IQ_LTM)/100</f>
        <v>#NAME?</v>
      </c>
      <c r="BE67" s="537" t="e">
        <f ca="1">_xll.ciqfunctions.udf.CIQ($AT67, "IQ_TOTAL_DEBT_CAPITAL",IQ_FY)/100</f>
        <v>#NAME?</v>
      </c>
      <c r="BF67" s="537" t="e">
        <f ca="1">_xll.ciqfunctions.udf.CIQ($AT67, "IQ_TOTAL_DEBT_EBITDA",IQ_FY)</f>
        <v>#NAME?</v>
      </c>
      <c r="BG67" s="537" t="e">
        <f ca="1">_xll.ciqfunctions.udf.CIQ($AT67, "IQ_TOTAL_DEBT_EQUITY",IQ_FY)/100</f>
        <v>#NAME?</v>
      </c>
      <c r="BH67" s="537" t="e">
        <f ca="1">_xll.ciqfunctions.udf.CIQ($AT67, "IQ_EBITDA_INT",IQ_FY)</f>
        <v>#NAME?</v>
      </c>
      <c r="BI67" s="537" t="e">
        <f ca="1">_xll.ciqfunctions.udf.CIQ($AT67, "IQ_EBITDA_CAPEX_INT",IQ_FY)</f>
        <v>#NAME?</v>
      </c>
      <c r="BJ67" s="537" t="e">
        <f ca="1">_xll.ciqfunctions.udf.CIQ($AT67, "IQ_EBIT_INT",IQ_FY)</f>
        <v>#NAME?</v>
      </c>
      <c r="BK67" s="563" t="e">
        <f ca="1">_xll.ciqfunctions.udf.CIQ($AT67, "IQ_QUICK_RATIO",IQ_FY)</f>
        <v>#NAME?</v>
      </c>
      <c r="BL67" s="563" t="e">
        <f ca="1">_xll.ciqfunctions.udf.CIQ($AT67, "IQ_CURRENT_RATIO",IQ_FY)</f>
        <v>#NAME?</v>
      </c>
      <c r="BM67" s="534" t="e">
        <f ca="1">_xll.ciqfunctions.udf.CIQ($AT67, "IQ_SP_LC_LT",Current)</f>
        <v>#NAME?</v>
      </c>
      <c r="BN67" s="564" t="e">
        <f ca="1">_xll.ciqfunctions.udf.CIQ($AT67, "IQ_SP_OUTLOOK_WATCH",Current)</f>
        <v>#NAME?</v>
      </c>
    </row>
    <row r="68" spans="1:66" ht="13.5" hidden="1" customHeight="1" outlineLevel="1" x14ac:dyDescent="0.25">
      <c r="A68" s="2"/>
      <c r="B68" s="531"/>
      <c r="C68" s="531"/>
      <c r="D68" s="9"/>
      <c r="E68" s="9"/>
      <c r="F68" s="64"/>
      <c r="G68" s="472"/>
      <c r="H68" s="64"/>
      <c r="I68" s="539"/>
      <c r="J68" s="527"/>
      <c r="K68" s="527"/>
      <c r="L68" s="527"/>
      <c r="M68" s="527"/>
      <c r="N68" s="483"/>
      <c r="O68" s="527"/>
      <c r="P68" s="483"/>
      <c r="Q68" s="480"/>
      <c r="R68" s="480"/>
      <c r="S68" s="527"/>
      <c r="T68" s="527"/>
      <c r="U68" s="32"/>
      <c r="V68" s="32"/>
      <c r="W68" s="9"/>
      <c r="X68" s="531"/>
      <c r="Y68" s="37"/>
      <c r="Z68" s="9"/>
      <c r="AA68" s="9"/>
      <c r="AB68" s="64"/>
      <c r="AC68" s="539"/>
      <c r="AD68" s="64"/>
      <c r="AE68" s="539"/>
      <c r="AF68" s="527"/>
      <c r="AG68" s="527"/>
      <c r="AH68" s="527"/>
      <c r="AI68" s="527"/>
      <c r="AJ68" s="483"/>
      <c r="AK68" s="527"/>
      <c r="AL68" s="483"/>
      <c r="AM68" s="480"/>
      <c r="AN68" s="480"/>
      <c r="AO68" s="64"/>
      <c r="AP68" s="64"/>
      <c r="AQ68" s="32"/>
      <c r="AR68" s="32"/>
      <c r="AS68" s="2"/>
      <c r="AT68" s="531"/>
      <c r="AU68" s="37"/>
      <c r="AV68" s="9"/>
      <c r="AW68" s="9"/>
      <c r="AX68" s="64"/>
      <c r="AY68" s="539"/>
      <c r="AZ68" s="64"/>
      <c r="BA68" s="539"/>
      <c r="BB68" s="527"/>
      <c r="BC68" s="527"/>
      <c r="BD68" s="527"/>
      <c r="BE68" s="527"/>
      <c r="BF68" s="483"/>
      <c r="BG68" s="527"/>
      <c r="BH68" s="483"/>
      <c r="BI68" s="480"/>
      <c r="BJ68" s="480"/>
      <c r="BK68" s="64"/>
      <c r="BL68" s="64"/>
      <c r="BM68" s="32"/>
      <c r="BN68" s="32"/>
    </row>
    <row r="69" spans="1:66" ht="13.5" hidden="1" customHeight="1" outlineLevel="1" x14ac:dyDescent="0.25">
      <c r="A69" s="2"/>
      <c r="B69" s="531" t="str">
        <f>E90</f>
        <v>IQ38043467</v>
      </c>
      <c r="C69" s="531"/>
      <c r="D69" s="9" t="e">
        <f ca="1">D51</f>
        <v>#NAME?</v>
      </c>
      <c r="E69" s="9"/>
      <c r="F69" s="64" t="str">
        <f>E89</f>
        <v>V</v>
      </c>
      <c r="G69" s="479" t="e">
        <f ca="1">_xll.ciqfunctions.udf.CIQ($B69, "IQ_EFFECT_TAX_RATE",IQ_FY)/100</f>
        <v>#NAME?</v>
      </c>
      <c r="H69" s="513" t="e">
        <f ca="1">_xll.ciqfunctions.udf.CIQ($B69, "IQ_BETA_5YR",Current_Date)</f>
        <v>#NAME?</v>
      </c>
      <c r="I69" s="479" t="e">
        <f ca="1">_xll.ciqfunctions.udf.CIQ($B69, "IQ_DIVIDEND_YIELD",Current_Date)/100</f>
        <v>#NAME?</v>
      </c>
      <c r="J69" s="479" t="e">
        <f ca="1">(_xll.ciqfunctions.udf.CIQ($B69,"IQ_OPER_INC",IQ_LTM)*(1-G69))/(((_xll.ciqfunctions.udf.CIQ($B69,"IQ_TOTAL_DEBT",IQ_LTM))+_xll.ciqfunctions.udf.CIQ($B69,"IQ_TOTAL_EQUITY",IQ_LTM))-_xll.ciqfunctions.udf.CIQ($B69,"IQ_CASH_EQUIV",IQ_LTM))</f>
        <v>#NAME?</v>
      </c>
      <c r="K69" s="479" t="e">
        <f ca="1">_xll.ciqfunctions.udf.CIQ($B69, "IQ_RETURN_EQUITY",IQ_LTM)/100</f>
        <v>#NAME?</v>
      </c>
      <c r="L69" s="479" t="e">
        <f ca="1">_xll.ciqfunctions.udf.CIQ($B69, "IQ_RETURN_ASSETS",IQ_LTM)/100</f>
        <v>#NAME?</v>
      </c>
      <c r="M69" s="483" t="e">
        <f ca="1">_xll.ciqfunctions.udf.CIQ($B69, "IQ_TOTAL_DEBT_CAPITAL",IQ_FY)/100</f>
        <v>#NAME?</v>
      </c>
      <c r="N69" s="483" t="e">
        <f ca="1">_xll.ciqfunctions.udf.CIQ($B69, "IQ_TOTAL_DEBT_EBITDA",IQ_FY)</f>
        <v>#NAME?</v>
      </c>
      <c r="O69" s="483" t="e">
        <f ca="1">_xll.ciqfunctions.udf.CIQ($B69, "IQ_TOTAL_DEBT_EQUITY",IQ_FY)/100</f>
        <v>#NAME?</v>
      </c>
      <c r="P69" s="483" t="e">
        <f ca="1">_xll.ciqfunctions.udf.CIQ($B69, "IQ_EBITDA_INT",IQ_FY)</f>
        <v>#NAME?</v>
      </c>
      <c r="Q69" s="483" t="e">
        <f ca="1">_xll.ciqfunctions.udf.CIQ($B69, "IQ_EBITDA_CAPEX_INT",IQ_FY)</f>
        <v>#NAME?</v>
      </c>
      <c r="R69" s="483" t="e">
        <f ca="1">_xll.ciqfunctions.udf.CIQ($B69, "IQ_EBIT_INT",IQ_FY)</f>
        <v>#NAME?</v>
      </c>
      <c r="S69" s="483" t="e">
        <f ca="1">_xll.ciqfunctions.udf.CIQ($B69, "IQ_QUICK_RATIO",IQ_FY)</f>
        <v>#NAME?</v>
      </c>
      <c r="T69" s="483" t="e">
        <f ca="1">_xll.ciqfunctions.udf.CIQ($B69, "IQ_CURRENT_RATIO",IQ_FY)</f>
        <v>#NAME?</v>
      </c>
      <c r="U69" s="64" t="e">
        <f ca="1">_xll.ciqfunctions.udf.CIQ($B69, "IQ_SP_LC_LT",Current)</f>
        <v>#NAME?</v>
      </c>
      <c r="V69" s="64" t="e">
        <f ca="1">_xll.ciqfunctions.udf.CIQ($B69, "IQ_SP_OUTLOOK_WATCH",Current)</f>
        <v>#NAME?</v>
      </c>
      <c r="W69" s="9"/>
      <c r="X69" s="531" t="str">
        <f>I90</f>
        <v>IQ159230</v>
      </c>
      <c r="Y69" s="37"/>
      <c r="Z69" s="9" t="e">
        <f ca="1">Z51</f>
        <v>#NAME?</v>
      </c>
      <c r="AA69" s="9"/>
      <c r="AB69" s="64" t="str">
        <f>I89</f>
        <v>RTX</v>
      </c>
      <c r="AC69" s="479" t="e">
        <f ca="1">_xll.ciqfunctions.udf.CIQ($X69, "IQ_EFFECT_TAX_RATE",IQ_FY)/100</f>
        <v>#NAME?</v>
      </c>
      <c r="AD69" s="513" t="e">
        <f ca="1">_xll.ciqfunctions.udf.CIQ($X69, "IQ_BETA_5YR",Current_Date)</f>
        <v>#NAME?</v>
      </c>
      <c r="AE69" s="479" t="e">
        <f ca="1">_xll.ciqfunctions.udf.CIQ($X69, "IQ_DIVIDEND_YIELD",Current_Date)/100</f>
        <v>#NAME?</v>
      </c>
      <c r="AF69" s="479" t="e">
        <f ca="1">(_xll.ciqfunctions.udf.CIQ($X69,"IQ_OPER_INC",IQ_LTM)*(1-AC69))/(((_xll.ciqfunctions.udf.CIQ($X69,"IQ_TOTAL_DEBT",IQ_LTM))+_xll.ciqfunctions.udf.CIQ($X69,"IQ_TOTAL_EQUITY",IQ_LTM))-_xll.ciqfunctions.udf.CIQ($X69,"IQ_CASH_EQUIV",IQ_LTM))</f>
        <v>#NAME?</v>
      </c>
      <c r="AG69" s="479" t="e">
        <f ca="1">_xll.ciqfunctions.udf.CIQ($X69, "IQ_RETURN_EQUITY",IQ_LTM)/100</f>
        <v>#NAME?</v>
      </c>
      <c r="AH69" s="479" t="e">
        <f ca="1">_xll.ciqfunctions.udf.CIQ($X69, "IQ_RETURN_ASSETS",IQ_LTM)/100</f>
        <v>#NAME?</v>
      </c>
      <c r="AI69" s="483" t="e">
        <f ca="1">_xll.ciqfunctions.udf.CIQ($X69, "IQ_TOTAL_DEBT_CAPITAL",IQ_FY)/100</f>
        <v>#NAME?</v>
      </c>
      <c r="AJ69" s="483" t="e">
        <f ca="1">_xll.ciqfunctions.udf.CIQ($X69, "IQ_TOTAL_DEBT_EBITDA",IQ_FY)</f>
        <v>#NAME?</v>
      </c>
      <c r="AK69" s="483" t="e">
        <f ca="1">_xll.ciqfunctions.udf.CIQ($X69, "IQ_TOTAL_DEBT_EQUITY",IQ_FY)/100</f>
        <v>#NAME?</v>
      </c>
      <c r="AL69" s="483" t="e">
        <f ca="1">_xll.ciqfunctions.udf.CIQ($X69, "IQ_EBITDA_INT",IQ_FY)</f>
        <v>#NAME?</v>
      </c>
      <c r="AM69" s="483" t="e">
        <f ca="1">_xll.ciqfunctions.udf.CIQ($X69, "IQ_EBITDA_CAPEX_INT",IQ_FY)</f>
        <v>#NAME?</v>
      </c>
      <c r="AN69" s="483" t="e">
        <f ca="1">_xll.ciqfunctions.udf.CIQ($X69, "IQ_EBIT_INT",IQ_FY)</f>
        <v>#NAME?</v>
      </c>
      <c r="AO69" s="513" t="e">
        <f ca="1">_xll.ciqfunctions.udf.CIQ($X69, "IQ_QUICK_RATIO",IQ_FY)</f>
        <v>#NAME?</v>
      </c>
      <c r="AP69" s="513" t="e">
        <f ca="1">_xll.ciqfunctions.udf.CIQ($X69, "IQ_CURRENT_RATIO",IQ_FY)</f>
        <v>#NAME?</v>
      </c>
      <c r="AQ69" s="64" t="e">
        <f ca="1">_xll.ciqfunctions.udf.CIQ($X69, "IQ_SP_LC_LT",Current)</f>
        <v>#NAME?</v>
      </c>
      <c r="AR69" s="64" t="e">
        <f ca="1">_xll.ciqfunctions.udf.CIQ($X69, "IQ_SP_OUTLOOK_WATCH",Current)</f>
        <v>#NAME?</v>
      </c>
      <c r="AS69" s="2"/>
      <c r="AT69" s="531" t="str">
        <f>N90</f>
        <v>IQ289194</v>
      </c>
      <c r="AU69" s="37">
        <f t="shared" ref="AU69:AV69" si="59">AU51</f>
        <v>0</v>
      </c>
      <c r="AV69" s="9" t="e">
        <f t="shared" ca="1" si="59"/>
        <v>#NAME?</v>
      </c>
      <c r="AW69" s="9"/>
      <c r="AX69" s="64" t="str">
        <f>AX51</f>
        <v>MMM</v>
      </c>
      <c r="AY69" s="479" t="e">
        <f ca="1">_xll.ciqfunctions.udf.CIQ($AT69, "IQ_EFFECT_TAX_RATE",IQ_FY)/100</f>
        <v>#NAME?</v>
      </c>
      <c r="AZ69" s="513" t="e">
        <f ca="1">_xll.ciqfunctions.udf.CIQ($AT69, "IQ_BETA_5YR",Current_Date)</f>
        <v>#NAME?</v>
      </c>
      <c r="BA69" s="479" t="e">
        <f ca="1">_xll.ciqfunctions.udf.CIQ($AT69, "IQ_DIVIDEND_YIELD",Current_Date)/100</f>
        <v>#NAME?</v>
      </c>
      <c r="BB69" s="479" t="e">
        <f ca="1">(_xll.ciqfunctions.udf.CIQ($AT69,"IQ_OPER_INC",IQ_LTM)*(1-AY69))/(((_xll.ciqfunctions.udf.CIQ($AT69,"IQ_TOTAL_DEBT",IQ_LTM))+_xll.ciqfunctions.udf.CIQ($AT69,"IQ_TOTAL_EQUITY",IQ_LTM))-_xll.ciqfunctions.udf.CIQ($AT69,"IQ_CASH_EQUIV",IQ_LTM))</f>
        <v>#NAME?</v>
      </c>
      <c r="BC69" s="479" t="e">
        <f ca="1">_xll.ciqfunctions.udf.CIQ($AT69, "IQ_RETURN_EQUITY",IQ_LTM)/100</f>
        <v>#NAME?</v>
      </c>
      <c r="BD69" s="479" t="e">
        <f ca="1">_xll.ciqfunctions.udf.CIQ($AT69, "IQ_RETURN_ASSETS",IQ_LTM)/100</f>
        <v>#NAME?</v>
      </c>
      <c r="BE69" s="483" t="e">
        <f ca="1">_xll.ciqfunctions.udf.CIQ($AT69, "IQ_TOTAL_DEBT_CAPITAL",IQ_FY)/100</f>
        <v>#NAME?</v>
      </c>
      <c r="BF69" s="483" t="e">
        <f ca="1">_xll.ciqfunctions.udf.CIQ($AT69, "IQ_TOTAL_DEBT_EBITDA",IQ_FY)</f>
        <v>#NAME?</v>
      </c>
      <c r="BG69" s="483" t="e">
        <f ca="1">_xll.ciqfunctions.udf.CIQ($AT69, "IQ_TOTAL_DEBT_EQUITY",IQ_FY)/100</f>
        <v>#NAME?</v>
      </c>
      <c r="BH69" s="483" t="e">
        <f ca="1">_xll.ciqfunctions.udf.CIQ($AT69, "IQ_EBITDA_INT",IQ_FY)</f>
        <v>#NAME?</v>
      </c>
      <c r="BI69" s="483" t="e">
        <f ca="1">_xll.ciqfunctions.udf.CIQ($AT69, "IQ_EBITDA_CAPEX_INT",IQ_FY)</f>
        <v>#NAME?</v>
      </c>
      <c r="BJ69" s="483" t="e">
        <f ca="1">_xll.ciqfunctions.udf.CIQ($AT69, "IQ_EBIT_INT",IQ_FY)</f>
        <v>#NAME?</v>
      </c>
      <c r="BK69" s="513" t="e">
        <f ca="1">_xll.ciqfunctions.udf.CIQ($AT69, "IQ_QUICK_RATIO",IQ_FY)</f>
        <v>#NAME?</v>
      </c>
      <c r="BL69" s="513" t="e">
        <f ca="1">_xll.ciqfunctions.udf.CIQ($AT69, "IQ_CURRENT_RATIO",IQ_FY)</f>
        <v>#NAME?</v>
      </c>
      <c r="BM69" s="64" t="e">
        <f ca="1">_xll.ciqfunctions.udf.CIQ($AT69, "IQ_SP_LC_LT",Current)</f>
        <v>#NAME?</v>
      </c>
      <c r="BN69" s="64" t="e">
        <f ca="1">_xll.ciqfunctions.udf.CIQ($AT69, "IQ_SP_OUTLOOK_WATCH",Current)</f>
        <v>#NAME?</v>
      </c>
    </row>
    <row r="70" spans="1:66" ht="13.5" hidden="1" customHeight="1" outlineLevel="1" x14ac:dyDescent="0.25">
      <c r="A70" s="2"/>
      <c r="B70" s="531" t="str">
        <f>E94</f>
        <v>IQ6477196</v>
      </c>
      <c r="C70" s="531"/>
      <c r="D70" s="9" t="e">
        <f ca="1">D52</f>
        <v>#NAME?</v>
      </c>
      <c r="E70" s="9"/>
      <c r="F70" s="64" t="str">
        <f>E93</f>
        <v>MA</v>
      </c>
      <c r="G70" s="479" t="e">
        <f ca="1">_xll.ciqfunctions.udf.CIQ($B70, "IQ_EFFECT_TAX_RATE",IQ_FY)/100</f>
        <v>#NAME?</v>
      </c>
      <c r="H70" s="513" t="e">
        <f ca="1">_xll.ciqfunctions.udf.CIQ($B70, "IQ_BETA_5YR",Current_Date)</f>
        <v>#NAME?</v>
      </c>
      <c r="I70" s="479" t="e">
        <f ca="1">_xll.ciqfunctions.udf.CIQ($B70, "IQ_DIVIDEND_YIELD",Current_Date)/100</f>
        <v>#NAME?</v>
      </c>
      <c r="J70" s="479" t="e">
        <f ca="1">(_xll.ciqfunctions.udf.CIQ($B70,"IQ_OPER_INC",IQ_LTM)*(1-G70))/(((_xll.ciqfunctions.udf.CIQ($B70,"IQ_TOTAL_DEBT",IQ_LTM))+_xll.ciqfunctions.udf.CIQ($B70,"IQ_TOTAL_EQUITY",IQ_LTM))-_xll.ciqfunctions.udf.CIQ($B70,"IQ_CASH_EQUIV",IQ_LTM))</f>
        <v>#NAME?</v>
      </c>
      <c r="K70" s="479" t="e">
        <f ca="1">_xll.ciqfunctions.udf.CIQ($B70, "IQ_RETURN_EQUITY",IQ_LTM)/100</f>
        <v>#NAME?</v>
      </c>
      <c r="L70" s="479" t="e">
        <f ca="1">_xll.ciqfunctions.udf.CIQ($B70, "IQ_RETURN_ASSETS",IQ_LTM)/100</f>
        <v>#NAME?</v>
      </c>
      <c r="M70" s="483" t="e">
        <f ca="1">_xll.ciqfunctions.udf.CIQ($B70, "IQ_TOTAL_DEBT_CAPITAL",IQ_FY)/100</f>
        <v>#NAME?</v>
      </c>
      <c r="N70" s="483" t="e">
        <f ca="1">_xll.ciqfunctions.udf.CIQ($B70, "IQ_TOTAL_DEBT_EBITDA",IQ_FY)</f>
        <v>#NAME?</v>
      </c>
      <c r="O70" s="483" t="e">
        <f ca="1">_xll.ciqfunctions.udf.CIQ($B70, "IQ_TOTAL_DEBT_EQUITY",IQ_FY)/100</f>
        <v>#NAME?</v>
      </c>
      <c r="P70" s="483" t="e">
        <f ca="1">_xll.ciqfunctions.udf.CIQ($B70, "IQ_EBITDA_INT",IQ_FY)</f>
        <v>#NAME?</v>
      </c>
      <c r="Q70" s="483" t="e">
        <f ca="1">_xll.ciqfunctions.udf.CIQ($B70, "IQ_EBITDA_CAPEX_INT",IQ_FY)</f>
        <v>#NAME?</v>
      </c>
      <c r="R70" s="483" t="e">
        <f ca="1">_xll.ciqfunctions.udf.CIQ($B70, "IQ_EBIT_INT",IQ_FY)</f>
        <v>#NAME?</v>
      </c>
      <c r="S70" s="483" t="e">
        <f ca="1">_xll.ciqfunctions.udf.CIQ($B70, "IQ_QUICK_RATIO",IQ_FY)</f>
        <v>#NAME?</v>
      </c>
      <c r="T70" s="483" t="e">
        <f ca="1">_xll.ciqfunctions.udf.CIQ($B70, "IQ_CURRENT_RATIO",IQ_FY)</f>
        <v>#NAME?</v>
      </c>
      <c r="U70" s="64" t="e">
        <f ca="1">_xll.ciqfunctions.udf.CIQ($B70, "IQ_SP_LC_LT",Current)</f>
        <v>#NAME?</v>
      </c>
      <c r="V70" s="64" t="e">
        <f ca="1">_xll.ciqfunctions.udf.CIQ($B70, "IQ_SP_OUTLOOK_WATCH",Current)</f>
        <v>#NAME?</v>
      </c>
      <c r="W70" s="9"/>
      <c r="X70" s="531" t="str">
        <f>I94</f>
        <v>IQ370857</v>
      </c>
      <c r="Y70" s="37"/>
      <c r="Z70" s="9" t="e">
        <f ca="1">Z52</f>
        <v>#NAME?</v>
      </c>
      <c r="AA70" s="9"/>
      <c r="AB70" s="64" t="str">
        <f>I93</f>
        <v>BA</v>
      </c>
      <c r="AC70" s="479" t="e">
        <f ca="1">_xll.ciqfunctions.udf.CIQ($X70, "IQ_EFFECT_TAX_RATE",IQ_FY)/100</f>
        <v>#NAME?</v>
      </c>
      <c r="AD70" s="513" t="e">
        <f ca="1">_xll.ciqfunctions.udf.CIQ($X70, "IQ_BETA_5YR",Current_Date)</f>
        <v>#NAME?</v>
      </c>
      <c r="AE70" s="479" t="e">
        <f ca="1">_xll.ciqfunctions.udf.CIQ($X70, "IQ_DIVIDEND_YIELD",Current_Date)/100</f>
        <v>#NAME?</v>
      </c>
      <c r="AF70" s="479" t="e">
        <f ca="1">(_xll.ciqfunctions.udf.CIQ($X70,"IQ_OPER_INC",IQ_LTM)*(1-AC70))/(((_xll.ciqfunctions.udf.CIQ($X70,"IQ_TOTAL_DEBT",IQ_LTM))+_xll.ciqfunctions.udf.CIQ($X70,"IQ_TOTAL_EQUITY",IQ_LTM))-_xll.ciqfunctions.udf.CIQ($X70,"IQ_CASH_EQUIV",IQ_LTM))</f>
        <v>#NAME?</v>
      </c>
      <c r="AG70" s="479" t="e">
        <f ca="1">_xll.ciqfunctions.udf.CIQ($X70, "IQ_RETURN_EQUITY",IQ_LTM)/100</f>
        <v>#NAME?</v>
      </c>
      <c r="AH70" s="479" t="e">
        <f ca="1">_xll.ciqfunctions.udf.CIQ($X70, "IQ_RETURN_ASSETS",IQ_LTM)/100</f>
        <v>#NAME?</v>
      </c>
      <c r="AI70" s="483" t="e">
        <f ca="1">_xll.ciqfunctions.udf.CIQ($X70, "IQ_TOTAL_DEBT_CAPITAL",IQ_FY)/100</f>
        <v>#NAME?</v>
      </c>
      <c r="AJ70" s="483" t="e">
        <f ca="1">_xll.ciqfunctions.udf.CIQ($X70, "IQ_TOTAL_DEBT_EBITDA",IQ_FY)</f>
        <v>#NAME?</v>
      </c>
      <c r="AK70" s="483" t="e">
        <f ca="1">_xll.ciqfunctions.udf.CIQ($X70, "IQ_TOTAL_DEBT_EQUITY",IQ_FY)/100</f>
        <v>#NAME?</v>
      </c>
      <c r="AL70" s="483" t="e">
        <f ca="1">_xll.ciqfunctions.udf.CIQ($X70, "IQ_EBITDA_INT",IQ_FY)</f>
        <v>#NAME?</v>
      </c>
      <c r="AM70" s="483" t="e">
        <f ca="1">_xll.ciqfunctions.udf.CIQ($X70, "IQ_EBITDA_CAPEX_INT",IQ_FY)</f>
        <v>#NAME?</v>
      </c>
      <c r="AN70" s="483" t="e">
        <f ca="1">_xll.ciqfunctions.udf.CIQ($X70, "IQ_EBIT_INT",IQ_FY)</f>
        <v>#NAME?</v>
      </c>
      <c r="AO70" s="513" t="e">
        <f ca="1">_xll.ciqfunctions.udf.CIQ($X70, "IQ_QUICK_RATIO",IQ_FY)</f>
        <v>#NAME?</v>
      </c>
      <c r="AP70" s="513" t="e">
        <f ca="1">_xll.ciqfunctions.udf.CIQ($X70, "IQ_CURRENT_RATIO",IQ_FY)</f>
        <v>#NAME?</v>
      </c>
      <c r="AQ70" s="64" t="e">
        <f ca="1">_xll.ciqfunctions.udf.CIQ($X70, "IQ_SP_LC_LT",Current)</f>
        <v>#NAME?</v>
      </c>
      <c r="AR70" s="64" t="e">
        <f ca="1">_xll.ciqfunctions.udf.CIQ($X70, "IQ_SP_OUTLOOK_WATCH",Current)</f>
        <v>#NAME?</v>
      </c>
      <c r="AS70" s="2"/>
      <c r="AT70" s="531" t="str">
        <f>N94</f>
        <v>IQ177031</v>
      </c>
      <c r="AU70" s="37">
        <f>AU92</f>
        <v>0</v>
      </c>
      <c r="AV70" s="9" t="e">
        <f ca="1">AV52</f>
        <v>#NAME?</v>
      </c>
      <c r="AW70" s="9"/>
      <c r="AX70" s="64" t="str">
        <f>AX52</f>
        <v>GE</v>
      </c>
      <c r="AY70" s="479" t="e">
        <f ca="1">_xll.ciqfunctions.udf.CIQ($AT70, "IQ_EFFECT_TAX_RATE",IQ_FY)/100</f>
        <v>#NAME?</v>
      </c>
      <c r="AZ70" s="513" t="e">
        <f ca="1">_xll.ciqfunctions.udf.CIQ($AT70, "IQ_BETA_5YR",Current_Date)</f>
        <v>#NAME?</v>
      </c>
      <c r="BA70" s="479" t="e">
        <f ca="1">_xll.ciqfunctions.udf.CIQ($AT70, "IQ_DIVIDEND_YIELD",Current_Date)/100</f>
        <v>#NAME?</v>
      </c>
      <c r="BB70" s="479" t="e">
        <f ca="1">(_xll.ciqfunctions.udf.CIQ($AT70,"IQ_OPER_INC",IQ_LTM)*(1-AY70))/(((_xll.ciqfunctions.udf.CIQ($AT70,"IQ_TOTAL_DEBT",IQ_LTM))+_xll.ciqfunctions.udf.CIQ($AT70,"IQ_TOTAL_EQUITY",IQ_LTM))-_xll.ciqfunctions.udf.CIQ($AT70,"IQ_CASH_EQUIV",IQ_LTM))</f>
        <v>#NAME?</v>
      </c>
      <c r="BC70" s="479" t="e">
        <f ca="1">_xll.ciqfunctions.udf.CIQ($AT70, "IQ_RETURN_EQUITY",IQ_LTM)/100</f>
        <v>#NAME?</v>
      </c>
      <c r="BD70" s="479" t="e">
        <f ca="1">_xll.ciqfunctions.udf.CIQ($AT70, "IQ_RETURN_ASSETS",IQ_LTM)/100</f>
        <v>#NAME?</v>
      </c>
      <c r="BE70" s="483" t="e">
        <f ca="1">_xll.ciqfunctions.udf.CIQ($AT70, "IQ_TOTAL_DEBT_CAPITAL",IQ_FY)/100</f>
        <v>#NAME?</v>
      </c>
      <c r="BF70" s="483" t="e">
        <f ca="1">_xll.ciqfunctions.udf.CIQ($AT70, "IQ_TOTAL_DEBT_EBITDA",IQ_FY)</f>
        <v>#NAME?</v>
      </c>
      <c r="BG70" s="483" t="e">
        <f ca="1">_xll.ciqfunctions.udf.CIQ($AT70, "IQ_TOTAL_DEBT_EQUITY",IQ_FY)/100</f>
        <v>#NAME?</v>
      </c>
      <c r="BH70" s="483" t="e">
        <f ca="1">_xll.ciqfunctions.udf.CIQ($AT70, "IQ_EBITDA_INT",IQ_FY)</f>
        <v>#NAME?</v>
      </c>
      <c r="BI70" s="483" t="e">
        <f ca="1">_xll.ciqfunctions.udf.CIQ($AT70, "IQ_EBITDA_CAPEX_INT",IQ_FY)</f>
        <v>#NAME?</v>
      </c>
      <c r="BJ70" s="483" t="e">
        <f ca="1">_xll.ciqfunctions.udf.CIQ($AT70, "IQ_EBIT_INT",IQ_FY)</f>
        <v>#NAME?</v>
      </c>
      <c r="BK70" s="513" t="e">
        <f ca="1">_xll.ciqfunctions.udf.CIQ($AT70, "IQ_QUICK_RATIO",IQ_FY)</f>
        <v>#NAME?</v>
      </c>
      <c r="BL70" s="513" t="e">
        <f ca="1">_xll.ciqfunctions.udf.CIQ($AT70, "IQ_CURRENT_RATIO",IQ_FY)</f>
        <v>#NAME?</v>
      </c>
      <c r="BM70" s="64" t="e">
        <f ca="1">_xll.ciqfunctions.udf.CIQ($AT70, "IQ_SP_LC_LT",Current)</f>
        <v>#NAME?</v>
      </c>
      <c r="BN70" s="64" t="e">
        <f ca="1">_xll.ciqfunctions.udf.CIQ($AT70, "IQ_SP_OUTLOOK_WATCH",Current)</f>
        <v>#NAME?</v>
      </c>
    </row>
    <row r="71" spans="1:66" ht="13.5" hidden="1" customHeight="1" outlineLevel="1" x14ac:dyDescent="0.25">
      <c r="A71" s="2"/>
      <c r="B71" s="531" t="str">
        <f>E98</f>
        <v>IQ336241</v>
      </c>
      <c r="C71" s="531"/>
      <c r="D71" s="9" t="e">
        <f ca="1">D53</f>
        <v>#NAME?</v>
      </c>
      <c r="E71" s="9"/>
      <c r="F71" s="64" t="str">
        <f>E97</f>
        <v>COF</v>
      </c>
      <c r="G71" s="479" t="e">
        <f ca="1">_xll.ciqfunctions.udf.CIQ($B71, "IQ_EFFECT_TAX_RATE",IQ_FY)/100</f>
        <v>#NAME?</v>
      </c>
      <c r="H71" s="513" t="e">
        <f ca="1">_xll.ciqfunctions.udf.CIQ($B71, "IQ_BETA_5YR",Current_Date)</f>
        <v>#NAME?</v>
      </c>
      <c r="I71" s="479" t="e">
        <f ca="1">_xll.ciqfunctions.udf.CIQ($B71, "IQ_DIVIDEND_YIELD",Current_Date)/100</f>
        <v>#NAME?</v>
      </c>
      <c r="J71" s="479" t="e">
        <f ca="1">(_xll.ciqfunctions.udf.CIQ($B71,"IQ_OPER_INC",IQ_LTM)*(1-G71))/(((_xll.ciqfunctions.udf.CIQ($B71,"IQ_TOTAL_DEBT",IQ_LTM))+_xll.ciqfunctions.udf.CIQ($B71,"IQ_TOTAL_EQUITY",IQ_LTM))-_xll.ciqfunctions.udf.CIQ($B71,"IQ_CASH_EQUIV",IQ_LTM))</f>
        <v>#NAME?</v>
      </c>
      <c r="K71" s="479" t="e">
        <f ca="1">_xll.ciqfunctions.udf.CIQ($B71, "IQ_RETURN_EQUITY",IQ_LTM)/100</f>
        <v>#NAME?</v>
      </c>
      <c r="L71" s="479" t="e">
        <f ca="1">_xll.ciqfunctions.udf.CIQ($B71, "IQ_RETURN_ASSETS",IQ_LTM)/100</f>
        <v>#NAME?</v>
      </c>
      <c r="M71" s="483" t="e">
        <f ca="1">_xll.ciqfunctions.udf.CIQ($B71, "IQ_TOTAL_DEBT_CAPITAL",IQ_FY)/100</f>
        <v>#NAME?</v>
      </c>
      <c r="N71" s="483" t="e">
        <f ca="1">_xll.ciqfunctions.udf.CIQ($B71, "IQ_TOTAL_DEBT_EBITDA",IQ_FY)</f>
        <v>#NAME?</v>
      </c>
      <c r="O71" s="483" t="e">
        <f ca="1">_xll.ciqfunctions.udf.CIQ($B71, "IQ_TOTAL_DEBT_EQUITY",IQ_FY)/100</f>
        <v>#NAME?</v>
      </c>
      <c r="P71" s="483" t="e">
        <f ca="1">_xll.ciqfunctions.udf.CIQ($B71, "IQ_EBITDA_INT",IQ_FY)</f>
        <v>#NAME?</v>
      </c>
      <c r="Q71" s="483" t="e">
        <f ca="1">_xll.ciqfunctions.udf.CIQ($B71, "IQ_EBITDA_CAPEX_INT",IQ_FY)</f>
        <v>#NAME?</v>
      </c>
      <c r="R71" s="483" t="e">
        <f ca="1">_xll.ciqfunctions.udf.CIQ($B71, "IQ_EBIT_INT",IQ_FY)</f>
        <v>#NAME?</v>
      </c>
      <c r="S71" s="483" t="e">
        <f ca="1">_xll.ciqfunctions.udf.CIQ($B71, "IQ_QUICK_RATIO",IQ_FY)</f>
        <v>#NAME?</v>
      </c>
      <c r="T71" s="483" t="e">
        <f ca="1">_xll.ciqfunctions.udf.CIQ($B71, "IQ_CURRENT_RATIO",IQ_FY)</f>
        <v>#NAME?</v>
      </c>
      <c r="U71" s="64" t="e">
        <f ca="1">_xll.ciqfunctions.udf.CIQ($B71, "IQ_SP_LC_LT",Current)</f>
        <v>#NAME?</v>
      </c>
      <c r="V71" s="64" t="e">
        <f ca="1">_xll.ciqfunctions.udf.CIQ($B71, "IQ_SP_OUTLOOK_WATCH",Current)</f>
        <v>#NAME?</v>
      </c>
      <c r="W71" s="9"/>
      <c r="X71" s="531" t="str">
        <f>I98</f>
        <v>IQ363263</v>
      </c>
      <c r="Y71" s="37"/>
      <c r="Z71" s="9" t="e">
        <f ca="1">Z53</f>
        <v>#NAME?</v>
      </c>
      <c r="AA71" s="9"/>
      <c r="AB71" s="64" t="str">
        <f>I97</f>
        <v>HII</v>
      </c>
      <c r="AC71" s="479" t="e">
        <f ca="1">_xll.ciqfunctions.udf.CIQ($X71, "IQ_EFFECT_TAX_RATE",IQ_FY)/100</f>
        <v>#NAME?</v>
      </c>
      <c r="AD71" s="513" t="e">
        <f ca="1">_xll.ciqfunctions.udf.CIQ($X71, "IQ_BETA_5YR",Current_Date)</f>
        <v>#NAME?</v>
      </c>
      <c r="AE71" s="479" t="e">
        <f ca="1">_xll.ciqfunctions.udf.CIQ($X71, "IQ_DIVIDEND_YIELD",Current_Date)/100</f>
        <v>#NAME?</v>
      </c>
      <c r="AF71" s="479" t="e">
        <f ca="1">(_xll.ciqfunctions.udf.CIQ($X71,"IQ_OPER_INC",IQ_LTM)*(1-AC71))/(((_xll.ciqfunctions.udf.CIQ($X71,"IQ_TOTAL_DEBT",IQ_LTM))+_xll.ciqfunctions.udf.CIQ($X71,"IQ_TOTAL_EQUITY",IQ_LTM))-_xll.ciqfunctions.udf.CIQ($X71,"IQ_CASH_EQUIV",IQ_LTM))</f>
        <v>#NAME?</v>
      </c>
      <c r="AG71" s="479" t="e">
        <f ca="1">_xll.ciqfunctions.udf.CIQ($X71, "IQ_RETURN_EQUITY",IQ_LTM)/100</f>
        <v>#NAME?</v>
      </c>
      <c r="AH71" s="479" t="e">
        <f ca="1">_xll.ciqfunctions.udf.CIQ($X71, "IQ_RETURN_ASSETS",IQ_LTM)/100</f>
        <v>#NAME?</v>
      </c>
      <c r="AI71" s="483" t="e">
        <f ca="1">_xll.ciqfunctions.udf.CIQ($X71, "IQ_TOTAL_DEBT_CAPITAL",IQ_FY)/100</f>
        <v>#NAME?</v>
      </c>
      <c r="AJ71" s="483" t="e">
        <f ca="1">_xll.ciqfunctions.udf.CIQ($X71, "IQ_TOTAL_DEBT_EBITDA",IQ_FY)</f>
        <v>#NAME?</v>
      </c>
      <c r="AK71" s="483" t="e">
        <f ca="1">_xll.ciqfunctions.udf.CIQ($X71, "IQ_TOTAL_DEBT_EQUITY",IQ_FY)/100</f>
        <v>#NAME?</v>
      </c>
      <c r="AL71" s="483" t="e">
        <f ca="1">_xll.ciqfunctions.udf.CIQ($X71, "IQ_EBITDA_INT",IQ_FY)</f>
        <v>#NAME?</v>
      </c>
      <c r="AM71" s="483" t="e">
        <f ca="1">_xll.ciqfunctions.udf.CIQ($X71, "IQ_EBITDA_CAPEX_INT",IQ_FY)</f>
        <v>#NAME?</v>
      </c>
      <c r="AN71" s="483" t="e">
        <f ca="1">_xll.ciqfunctions.udf.CIQ($X71, "IQ_EBIT_INT",IQ_FY)</f>
        <v>#NAME?</v>
      </c>
      <c r="AO71" s="513" t="e">
        <f ca="1">_xll.ciqfunctions.udf.CIQ($X71, "IQ_QUICK_RATIO",IQ_FY)</f>
        <v>#NAME?</v>
      </c>
      <c r="AP71" s="513" t="e">
        <f ca="1">_xll.ciqfunctions.udf.CIQ($X71, "IQ_CURRENT_RATIO",IQ_FY)</f>
        <v>#NAME?</v>
      </c>
      <c r="AQ71" s="64" t="e">
        <f ca="1">_xll.ciqfunctions.udf.CIQ($X71, "IQ_SP_LC_LT",Current)</f>
        <v>#NAME?</v>
      </c>
      <c r="AR71" s="64" t="e">
        <f ca="1">_xll.ciqfunctions.udf.CIQ($X71, "IQ_SP_OUTLOOK_WATCH",Current)</f>
        <v>#NAME?</v>
      </c>
      <c r="AS71" s="2"/>
      <c r="AT71" s="531" t="str">
        <f>N98</f>
        <v>IQ1340740</v>
      </c>
      <c r="AU71" s="37">
        <f>AU96</f>
        <v>0</v>
      </c>
      <c r="AV71" s="9" t="e">
        <f ca="1">AV53</f>
        <v>#NAME?</v>
      </c>
      <c r="AW71" s="9"/>
      <c r="AX71" s="64" t="str">
        <f>AX53</f>
        <v>HON</v>
      </c>
      <c r="AY71" s="479" t="e">
        <f ca="1">_xll.ciqfunctions.udf.CIQ($AT71, "IQ_EFFECT_TAX_RATE",IQ_FY)/100</f>
        <v>#NAME?</v>
      </c>
      <c r="AZ71" s="513" t="e">
        <f ca="1">_xll.ciqfunctions.udf.CIQ($AT71, "IQ_BETA_5YR",Current_Date)</f>
        <v>#NAME?</v>
      </c>
      <c r="BA71" s="479" t="e">
        <f ca="1">_xll.ciqfunctions.udf.CIQ($AT71, "IQ_DIVIDEND_YIELD",Current_Date)/100</f>
        <v>#NAME?</v>
      </c>
      <c r="BB71" s="479" t="e">
        <f ca="1">(_xll.ciqfunctions.udf.CIQ($AT71,"IQ_OPER_INC",IQ_LTM)*(1-AY71))/(((_xll.ciqfunctions.udf.CIQ($AT71,"IQ_TOTAL_DEBT",IQ_LTM))+_xll.ciqfunctions.udf.CIQ($AT71,"IQ_TOTAL_EQUITY",IQ_LTM))-_xll.ciqfunctions.udf.CIQ($AT71,"IQ_CASH_EQUIV",IQ_LTM))</f>
        <v>#NAME?</v>
      </c>
      <c r="BC71" s="479" t="e">
        <f ca="1">_xll.ciqfunctions.udf.CIQ($AT71, "IQ_RETURN_EQUITY",IQ_LTM)/100</f>
        <v>#NAME?</v>
      </c>
      <c r="BD71" s="479" t="e">
        <f ca="1">_xll.ciqfunctions.udf.CIQ($AT71, "IQ_RETURN_ASSETS",IQ_LTM)/100</f>
        <v>#NAME?</v>
      </c>
      <c r="BE71" s="483" t="e">
        <f ca="1">_xll.ciqfunctions.udf.CIQ($AT71, "IQ_TOTAL_DEBT_CAPITAL",IQ_FY)/100</f>
        <v>#NAME?</v>
      </c>
      <c r="BF71" s="483" t="e">
        <f ca="1">_xll.ciqfunctions.udf.CIQ($AT71, "IQ_TOTAL_DEBT_EBITDA",IQ_FY)</f>
        <v>#NAME?</v>
      </c>
      <c r="BG71" s="483" t="e">
        <f ca="1">_xll.ciqfunctions.udf.CIQ($AT71, "IQ_TOTAL_DEBT_EQUITY",IQ_FY)/100</f>
        <v>#NAME?</v>
      </c>
      <c r="BH71" s="483" t="e">
        <f ca="1">_xll.ciqfunctions.udf.CIQ($AT71, "IQ_EBITDA_INT",IQ_FY)</f>
        <v>#NAME?</v>
      </c>
      <c r="BI71" s="483" t="e">
        <f ca="1">_xll.ciqfunctions.udf.CIQ($AT71, "IQ_EBITDA_CAPEX_INT",IQ_FY)</f>
        <v>#NAME?</v>
      </c>
      <c r="BJ71" s="483" t="e">
        <f ca="1">_xll.ciqfunctions.udf.CIQ($AT71, "IQ_EBIT_INT",IQ_FY)</f>
        <v>#NAME?</v>
      </c>
      <c r="BK71" s="513" t="e">
        <f ca="1">_xll.ciqfunctions.udf.CIQ($AT71, "IQ_QUICK_RATIO",IQ_FY)</f>
        <v>#NAME?</v>
      </c>
      <c r="BL71" s="513" t="e">
        <f ca="1">_xll.ciqfunctions.udf.CIQ($AT71, "IQ_CURRENT_RATIO",IQ_FY)</f>
        <v>#NAME?</v>
      </c>
      <c r="BM71" s="64" t="e">
        <f ca="1">_xll.ciqfunctions.udf.CIQ($AT71, "IQ_SP_LC_LT",Current)</f>
        <v>#NAME?</v>
      </c>
      <c r="BN71" s="64" t="e">
        <f ca="1">_xll.ciqfunctions.udf.CIQ($AT71, "IQ_SP_OUTLOOK_WATCH",Current)</f>
        <v>#NAME?</v>
      </c>
    </row>
    <row r="72" spans="1:66" ht="13.5" hidden="1" customHeight="1" outlineLevel="1" x14ac:dyDescent="0.25">
      <c r="A72" s="2"/>
      <c r="B72" s="531" t="str">
        <f>E102</f>
        <v>IQ658776</v>
      </c>
      <c r="C72" s="531"/>
      <c r="D72" s="9" t="e">
        <f ca="1">D54</f>
        <v>#NAME?</v>
      </c>
      <c r="E72" s="9"/>
      <c r="F72" s="64" t="str">
        <f>E101</f>
        <v>JPM</v>
      </c>
      <c r="G72" s="479" t="e">
        <f ca="1">_xll.ciqfunctions.udf.CIQ($B72, "IQ_EFFECT_TAX_RATE",IQ_FY)/100</f>
        <v>#NAME?</v>
      </c>
      <c r="H72" s="513" t="e">
        <f ca="1">_xll.ciqfunctions.udf.CIQ($B72, "IQ_BETA_5YR",Current_Date)</f>
        <v>#NAME?</v>
      </c>
      <c r="I72" s="479" t="e">
        <f ca="1">_xll.ciqfunctions.udf.CIQ($B72, "IQ_DIVIDEND_YIELD",Current_Date)/100</f>
        <v>#NAME?</v>
      </c>
      <c r="J72" s="479" t="e">
        <f ca="1">(_xll.ciqfunctions.udf.CIQ($B72,"IQ_OPER_INC",IQ_LTM)*(1-G72))/(((_xll.ciqfunctions.udf.CIQ($B72,"IQ_TOTAL_DEBT",IQ_LTM))+_xll.ciqfunctions.udf.CIQ($B72,"IQ_TOTAL_EQUITY",IQ_LTM))-_xll.ciqfunctions.udf.CIQ($B72,"IQ_CASH_EQUIV",IQ_LTM))</f>
        <v>#NAME?</v>
      </c>
      <c r="K72" s="479" t="e">
        <f ca="1">_xll.ciqfunctions.udf.CIQ($B72, "IQ_RETURN_EQUITY",IQ_LTM)/100</f>
        <v>#NAME?</v>
      </c>
      <c r="L72" s="479" t="e">
        <f ca="1">_xll.ciqfunctions.udf.CIQ($B72, "IQ_RETURN_ASSETS",IQ_LTM)/100</f>
        <v>#NAME?</v>
      </c>
      <c r="M72" s="483" t="e">
        <f ca="1">_xll.ciqfunctions.udf.CIQ($B72, "IQ_TOTAL_DEBT_CAPITAL",IQ_FY)/100</f>
        <v>#NAME?</v>
      </c>
      <c r="N72" s="483" t="e">
        <f ca="1">_xll.ciqfunctions.udf.CIQ($B72, "IQ_TOTAL_DEBT_EBITDA",IQ_FY)</f>
        <v>#NAME?</v>
      </c>
      <c r="O72" s="483" t="e">
        <f ca="1">_xll.ciqfunctions.udf.CIQ($B72, "IQ_TOTAL_DEBT_EQUITY",IQ_FY)/100</f>
        <v>#NAME?</v>
      </c>
      <c r="P72" s="483" t="e">
        <f ca="1">_xll.ciqfunctions.udf.CIQ($B72, "IQ_EBITDA_INT",IQ_FY)</f>
        <v>#NAME?</v>
      </c>
      <c r="Q72" s="483" t="e">
        <f ca="1">_xll.ciqfunctions.udf.CIQ($B72, "IQ_EBITDA_CAPEX_INT",IQ_FY)</f>
        <v>#NAME?</v>
      </c>
      <c r="R72" s="483" t="e">
        <f ca="1">_xll.ciqfunctions.udf.CIQ($B72, "IQ_EBIT_INT",IQ_FY)</f>
        <v>#NAME?</v>
      </c>
      <c r="S72" s="483" t="e">
        <f ca="1">_xll.ciqfunctions.udf.CIQ($B72, "IQ_QUICK_RATIO",IQ_FY)</f>
        <v>#NAME?</v>
      </c>
      <c r="T72" s="483" t="e">
        <f ca="1">_xll.ciqfunctions.udf.CIQ($B72, "IQ_CURRENT_RATIO",IQ_FY)</f>
        <v>#NAME?</v>
      </c>
      <c r="U72" s="64" t="e">
        <f ca="1">_xll.ciqfunctions.udf.CIQ($B72, "IQ_SP_LC_LT",Current)</f>
        <v>#NAME?</v>
      </c>
      <c r="V72" s="64" t="e">
        <f ca="1">_xll.ciqfunctions.udf.CIQ($B72, "IQ_SP_OUTLOOK_WATCH",Current)</f>
        <v>#NAME?</v>
      </c>
      <c r="W72" s="9"/>
      <c r="X72" s="531" t="str">
        <f>I102</f>
        <v>IQ285827</v>
      </c>
      <c r="Y72" s="37"/>
      <c r="Z72" s="9" t="e">
        <f ca="1">Z54</f>
        <v>#NAME?</v>
      </c>
      <c r="AA72" s="9"/>
      <c r="AB72" s="64" t="str">
        <f>I101</f>
        <v>LMT</v>
      </c>
      <c r="AC72" s="479" t="e">
        <f ca="1">_xll.ciqfunctions.udf.CIQ($X72, "IQ_EFFECT_TAX_RATE",IQ_FY)/100</f>
        <v>#NAME?</v>
      </c>
      <c r="AD72" s="513" t="e">
        <f ca="1">_xll.ciqfunctions.udf.CIQ($X72, "IQ_BETA_5YR",Current_Date)</f>
        <v>#NAME?</v>
      </c>
      <c r="AE72" s="479" t="e">
        <f ca="1">_xll.ciqfunctions.udf.CIQ($X72, "IQ_DIVIDEND_YIELD",Current_Date)/100</f>
        <v>#NAME?</v>
      </c>
      <c r="AF72" s="479" t="e">
        <f ca="1">(_xll.ciqfunctions.udf.CIQ($X72,"IQ_OPER_INC",IQ_LTM)*(1-AC72))/(((_xll.ciqfunctions.udf.CIQ($X72,"IQ_TOTAL_DEBT",IQ_LTM))+_xll.ciqfunctions.udf.CIQ($X72,"IQ_TOTAL_EQUITY",IQ_LTM))-_xll.ciqfunctions.udf.CIQ($X72,"IQ_CASH_EQUIV",IQ_LTM))</f>
        <v>#NAME?</v>
      </c>
      <c r="AG72" s="479" t="e">
        <f ca="1">_xll.ciqfunctions.udf.CIQ($X72, "IQ_RETURN_EQUITY",IQ_LTM)/100</f>
        <v>#NAME?</v>
      </c>
      <c r="AH72" s="479" t="e">
        <f ca="1">_xll.ciqfunctions.udf.CIQ($X72, "IQ_RETURN_ASSETS",IQ_LTM)/100</f>
        <v>#NAME?</v>
      </c>
      <c r="AI72" s="483" t="e">
        <f ca="1">_xll.ciqfunctions.udf.CIQ($X72, "IQ_TOTAL_DEBT_CAPITAL",IQ_FY)/100</f>
        <v>#NAME?</v>
      </c>
      <c r="AJ72" s="483" t="e">
        <f ca="1">_xll.ciqfunctions.udf.CIQ($X72, "IQ_TOTAL_DEBT_EBITDA",IQ_FY)</f>
        <v>#NAME?</v>
      </c>
      <c r="AK72" s="483" t="e">
        <f ca="1">_xll.ciqfunctions.udf.CIQ($X72, "IQ_TOTAL_DEBT_EQUITY",IQ_FY)/100</f>
        <v>#NAME?</v>
      </c>
      <c r="AL72" s="483" t="e">
        <f ca="1">_xll.ciqfunctions.udf.CIQ($X72, "IQ_EBITDA_INT",IQ_FY)</f>
        <v>#NAME?</v>
      </c>
      <c r="AM72" s="483" t="e">
        <f ca="1">_xll.ciqfunctions.udf.CIQ($X72, "IQ_EBITDA_CAPEX_INT",IQ_FY)</f>
        <v>#NAME?</v>
      </c>
      <c r="AN72" s="483" t="e">
        <f ca="1">_xll.ciqfunctions.udf.CIQ($X72, "IQ_EBIT_INT",IQ_FY)</f>
        <v>#NAME?</v>
      </c>
      <c r="AO72" s="513" t="e">
        <f ca="1">_xll.ciqfunctions.udf.CIQ($X72, "IQ_QUICK_RATIO",IQ_FY)</f>
        <v>#NAME?</v>
      </c>
      <c r="AP72" s="513" t="e">
        <f ca="1">_xll.ciqfunctions.udf.CIQ($X72, "IQ_CURRENT_RATIO",IQ_FY)</f>
        <v>#NAME?</v>
      </c>
      <c r="AQ72" s="64" t="e">
        <f ca="1">_xll.ciqfunctions.udf.CIQ($X72, "IQ_SP_LC_LT",Current)</f>
        <v>#NAME?</v>
      </c>
      <c r="AR72" s="64" t="e">
        <f ca="1">_xll.ciqfunctions.udf.CIQ($X72, "IQ_SP_OUTLOOK_WATCH",Current)</f>
        <v>#NAME?</v>
      </c>
      <c r="AS72" s="2"/>
      <c r="AT72" s="531" t="str">
        <f>N102</f>
        <v>IQ22751</v>
      </c>
      <c r="AU72" s="37">
        <f>AU100</f>
        <v>0</v>
      </c>
      <c r="AV72" s="9" t="e">
        <f ca="1">AV54</f>
        <v>#NAME?</v>
      </c>
      <c r="AW72" s="9"/>
      <c r="AX72" s="64" t="str">
        <f>AX54</f>
        <v>ROP</v>
      </c>
      <c r="AY72" s="479" t="e">
        <f ca="1">_xll.ciqfunctions.udf.CIQ($AT72, "IQ_EFFECT_TAX_RATE",IQ_FY)/100</f>
        <v>#NAME?</v>
      </c>
      <c r="AZ72" s="513" t="e">
        <f ca="1">_xll.ciqfunctions.udf.CIQ($AT72, "IQ_BETA_5YR",Current_Date)</f>
        <v>#NAME?</v>
      </c>
      <c r="BA72" s="479" t="e">
        <f ca="1">_xll.ciqfunctions.udf.CIQ($AT72, "IQ_DIVIDEND_YIELD",Current_Date)/100</f>
        <v>#NAME?</v>
      </c>
      <c r="BB72" s="479" t="e">
        <f ca="1">(_xll.ciqfunctions.udf.CIQ($AT72,"IQ_OPER_INC",IQ_LTM)*(1-AY72))/(((_xll.ciqfunctions.udf.CIQ($AT72,"IQ_TOTAL_DEBT",IQ_LTM))+_xll.ciqfunctions.udf.CIQ($AT72,"IQ_TOTAL_EQUITY",IQ_LTM))-_xll.ciqfunctions.udf.CIQ($AT72,"IQ_CASH_EQUIV",IQ_LTM))</f>
        <v>#NAME?</v>
      </c>
      <c r="BC72" s="479" t="e">
        <f ca="1">_xll.ciqfunctions.udf.CIQ($AT72, "IQ_RETURN_EQUITY",IQ_LTM)/100</f>
        <v>#NAME?</v>
      </c>
      <c r="BD72" s="479" t="e">
        <f ca="1">_xll.ciqfunctions.udf.CIQ($AT72, "IQ_RETURN_ASSETS",IQ_LTM)/100</f>
        <v>#NAME?</v>
      </c>
      <c r="BE72" s="483" t="e">
        <f ca="1">_xll.ciqfunctions.udf.CIQ($AT72, "IQ_TOTAL_DEBT_CAPITAL",IQ_FY)/100</f>
        <v>#NAME?</v>
      </c>
      <c r="BF72" s="483" t="e">
        <f ca="1">_xll.ciqfunctions.udf.CIQ($AT72, "IQ_TOTAL_DEBT_EBITDA",IQ_FY)</f>
        <v>#NAME?</v>
      </c>
      <c r="BG72" s="483" t="e">
        <f ca="1">_xll.ciqfunctions.udf.CIQ($AT72, "IQ_TOTAL_DEBT_EQUITY",IQ_FY)/100</f>
        <v>#NAME?</v>
      </c>
      <c r="BH72" s="483" t="e">
        <f ca="1">_xll.ciqfunctions.udf.CIQ($AT72, "IQ_EBITDA_INT",IQ_FY)</f>
        <v>#NAME?</v>
      </c>
      <c r="BI72" s="483" t="e">
        <f ca="1">_xll.ciqfunctions.udf.CIQ($AT72, "IQ_EBITDA_CAPEX_INT",IQ_FY)</f>
        <v>#NAME?</v>
      </c>
      <c r="BJ72" s="483" t="e">
        <f ca="1">_xll.ciqfunctions.udf.CIQ($AT72, "IQ_EBIT_INT",IQ_FY)</f>
        <v>#NAME?</v>
      </c>
      <c r="BK72" s="513" t="e">
        <f ca="1">_xll.ciqfunctions.udf.CIQ($AT72, "IQ_QUICK_RATIO",IQ_FY)</f>
        <v>#NAME?</v>
      </c>
      <c r="BL72" s="513" t="e">
        <f ca="1">_xll.ciqfunctions.udf.CIQ($AT72, "IQ_CURRENT_RATIO",IQ_FY)</f>
        <v>#NAME?</v>
      </c>
      <c r="BM72" s="64" t="e">
        <f ca="1">_xll.ciqfunctions.udf.CIQ($AT72, "IQ_SP_LC_LT",Current)</f>
        <v>#NAME?</v>
      </c>
      <c r="BN72" s="64" t="e">
        <f ca="1">_xll.ciqfunctions.udf.CIQ($AT72, "IQ_SP_OUTLOOK_WATCH",Current)</f>
        <v>#NAME?</v>
      </c>
    </row>
    <row r="73" spans="1:66" ht="13.5" hidden="1" customHeight="1" outlineLevel="1" x14ac:dyDescent="0.25">
      <c r="A73" s="2"/>
      <c r="B73" s="2"/>
      <c r="C73" s="2"/>
      <c r="D73" s="95"/>
      <c r="E73" s="9"/>
      <c r="F73" s="64"/>
      <c r="G73" s="539"/>
      <c r="H73" s="64"/>
      <c r="I73" s="539"/>
      <c r="J73" s="64"/>
      <c r="K73" s="64"/>
      <c r="L73" s="64"/>
      <c r="M73" s="64"/>
      <c r="N73" s="64"/>
      <c r="O73" s="472"/>
      <c r="P73" s="483"/>
      <c r="Q73" s="483"/>
      <c r="R73" s="483"/>
      <c r="S73" s="154"/>
      <c r="T73" s="64"/>
      <c r="U73" s="565"/>
      <c r="V73" s="565"/>
      <c r="W73" s="9"/>
      <c r="X73" s="2"/>
      <c r="Y73" s="37"/>
      <c r="Z73" s="95"/>
      <c r="AA73" s="9"/>
      <c r="AB73" s="64"/>
      <c r="AC73" s="539"/>
      <c r="AD73" s="64"/>
      <c r="AE73" s="539"/>
      <c r="AF73" s="64"/>
      <c r="AG73" s="64"/>
      <c r="AH73" s="64"/>
      <c r="AI73" s="64"/>
      <c r="AJ73" s="64"/>
      <c r="AK73" s="472"/>
      <c r="AL73" s="483"/>
      <c r="AM73" s="483"/>
      <c r="AN73" s="483"/>
      <c r="AO73" s="154"/>
      <c r="AP73" s="64"/>
      <c r="AQ73" s="565"/>
      <c r="AR73" s="565"/>
      <c r="AS73" s="2"/>
      <c r="AT73" s="2"/>
      <c r="AU73" s="37"/>
      <c r="AV73" s="95"/>
      <c r="AW73" s="9"/>
      <c r="AX73" s="64"/>
      <c r="AY73" s="539"/>
      <c r="AZ73" s="64"/>
      <c r="BA73" s="539"/>
      <c r="BB73" s="64"/>
      <c r="BC73" s="64"/>
      <c r="BD73" s="64"/>
      <c r="BE73" s="64"/>
      <c r="BF73" s="64"/>
      <c r="BG73" s="472"/>
      <c r="BH73" s="483"/>
      <c r="BI73" s="483"/>
      <c r="BJ73" s="483"/>
      <c r="BK73" s="154"/>
      <c r="BL73" s="64"/>
      <c r="BM73" s="565"/>
      <c r="BN73" s="565"/>
    </row>
    <row r="74" spans="1:66" ht="13.5" hidden="1" customHeight="1" outlineLevel="1" x14ac:dyDescent="0.25">
      <c r="A74" s="2"/>
      <c r="B74" s="37"/>
      <c r="C74" s="37"/>
      <c r="D74" s="540" t="str">
        <f>D34</f>
        <v>High</v>
      </c>
      <c r="E74" s="541"/>
      <c r="F74" s="542"/>
      <c r="G74" s="543" t="e">
        <f t="shared" ref="G74:T74" ca="1" si="60">MAX(G69:G72)</f>
        <v>#NAME?</v>
      </c>
      <c r="H74" s="566" t="e">
        <f t="shared" ca="1" si="60"/>
        <v>#NAME?</v>
      </c>
      <c r="I74" s="544" t="e">
        <f t="shared" ca="1" si="60"/>
        <v>#NAME?</v>
      </c>
      <c r="J74" s="544" t="e">
        <f t="shared" ca="1" si="60"/>
        <v>#NAME?</v>
      </c>
      <c r="K74" s="544" t="e">
        <f t="shared" ca="1" si="60"/>
        <v>#NAME?</v>
      </c>
      <c r="L74" s="544" t="e">
        <f t="shared" ca="1" si="60"/>
        <v>#NAME?</v>
      </c>
      <c r="M74" s="545" t="e">
        <f t="shared" ca="1" si="60"/>
        <v>#NAME?</v>
      </c>
      <c r="N74" s="544" t="e">
        <f t="shared" ca="1" si="60"/>
        <v>#NAME?</v>
      </c>
      <c r="O74" s="544" t="e">
        <f t="shared" ca="1" si="60"/>
        <v>#NAME?</v>
      </c>
      <c r="P74" s="545" t="e">
        <f t="shared" ca="1" si="60"/>
        <v>#NAME?</v>
      </c>
      <c r="Q74" s="545" t="e">
        <f t="shared" ca="1" si="60"/>
        <v>#NAME?</v>
      </c>
      <c r="R74" s="545" t="e">
        <f t="shared" ca="1" si="60"/>
        <v>#NAME?</v>
      </c>
      <c r="S74" s="545" t="e">
        <f t="shared" ca="1" si="60"/>
        <v>#NAME?</v>
      </c>
      <c r="T74" s="545" t="e">
        <f t="shared" ca="1" si="60"/>
        <v>#NAME?</v>
      </c>
      <c r="U74" s="546"/>
      <c r="V74" s="547"/>
      <c r="W74" s="9"/>
      <c r="X74" s="2"/>
      <c r="Y74" s="37"/>
      <c r="Z74" s="540" t="str">
        <f>Z34</f>
        <v>High</v>
      </c>
      <c r="AA74" s="541"/>
      <c r="AB74" s="542"/>
      <c r="AC74" s="543" t="e">
        <f t="shared" ref="AC74:AP74" ca="1" si="61">MAX(AC69:AC72)</f>
        <v>#NAME?</v>
      </c>
      <c r="AD74" s="566" t="e">
        <f t="shared" ca="1" si="61"/>
        <v>#NAME?</v>
      </c>
      <c r="AE74" s="544" t="e">
        <f t="shared" ca="1" si="61"/>
        <v>#NAME?</v>
      </c>
      <c r="AF74" s="544" t="e">
        <f t="shared" ca="1" si="61"/>
        <v>#NAME?</v>
      </c>
      <c r="AG74" s="544" t="e">
        <f t="shared" ca="1" si="61"/>
        <v>#NAME?</v>
      </c>
      <c r="AH74" s="544" t="e">
        <f t="shared" ca="1" si="61"/>
        <v>#NAME?</v>
      </c>
      <c r="AI74" s="545" t="e">
        <f t="shared" ca="1" si="61"/>
        <v>#NAME?</v>
      </c>
      <c r="AJ74" s="544" t="e">
        <f t="shared" ca="1" si="61"/>
        <v>#NAME?</v>
      </c>
      <c r="AK74" s="546" t="e">
        <f t="shared" ca="1" si="61"/>
        <v>#NAME?</v>
      </c>
      <c r="AL74" s="546" t="e">
        <f t="shared" ca="1" si="61"/>
        <v>#NAME?</v>
      </c>
      <c r="AM74" s="546" t="e">
        <f t="shared" ca="1" si="61"/>
        <v>#NAME?</v>
      </c>
      <c r="AN74" s="546" t="e">
        <f t="shared" ca="1" si="61"/>
        <v>#NAME?</v>
      </c>
      <c r="AO74" s="546" t="e">
        <f t="shared" ca="1" si="61"/>
        <v>#NAME?</v>
      </c>
      <c r="AP74" s="546" t="e">
        <f t="shared" ca="1" si="61"/>
        <v>#NAME?</v>
      </c>
      <c r="AQ74" s="546"/>
      <c r="AR74" s="547"/>
      <c r="AS74" s="2"/>
      <c r="AT74" s="2"/>
      <c r="AU74" s="37"/>
      <c r="AV74" s="540" t="str">
        <f>AV34</f>
        <v>High</v>
      </c>
      <c r="AW74" s="541"/>
      <c r="AX74" s="542"/>
      <c r="AY74" s="543" t="e">
        <f t="shared" ref="AY74:BL74" ca="1" si="62">MAX(AY69:AY72)</f>
        <v>#NAME?</v>
      </c>
      <c r="AZ74" s="543" t="e">
        <f t="shared" ca="1" si="62"/>
        <v>#NAME?</v>
      </c>
      <c r="BA74" s="544" t="e">
        <f t="shared" ca="1" si="62"/>
        <v>#NAME?</v>
      </c>
      <c r="BB74" s="544" t="e">
        <f t="shared" ca="1" si="62"/>
        <v>#NAME?</v>
      </c>
      <c r="BC74" s="544" t="e">
        <f t="shared" ca="1" si="62"/>
        <v>#NAME?</v>
      </c>
      <c r="BD74" s="544" t="e">
        <f t="shared" ca="1" si="62"/>
        <v>#NAME?</v>
      </c>
      <c r="BE74" s="544" t="e">
        <f t="shared" ca="1" si="62"/>
        <v>#NAME?</v>
      </c>
      <c r="BF74" s="544" t="e">
        <f t="shared" ca="1" si="62"/>
        <v>#NAME?</v>
      </c>
      <c r="BG74" s="544" t="e">
        <f t="shared" ca="1" si="62"/>
        <v>#NAME?</v>
      </c>
      <c r="BH74" s="544" t="e">
        <f t="shared" ca="1" si="62"/>
        <v>#NAME?</v>
      </c>
      <c r="BI74" s="545" t="e">
        <f t="shared" ca="1" si="62"/>
        <v>#NAME?</v>
      </c>
      <c r="BJ74" s="546" t="e">
        <f t="shared" ca="1" si="62"/>
        <v>#NAME?</v>
      </c>
      <c r="BK74" s="546" t="e">
        <f t="shared" ca="1" si="62"/>
        <v>#NAME?</v>
      </c>
      <c r="BL74" s="546" t="e">
        <f t="shared" ca="1" si="62"/>
        <v>#NAME?</v>
      </c>
      <c r="BM74" s="546"/>
      <c r="BN74" s="547"/>
    </row>
    <row r="75" spans="1:66" ht="13.5" hidden="1" customHeight="1" outlineLevel="1" x14ac:dyDescent="0.25">
      <c r="A75" s="2"/>
      <c r="B75" s="37"/>
      <c r="C75" s="37"/>
      <c r="D75" s="548" t="str">
        <f>D35</f>
        <v>Mean</v>
      </c>
      <c r="E75" s="549"/>
      <c r="F75" s="550"/>
      <c r="G75" s="551" t="e">
        <f t="shared" ref="G75:T75" ca="1" si="63">AVERAGE(G69:G72)</f>
        <v>#NAME?</v>
      </c>
      <c r="H75" s="567" t="e">
        <f t="shared" ca="1" si="63"/>
        <v>#NAME?</v>
      </c>
      <c r="I75" s="552" t="e">
        <f t="shared" ca="1" si="63"/>
        <v>#NAME?</v>
      </c>
      <c r="J75" s="552" t="e">
        <f t="shared" ca="1" si="63"/>
        <v>#NAME?</v>
      </c>
      <c r="K75" s="552" t="e">
        <f t="shared" ca="1" si="63"/>
        <v>#NAME?</v>
      </c>
      <c r="L75" s="552" t="e">
        <f t="shared" ca="1" si="63"/>
        <v>#NAME?</v>
      </c>
      <c r="M75" s="568" t="e">
        <f t="shared" ca="1" si="63"/>
        <v>#NAME?</v>
      </c>
      <c r="N75" s="552" t="e">
        <f t="shared" ca="1" si="63"/>
        <v>#NAME?</v>
      </c>
      <c r="O75" s="552" t="e">
        <f t="shared" ca="1" si="63"/>
        <v>#NAME?</v>
      </c>
      <c r="P75" s="568" t="e">
        <f t="shared" ca="1" si="63"/>
        <v>#NAME?</v>
      </c>
      <c r="Q75" s="568" t="e">
        <f t="shared" ca="1" si="63"/>
        <v>#NAME?</v>
      </c>
      <c r="R75" s="568" t="e">
        <f t="shared" ca="1" si="63"/>
        <v>#NAME?</v>
      </c>
      <c r="S75" s="568" t="e">
        <f t="shared" ca="1" si="63"/>
        <v>#NAME?</v>
      </c>
      <c r="T75" s="568" t="e">
        <f t="shared" ca="1" si="63"/>
        <v>#NAME?</v>
      </c>
      <c r="U75" s="554"/>
      <c r="V75" s="555"/>
      <c r="W75" s="9"/>
      <c r="X75" s="2"/>
      <c r="Y75" s="37"/>
      <c r="Z75" s="548" t="str">
        <f>Z35</f>
        <v>Mean</v>
      </c>
      <c r="AA75" s="549"/>
      <c r="AB75" s="550"/>
      <c r="AC75" s="551" t="e">
        <f t="shared" ref="AC75:AP75" ca="1" si="64">AVERAGE(AC69:AC72)</f>
        <v>#NAME?</v>
      </c>
      <c r="AD75" s="567" t="e">
        <f t="shared" ca="1" si="64"/>
        <v>#NAME?</v>
      </c>
      <c r="AE75" s="552" t="e">
        <f t="shared" ca="1" si="64"/>
        <v>#NAME?</v>
      </c>
      <c r="AF75" s="552" t="e">
        <f t="shared" ca="1" si="64"/>
        <v>#NAME?</v>
      </c>
      <c r="AG75" s="552" t="e">
        <f t="shared" ca="1" si="64"/>
        <v>#NAME?</v>
      </c>
      <c r="AH75" s="552" t="e">
        <f t="shared" ca="1" si="64"/>
        <v>#NAME?</v>
      </c>
      <c r="AI75" s="553" t="e">
        <f t="shared" ca="1" si="64"/>
        <v>#NAME?</v>
      </c>
      <c r="AJ75" s="552" t="e">
        <f t="shared" ca="1" si="64"/>
        <v>#NAME?</v>
      </c>
      <c r="AK75" s="554" t="e">
        <f t="shared" ca="1" si="64"/>
        <v>#NAME?</v>
      </c>
      <c r="AL75" s="554" t="e">
        <f t="shared" ca="1" si="64"/>
        <v>#NAME?</v>
      </c>
      <c r="AM75" s="554" t="e">
        <f t="shared" ca="1" si="64"/>
        <v>#NAME?</v>
      </c>
      <c r="AN75" s="554" t="e">
        <f t="shared" ca="1" si="64"/>
        <v>#NAME?</v>
      </c>
      <c r="AO75" s="554" t="e">
        <f t="shared" ca="1" si="64"/>
        <v>#NAME?</v>
      </c>
      <c r="AP75" s="554" t="e">
        <f t="shared" ca="1" si="64"/>
        <v>#NAME?</v>
      </c>
      <c r="AQ75" s="554"/>
      <c r="AR75" s="555"/>
      <c r="AS75" s="2"/>
      <c r="AT75" s="2"/>
      <c r="AU75" s="37"/>
      <c r="AV75" s="548" t="str">
        <f>AV35</f>
        <v>Mean</v>
      </c>
      <c r="AW75" s="549"/>
      <c r="AX75" s="550"/>
      <c r="AY75" s="551" t="e">
        <f t="shared" ref="AY75:BL75" ca="1" si="65">AVERAGE(AY69:AY72)</f>
        <v>#NAME?</v>
      </c>
      <c r="AZ75" s="551" t="e">
        <f t="shared" ca="1" si="65"/>
        <v>#NAME?</v>
      </c>
      <c r="BA75" s="552" t="e">
        <f t="shared" ca="1" si="65"/>
        <v>#NAME?</v>
      </c>
      <c r="BB75" s="552" t="e">
        <f t="shared" ca="1" si="65"/>
        <v>#NAME?</v>
      </c>
      <c r="BC75" s="552" t="e">
        <f t="shared" ca="1" si="65"/>
        <v>#NAME?</v>
      </c>
      <c r="BD75" s="552" t="e">
        <f t="shared" ca="1" si="65"/>
        <v>#NAME?</v>
      </c>
      <c r="BE75" s="552" t="e">
        <f t="shared" ca="1" si="65"/>
        <v>#NAME?</v>
      </c>
      <c r="BF75" s="552" t="e">
        <f t="shared" ca="1" si="65"/>
        <v>#NAME?</v>
      </c>
      <c r="BG75" s="552" t="e">
        <f t="shared" ca="1" si="65"/>
        <v>#NAME?</v>
      </c>
      <c r="BH75" s="552" t="e">
        <f t="shared" ca="1" si="65"/>
        <v>#NAME?</v>
      </c>
      <c r="BI75" s="553" t="e">
        <f t="shared" ca="1" si="65"/>
        <v>#NAME?</v>
      </c>
      <c r="BJ75" s="554" t="e">
        <f t="shared" ca="1" si="65"/>
        <v>#NAME?</v>
      </c>
      <c r="BK75" s="554" t="e">
        <f t="shared" ca="1" si="65"/>
        <v>#NAME?</v>
      </c>
      <c r="BL75" s="554" t="e">
        <f t="shared" ca="1" si="65"/>
        <v>#NAME?</v>
      </c>
      <c r="BM75" s="554"/>
      <c r="BN75" s="555"/>
    </row>
    <row r="76" spans="1:66" ht="13.5" hidden="1" customHeight="1" outlineLevel="1" x14ac:dyDescent="0.25">
      <c r="A76" s="2"/>
      <c r="B76" s="37"/>
      <c r="C76" s="37"/>
      <c r="D76" s="548" t="str">
        <f>D36</f>
        <v>Median</v>
      </c>
      <c r="E76" s="549"/>
      <c r="F76" s="549"/>
      <c r="G76" s="551" t="e">
        <f t="shared" ref="G76:T76" ca="1" si="66">MEDIAN(G69:G72)</f>
        <v>#NAME?</v>
      </c>
      <c r="H76" s="567" t="e">
        <f t="shared" ca="1" si="66"/>
        <v>#NAME?</v>
      </c>
      <c r="I76" s="552" t="e">
        <f t="shared" ca="1" si="66"/>
        <v>#NAME?</v>
      </c>
      <c r="J76" s="552" t="e">
        <f t="shared" ca="1" si="66"/>
        <v>#NAME?</v>
      </c>
      <c r="K76" s="552" t="e">
        <f t="shared" ca="1" si="66"/>
        <v>#NAME?</v>
      </c>
      <c r="L76" s="552" t="e">
        <f t="shared" ca="1" si="66"/>
        <v>#NAME?</v>
      </c>
      <c r="M76" s="568" t="e">
        <f t="shared" ca="1" si="66"/>
        <v>#NAME?</v>
      </c>
      <c r="N76" s="552" t="e">
        <f t="shared" ca="1" si="66"/>
        <v>#NAME?</v>
      </c>
      <c r="O76" s="552" t="e">
        <f t="shared" ca="1" si="66"/>
        <v>#NAME?</v>
      </c>
      <c r="P76" s="568" t="e">
        <f t="shared" ca="1" si="66"/>
        <v>#NAME?</v>
      </c>
      <c r="Q76" s="568" t="e">
        <f t="shared" ca="1" si="66"/>
        <v>#NAME?</v>
      </c>
      <c r="R76" s="568" t="e">
        <f t="shared" ca="1" si="66"/>
        <v>#NAME?</v>
      </c>
      <c r="S76" s="568" t="e">
        <f t="shared" ca="1" si="66"/>
        <v>#NAME?</v>
      </c>
      <c r="T76" s="568" t="e">
        <f t="shared" ca="1" si="66"/>
        <v>#NAME?</v>
      </c>
      <c r="U76" s="554"/>
      <c r="V76" s="555"/>
      <c r="W76" s="9"/>
      <c r="X76" s="2"/>
      <c r="Y76" s="37"/>
      <c r="Z76" s="548" t="str">
        <f>Z36</f>
        <v>Median</v>
      </c>
      <c r="AA76" s="549"/>
      <c r="AB76" s="549"/>
      <c r="AC76" s="551" t="e">
        <f t="shared" ref="AC76:AP76" ca="1" si="67">MEDIAN(AC69:AC72)</f>
        <v>#NAME?</v>
      </c>
      <c r="AD76" s="567" t="e">
        <f t="shared" ca="1" si="67"/>
        <v>#NAME?</v>
      </c>
      <c r="AE76" s="552" t="e">
        <f t="shared" ca="1" si="67"/>
        <v>#NAME?</v>
      </c>
      <c r="AF76" s="552" t="e">
        <f t="shared" ca="1" si="67"/>
        <v>#NAME?</v>
      </c>
      <c r="AG76" s="552" t="e">
        <f t="shared" ca="1" si="67"/>
        <v>#NAME?</v>
      </c>
      <c r="AH76" s="552" t="e">
        <f t="shared" ca="1" si="67"/>
        <v>#NAME?</v>
      </c>
      <c r="AI76" s="553" t="e">
        <f t="shared" ca="1" si="67"/>
        <v>#NAME?</v>
      </c>
      <c r="AJ76" s="552" t="e">
        <f t="shared" ca="1" si="67"/>
        <v>#NAME?</v>
      </c>
      <c r="AK76" s="554" t="e">
        <f t="shared" ca="1" si="67"/>
        <v>#NAME?</v>
      </c>
      <c r="AL76" s="554" t="e">
        <f t="shared" ca="1" si="67"/>
        <v>#NAME?</v>
      </c>
      <c r="AM76" s="554" t="e">
        <f t="shared" ca="1" si="67"/>
        <v>#NAME?</v>
      </c>
      <c r="AN76" s="554" t="e">
        <f t="shared" ca="1" si="67"/>
        <v>#NAME?</v>
      </c>
      <c r="AO76" s="554" t="e">
        <f t="shared" ca="1" si="67"/>
        <v>#NAME?</v>
      </c>
      <c r="AP76" s="554" t="e">
        <f t="shared" ca="1" si="67"/>
        <v>#NAME?</v>
      </c>
      <c r="AQ76" s="554"/>
      <c r="AR76" s="555"/>
      <c r="AS76" s="2"/>
      <c r="AT76" s="2"/>
      <c r="AU76" s="37"/>
      <c r="AV76" s="548" t="str">
        <f>AV36</f>
        <v>Median</v>
      </c>
      <c r="AW76" s="549"/>
      <c r="AX76" s="549"/>
      <c r="AY76" s="551" t="e">
        <f t="shared" ref="AY76:BL76" ca="1" si="68">MEDIAN(AY69:AY72)</f>
        <v>#NAME?</v>
      </c>
      <c r="AZ76" s="551" t="e">
        <f t="shared" ca="1" si="68"/>
        <v>#NAME?</v>
      </c>
      <c r="BA76" s="552" t="e">
        <f t="shared" ca="1" si="68"/>
        <v>#NAME?</v>
      </c>
      <c r="BB76" s="552" t="e">
        <f t="shared" ca="1" si="68"/>
        <v>#NAME?</v>
      </c>
      <c r="BC76" s="552" t="e">
        <f t="shared" ca="1" si="68"/>
        <v>#NAME?</v>
      </c>
      <c r="BD76" s="552" t="e">
        <f t="shared" ca="1" si="68"/>
        <v>#NAME?</v>
      </c>
      <c r="BE76" s="552" t="e">
        <f t="shared" ca="1" si="68"/>
        <v>#NAME?</v>
      </c>
      <c r="BF76" s="552" t="e">
        <f t="shared" ca="1" si="68"/>
        <v>#NAME?</v>
      </c>
      <c r="BG76" s="552" t="e">
        <f t="shared" ca="1" si="68"/>
        <v>#NAME?</v>
      </c>
      <c r="BH76" s="552" t="e">
        <f t="shared" ca="1" si="68"/>
        <v>#NAME?</v>
      </c>
      <c r="BI76" s="553" t="e">
        <f t="shared" ca="1" si="68"/>
        <v>#NAME?</v>
      </c>
      <c r="BJ76" s="554" t="e">
        <f t="shared" ca="1" si="68"/>
        <v>#NAME?</v>
      </c>
      <c r="BK76" s="554" t="e">
        <f t="shared" ca="1" si="68"/>
        <v>#NAME?</v>
      </c>
      <c r="BL76" s="554" t="e">
        <f t="shared" ca="1" si="68"/>
        <v>#NAME?</v>
      </c>
      <c r="BM76" s="554"/>
      <c r="BN76" s="555"/>
    </row>
    <row r="77" spans="1:66" ht="13.5" hidden="1" customHeight="1" outlineLevel="1" x14ac:dyDescent="0.25">
      <c r="A77" s="2"/>
      <c r="B77" s="37"/>
      <c r="C77" s="37"/>
      <c r="D77" s="556" t="str">
        <f>D37</f>
        <v>Low</v>
      </c>
      <c r="E77" s="557"/>
      <c r="F77" s="557"/>
      <c r="G77" s="558" t="e">
        <f t="shared" ref="G77:T77" ca="1" si="69">MIN(G69:G72)</f>
        <v>#NAME?</v>
      </c>
      <c r="H77" s="569" t="e">
        <f t="shared" ca="1" si="69"/>
        <v>#NAME?</v>
      </c>
      <c r="I77" s="559" t="e">
        <f t="shared" ca="1" si="69"/>
        <v>#NAME?</v>
      </c>
      <c r="J77" s="559" t="e">
        <f t="shared" ca="1" si="69"/>
        <v>#NAME?</v>
      </c>
      <c r="K77" s="559" t="e">
        <f t="shared" ca="1" si="69"/>
        <v>#NAME?</v>
      </c>
      <c r="L77" s="559" t="e">
        <f t="shared" ca="1" si="69"/>
        <v>#NAME?</v>
      </c>
      <c r="M77" s="570" t="e">
        <f t="shared" ca="1" si="69"/>
        <v>#NAME?</v>
      </c>
      <c r="N77" s="559" t="e">
        <f t="shared" ca="1" si="69"/>
        <v>#NAME?</v>
      </c>
      <c r="O77" s="559" t="e">
        <f t="shared" ca="1" si="69"/>
        <v>#NAME?</v>
      </c>
      <c r="P77" s="570" t="e">
        <f t="shared" ca="1" si="69"/>
        <v>#NAME?</v>
      </c>
      <c r="Q77" s="570" t="e">
        <f t="shared" ca="1" si="69"/>
        <v>#NAME?</v>
      </c>
      <c r="R77" s="570" t="e">
        <f t="shared" ca="1" si="69"/>
        <v>#NAME?</v>
      </c>
      <c r="S77" s="570" t="e">
        <f t="shared" ca="1" si="69"/>
        <v>#NAME?</v>
      </c>
      <c r="T77" s="570" t="e">
        <f t="shared" ca="1" si="69"/>
        <v>#NAME?</v>
      </c>
      <c r="U77" s="561"/>
      <c r="V77" s="562"/>
      <c r="W77" s="9"/>
      <c r="X77" s="2"/>
      <c r="Y77" s="37"/>
      <c r="Z77" s="556" t="str">
        <f>Z37</f>
        <v>Low</v>
      </c>
      <c r="AA77" s="557"/>
      <c r="AB77" s="557"/>
      <c r="AC77" s="558" t="e">
        <f t="shared" ref="AC77:AP77" ca="1" si="70">MIN(AC69:AC72)</f>
        <v>#NAME?</v>
      </c>
      <c r="AD77" s="569" t="e">
        <f t="shared" ca="1" si="70"/>
        <v>#NAME?</v>
      </c>
      <c r="AE77" s="559" t="e">
        <f t="shared" ca="1" si="70"/>
        <v>#NAME?</v>
      </c>
      <c r="AF77" s="559" t="e">
        <f t="shared" ca="1" si="70"/>
        <v>#NAME?</v>
      </c>
      <c r="AG77" s="559" t="e">
        <f t="shared" ca="1" si="70"/>
        <v>#NAME?</v>
      </c>
      <c r="AH77" s="559" t="e">
        <f t="shared" ca="1" si="70"/>
        <v>#NAME?</v>
      </c>
      <c r="AI77" s="560" t="e">
        <f t="shared" ca="1" si="70"/>
        <v>#NAME?</v>
      </c>
      <c r="AJ77" s="559" t="e">
        <f t="shared" ca="1" si="70"/>
        <v>#NAME?</v>
      </c>
      <c r="AK77" s="561" t="e">
        <f t="shared" ca="1" si="70"/>
        <v>#NAME?</v>
      </c>
      <c r="AL77" s="561" t="e">
        <f t="shared" ca="1" si="70"/>
        <v>#NAME?</v>
      </c>
      <c r="AM77" s="561" t="e">
        <f t="shared" ca="1" si="70"/>
        <v>#NAME?</v>
      </c>
      <c r="AN77" s="561" t="e">
        <f t="shared" ca="1" si="70"/>
        <v>#NAME?</v>
      </c>
      <c r="AO77" s="561" t="e">
        <f t="shared" ca="1" si="70"/>
        <v>#NAME?</v>
      </c>
      <c r="AP77" s="561" t="e">
        <f t="shared" ca="1" si="70"/>
        <v>#NAME?</v>
      </c>
      <c r="AQ77" s="561"/>
      <c r="AR77" s="562"/>
      <c r="AS77" s="2"/>
      <c r="AT77" s="2"/>
      <c r="AU77" s="37"/>
      <c r="AV77" s="556" t="str">
        <f>AV37</f>
        <v>Low</v>
      </c>
      <c r="AW77" s="557"/>
      <c r="AX77" s="557"/>
      <c r="AY77" s="558" t="e">
        <f t="shared" ref="AY77:BL77" ca="1" si="71">MIN(AY69:AY72)</f>
        <v>#NAME?</v>
      </c>
      <c r="AZ77" s="558" t="e">
        <f t="shared" ca="1" si="71"/>
        <v>#NAME?</v>
      </c>
      <c r="BA77" s="559" t="e">
        <f t="shared" ca="1" si="71"/>
        <v>#NAME?</v>
      </c>
      <c r="BB77" s="559" t="e">
        <f t="shared" ca="1" si="71"/>
        <v>#NAME?</v>
      </c>
      <c r="BC77" s="559" t="e">
        <f t="shared" ca="1" si="71"/>
        <v>#NAME?</v>
      </c>
      <c r="BD77" s="559" t="e">
        <f t="shared" ca="1" si="71"/>
        <v>#NAME?</v>
      </c>
      <c r="BE77" s="559" t="e">
        <f t="shared" ca="1" si="71"/>
        <v>#NAME?</v>
      </c>
      <c r="BF77" s="559" t="e">
        <f t="shared" ca="1" si="71"/>
        <v>#NAME?</v>
      </c>
      <c r="BG77" s="559" t="e">
        <f t="shared" ca="1" si="71"/>
        <v>#NAME?</v>
      </c>
      <c r="BH77" s="559" t="e">
        <f t="shared" ca="1" si="71"/>
        <v>#NAME?</v>
      </c>
      <c r="BI77" s="560" t="e">
        <f t="shared" ca="1" si="71"/>
        <v>#NAME?</v>
      </c>
      <c r="BJ77" s="561" t="e">
        <f t="shared" ca="1" si="71"/>
        <v>#NAME?</v>
      </c>
      <c r="BK77" s="561" t="e">
        <f t="shared" ca="1" si="71"/>
        <v>#NAME?</v>
      </c>
      <c r="BL77" s="561" t="e">
        <f t="shared" ca="1" si="71"/>
        <v>#NAME?</v>
      </c>
      <c r="BM77" s="561"/>
      <c r="BN77" s="562"/>
    </row>
    <row r="78" spans="1:66" ht="13.5" hidden="1" customHeight="1" outlineLevel="1" x14ac:dyDescent="0.25">
      <c r="A78" s="2"/>
      <c r="B78" s="37"/>
      <c r="C78" s="37"/>
      <c r="D78" s="9"/>
      <c r="E78" s="9"/>
      <c r="F78" s="9"/>
      <c r="G78" s="527"/>
      <c r="H78" s="64"/>
      <c r="I78" s="527"/>
      <c r="J78" s="527"/>
      <c r="K78" s="527"/>
      <c r="L78" s="527"/>
      <c r="M78" s="527"/>
      <c r="N78" s="483"/>
      <c r="O78" s="527"/>
      <c r="P78" s="483"/>
      <c r="Q78" s="480"/>
      <c r="R78" s="483"/>
      <c r="S78" s="9"/>
      <c r="T78" s="527"/>
      <c r="U78" s="64"/>
      <c r="V78" s="64"/>
      <c r="W78" s="9"/>
      <c r="X78" s="2"/>
      <c r="Y78" s="37"/>
      <c r="Z78" s="9"/>
      <c r="AA78" s="9"/>
      <c r="AB78" s="9"/>
      <c r="AC78" s="527"/>
      <c r="AD78" s="64"/>
      <c r="AE78" s="527"/>
      <c r="AF78" s="527"/>
      <c r="AG78" s="527"/>
      <c r="AH78" s="527"/>
      <c r="AI78" s="527"/>
      <c r="AJ78" s="483"/>
      <c r="AK78" s="527"/>
      <c r="AL78" s="483"/>
      <c r="AM78" s="480"/>
      <c r="AN78" s="483"/>
      <c r="AO78" s="9"/>
      <c r="AP78" s="527"/>
      <c r="AQ78" s="64"/>
      <c r="AR78" s="64"/>
      <c r="AS78" s="2"/>
      <c r="AT78" s="2"/>
      <c r="AU78" s="37"/>
      <c r="AV78" s="9"/>
      <c r="AW78" s="9"/>
      <c r="AX78" s="9"/>
      <c r="AY78" s="527"/>
      <c r="AZ78" s="64"/>
      <c r="BA78" s="527"/>
      <c r="BB78" s="527"/>
      <c r="BC78" s="527"/>
      <c r="BD78" s="527"/>
      <c r="BE78" s="527"/>
      <c r="BF78" s="483"/>
      <c r="BG78" s="527"/>
      <c r="BH78" s="483"/>
      <c r="BI78" s="480"/>
      <c r="BJ78" s="483"/>
      <c r="BK78" s="9"/>
      <c r="BL78" s="527"/>
      <c r="BM78" s="64"/>
      <c r="BN78" s="64"/>
    </row>
    <row r="79" spans="1:66" ht="13.5" hidden="1" customHeight="1" outlineLevel="1" x14ac:dyDescent="0.25">
      <c r="A79" s="2"/>
      <c r="B79" s="37"/>
      <c r="C79" s="37"/>
      <c r="D79" s="9"/>
      <c r="E79" s="9"/>
      <c r="F79" s="9"/>
      <c r="G79" s="9"/>
      <c r="H79" s="9"/>
      <c r="I79" s="9"/>
      <c r="J79" s="9"/>
      <c r="K79" s="9"/>
      <c r="L79" s="9"/>
      <c r="M79" s="9"/>
      <c r="N79" s="9"/>
      <c r="O79" s="9"/>
      <c r="P79" s="9"/>
      <c r="Q79" s="9"/>
      <c r="R79" s="9"/>
      <c r="S79" s="9"/>
      <c r="T79" s="9"/>
      <c r="U79" s="9"/>
      <c r="V79" s="9"/>
      <c r="W79" s="9"/>
      <c r="X79" s="2"/>
      <c r="Y79" s="37"/>
      <c r="Z79" s="9"/>
      <c r="AA79" s="9"/>
      <c r="AB79" s="9"/>
      <c r="AC79" s="9"/>
      <c r="AD79" s="9"/>
      <c r="AE79" s="9"/>
      <c r="AF79" s="9"/>
      <c r="AG79" s="9"/>
      <c r="AH79" s="9"/>
      <c r="AI79" s="9"/>
      <c r="AJ79" s="9"/>
      <c r="AK79" s="9"/>
      <c r="AL79" s="9"/>
      <c r="AM79" s="9"/>
      <c r="AN79" s="9"/>
      <c r="AO79" s="9"/>
      <c r="AP79" s="9"/>
      <c r="AQ79" s="9"/>
      <c r="AR79" s="9"/>
      <c r="AS79" s="2"/>
      <c r="AT79" s="2"/>
      <c r="AU79" s="2"/>
      <c r="AV79" s="2"/>
      <c r="AW79" s="2"/>
      <c r="AX79" s="2"/>
      <c r="AY79" s="2"/>
      <c r="AZ79" s="2"/>
      <c r="BA79" s="2"/>
      <c r="BB79" s="2"/>
      <c r="BC79" s="2"/>
      <c r="BD79" s="2"/>
      <c r="BE79" s="2"/>
      <c r="BF79" s="2"/>
      <c r="BG79" s="2"/>
      <c r="BH79" s="2"/>
      <c r="BI79" s="2"/>
      <c r="BJ79" s="2"/>
      <c r="BK79" s="2"/>
      <c r="BL79" s="2"/>
      <c r="BM79" s="2"/>
      <c r="BN79" s="2"/>
    </row>
    <row r="80" spans="1:66" ht="13.5" hidden="1" customHeight="1" outlineLevel="1" x14ac:dyDescent="0.25">
      <c r="A80" s="2"/>
      <c r="B80" s="37" t="s">
        <v>0</v>
      </c>
      <c r="C80" s="37"/>
      <c r="D80" s="571" t="s">
        <v>511</v>
      </c>
      <c r="E80" s="571"/>
      <c r="F80" s="571"/>
      <c r="G80" s="571"/>
      <c r="H80" s="571"/>
      <c r="I80" s="571"/>
      <c r="J80" s="571"/>
      <c r="K80" s="571"/>
      <c r="L80" s="571"/>
      <c r="M80" s="571"/>
      <c r="N80" s="571"/>
      <c r="O80" s="571"/>
      <c r="P80" s="571"/>
      <c r="Q80" s="571"/>
      <c r="R80" s="571"/>
      <c r="S80" s="571"/>
      <c r="T80" s="571"/>
      <c r="U80" s="571"/>
      <c r="V80" s="571"/>
      <c r="W80" s="9"/>
      <c r="X80" s="9"/>
      <c r="Y80" s="9"/>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row>
    <row r="81" spans="1:66" ht="13.5" hidden="1" customHeight="1" outlineLevel="1" x14ac:dyDescent="0.25">
      <c r="A81" s="2"/>
      <c r="B81" s="37"/>
      <c r="C81" s="37"/>
      <c r="D81" s="9"/>
      <c r="E81" s="9"/>
      <c r="F81" s="9"/>
      <c r="G81" s="9"/>
      <c r="H81" s="9"/>
      <c r="I81" s="9"/>
      <c r="J81" s="9"/>
      <c r="K81" s="9"/>
      <c r="L81" s="9"/>
      <c r="M81" s="9"/>
      <c r="N81" s="9"/>
      <c r="O81" s="9"/>
      <c r="P81" s="9"/>
      <c r="Q81" s="9"/>
      <c r="R81" s="9"/>
      <c r="S81" s="9"/>
      <c r="T81" s="9"/>
      <c r="U81" s="9"/>
      <c r="V81" s="9"/>
      <c r="W81" s="9"/>
      <c r="X81" s="9"/>
      <c r="Y81" s="9"/>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row>
    <row r="82" spans="1:66" ht="15" hidden="1" customHeight="1" outlineLevel="1" x14ac:dyDescent="0.25">
      <c r="A82" s="2"/>
      <c r="B82" s="37"/>
      <c r="C82" s="37"/>
      <c r="D82" s="11" t="str">
        <f>S84</f>
        <v>Primary Peer Group</v>
      </c>
      <c r="E82" s="13"/>
      <c r="F82" s="10" t="s">
        <v>0</v>
      </c>
      <c r="G82" s="11" t="str">
        <f>S85</f>
        <v>Defense Peer Group</v>
      </c>
      <c r="H82" s="12"/>
      <c r="I82" s="12"/>
      <c r="J82" s="13"/>
      <c r="K82" s="9"/>
      <c r="L82" s="11" t="str">
        <f>S86</f>
        <v>Cap. Goods Peer Group</v>
      </c>
      <c r="M82" s="12"/>
      <c r="N82" s="12"/>
      <c r="O82" s="13"/>
      <c r="P82" s="9"/>
      <c r="Q82" s="11" t="s">
        <v>512</v>
      </c>
      <c r="R82" s="12"/>
      <c r="S82" s="12"/>
      <c r="T82" s="13"/>
      <c r="U82" s="9"/>
      <c r="V82" s="9"/>
      <c r="W82" s="9"/>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row>
    <row r="83" spans="1:66" ht="15" hidden="1" customHeight="1" outlineLevel="1" x14ac:dyDescent="0.25">
      <c r="A83" s="2"/>
      <c r="B83" s="37"/>
      <c r="C83" s="37"/>
      <c r="D83" s="9"/>
      <c r="E83" s="9"/>
      <c r="F83" s="9"/>
      <c r="G83" s="9"/>
      <c r="H83" s="9"/>
      <c r="I83" s="9"/>
      <c r="J83" s="9"/>
      <c r="K83" s="9"/>
      <c r="L83" s="9"/>
      <c r="M83" s="9"/>
      <c r="N83" s="9"/>
      <c r="O83" s="9"/>
      <c r="P83" s="9"/>
      <c r="Q83" s="9"/>
      <c r="R83" s="9"/>
      <c r="S83" s="9"/>
      <c r="T83" s="96"/>
      <c r="U83" s="9"/>
      <c r="V83" s="9"/>
      <c r="W83" s="9"/>
      <c r="X83" s="9"/>
      <c r="Y83" s="9"/>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row>
    <row r="84" spans="1:66" ht="15" hidden="1" customHeight="1" outlineLevel="1" x14ac:dyDescent="0.25">
      <c r="A84" s="2"/>
      <c r="B84" s="37"/>
      <c r="C84" s="37"/>
      <c r="D84" s="137" t="s">
        <v>513</v>
      </c>
      <c r="E84" s="223" t="str">
        <f>Company_Name</f>
        <v>American Express Company</v>
      </c>
      <c r="F84" s="9"/>
      <c r="G84" s="137" t="s">
        <v>513</v>
      </c>
      <c r="H84" s="96"/>
      <c r="I84" s="96" t="str">
        <f>Company_Name</f>
        <v>American Express Company</v>
      </c>
      <c r="J84" s="223"/>
      <c r="K84" s="9"/>
      <c r="L84" s="137" t="s">
        <v>513</v>
      </c>
      <c r="M84" s="96"/>
      <c r="N84" s="96" t="str">
        <f>Company_Name</f>
        <v>American Express Company</v>
      </c>
      <c r="O84" s="223"/>
      <c r="P84" s="9"/>
      <c r="Q84" s="137" t="s">
        <v>514</v>
      </c>
      <c r="R84" s="96"/>
      <c r="S84" s="572" t="s">
        <v>515</v>
      </c>
      <c r="T84" s="223"/>
      <c r="U84" s="9"/>
      <c r="V84" s="9"/>
      <c r="W84" s="9"/>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row>
    <row r="85" spans="1:66" ht="15" hidden="1" customHeight="1" outlineLevel="1" x14ac:dyDescent="0.25">
      <c r="A85" s="2"/>
      <c r="B85" s="37"/>
      <c r="C85" s="37"/>
      <c r="D85" s="135" t="s">
        <v>516</v>
      </c>
      <c r="E85" s="136" t="str">
        <f>Ticker</f>
        <v>AXP</v>
      </c>
      <c r="F85" s="9"/>
      <c r="G85" s="135" t="s">
        <v>516</v>
      </c>
      <c r="H85" s="9"/>
      <c r="I85" s="9" t="str">
        <f>Ticker</f>
        <v>AXP</v>
      </c>
      <c r="J85" s="136"/>
      <c r="K85" s="9"/>
      <c r="L85" s="135" t="s">
        <v>516</v>
      </c>
      <c r="M85" s="9"/>
      <c r="N85" s="9" t="str">
        <f>Ticker</f>
        <v>AXP</v>
      </c>
      <c r="O85" s="136"/>
      <c r="P85" s="9"/>
      <c r="Q85" s="135" t="s">
        <v>517</v>
      </c>
      <c r="R85" s="9"/>
      <c r="S85" s="573" t="s">
        <v>518</v>
      </c>
      <c r="T85" s="136"/>
      <c r="U85" s="9"/>
      <c r="V85" s="9"/>
      <c r="W85" s="9"/>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row>
    <row r="86" spans="1:66" ht="15" hidden="1" customHeight="1" outlineLevel="1" x14ac:dyDescent="0.25">
      <c r="A86" s="2"/>
      <c r="B86" s="37"/>
      <c r="C86" s="37"/>
      <c r="D86" s="139" t="s">
        <v>519</v>
      </c>
      <c r="E86" s="574" t="s">
        <v>858</v>
      </c>
      <c r="F86" s="9"/>
      <c r="G86" s="139" t="s">
        <v>519</v>
      </c>
      <c r="H86" s="95"/>
      <c r="I86" s="95" t="str">
        <f>$E$86</f>
        <v>IQ92001</v>
      </c>
      <c r="J86" s="575"/>
      <c r="K86" s="9"/>
      <c r="L86" s="139" t="s">
        <v>519</v>
      </c>
      <c r="M86" s="95"/>
      <c r="N86" s="95" t="str">
        <f>$E$86</f>
        <v>IQ92001</v>
      </c>
      <c r="O86" s="575"/>
      <c r="P86" s="9"/>
      <c r="Q86" s="139" t="s">
        <v>520</v>
      </c>
      <c r="R86" s="95"/>
      <c r="S86" s="576" t="s">
        <v>521</v>
      </c>
      <c r="T86" s="575"/>
      <c r="U86" s="9"/>
      <c r="V86" s="9"/>
      <c r="W86" s="9"/>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row>
    <row r="87" spans="1:66" ht="15" hidden="1" customHeight="1" outlineLevel="1" x14ac:dyDescent="0.25">
      <c r="A87" s="2"/>
      <c r="B87" s="37"/>
      <c r="C87" s="37"/>
      <c r="F87" s="9"/>
      <c r="K87" s="9"/>
      <c r="P87" s="9"/>
      <c r="Q87" s="9"/>
      <c r="R87" s="9"/>
      <c r="S87" s="9"/>
      <c r="T87" s="9"/>
      <c r="U87" s="9"/>
      <c r="V87" s="9"/>
      <c r="W87" s="9"/>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row>
    <row r="88" spans="1:66" ht="15" hidden="1" customHeight="1" outlineLevel="1" x14ac:dyDescent="0.25">
      <c r="A88" s="2"/>
      <c r="B88" s="37"/>
      <c r="C88" s="37"/>
      <c r="D88" s="137" t="s">
        <v>522</v>
      </c>
      <c r="E88" s="577" t="s">
        <v>919</v>
      </c>
      <c r="F88" s="9"/>
      <c r="G88" s="137" t="s">
        <v>522</v>
      </c>
      <c r="H88" s="96"/>
      <c r="I88" s="572" t="s">
        <v>523</v>
      </c>
      <c r="J88" s="223"/>
      <c r="K88" s="9"/>
      <c r="L88" s="137" t="s">
        <v>522</v>
      </c>
      <c r="M88" s="96"/>
      <c r="N88" s="572" t="s">
        <v>524</v>
      </c>
      <c r="O88" s="223"/>
      <c r="P88" s="9"/>
      <c r="Q88" s="9"/>
      <c r="R88" s="9"/>
      <c r="S88" s="9"/>
      <c r="T88" s="9"/>
      <c r="U88" s="9"/>
      <c r="V88" s="9"/>
      <c r="W88" s="9"/>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row>
    <row r="89" spans="1:66" ht="15" hidden="1" customHeight="1" outlineLevel="1" x14ac:dyDescent="0.25">
      <c r="A89" s="2"/>
      <c r="B89" s="37"/>
      <c r="C89" s="37"/>
      <c r="D89" s="135" t="s">
        <v>516</v>
      </c>
      <c r="E89" s="578" t="s">
        <v>962</v>
      </c>
      <c r="F89" s="9"/>
      <c r="G89" s="135" t="s">
        <v>516</v>
      </c>
      <c r="H89" s="9"/>
      <c r="I89" s="573" t="s">
        <v>465</v>
      </c>
      <c r="J89" s="136"/>
      <c r="K89" s="9"/>
      <c r="L89" s="135" t="s">
        <v>516</v>
      </c>
      <c r="M89" s="9"/>
      <c r="N89" s="573" t="s">
        <v>466</v>
      </c>
      <c r="O89" s="136"/>
      <c r="P89" s="9"/>
      <c r="Q89" s="9"/>
      <c r="R89" s="9"/>
      <c r="S89" s="9"/>
      <c r="T89" s="9"/>
      <c r="U89" s="9"/>
      <c r="V89" s="9"/>
      <c r="W89" s="9"/>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row>
    <row r="90" spans="1:66" ht="15" hidden="1" customHeight="1" outlineLevel="1" x14ac:dyDescent="0.25">
      <c r="A90" s="2"/>
      <c r="B90" s="37"/>
      <c r="C90" s="37"/>
      <c r="D90" s="139" t="s">
        <v>519</v>
      </c>
      <c r="E90" s="574" t="s">
        <v>924</v>
      </c>
      <c r="F90" s="9"/>
      <c r="G90" s="139" t="s">
        <v>519</v>
      </c>
      <c r="H90" s="95"/>
      <c r="I90" s="576" t="s">
        <v>525</v>
      </c>
      <c r="J90" s="575"/>
      <c r="K90" s="9"/>
      <c r="L90" s="139" t="s">
        <v>519</v>
      </c>
      <c r="M90" s="95"/>
      <c r="N90" s="576" t="s">
        <v>526</v>
      </c>
      <c r="O90" s="575"/>
      <c r="P90" s="9"/>
      <c r="Q90" s="9"/>
      <c r="R90" s="9"/>
      <c r="S90" s="9"/>
      <c r="T90" s="9"/>
      <c r="U90" s="9"/>
      <c r="V90" s="9"/>
      <c r="W90" s="9"/>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row>
    <row r="91" spans="1:66" ht="15" hidden="1" customHeight="1" outlineLevel="1" x14ac:dyDescent="0.25">
      <c r="A91" s="2"/>
      <c r="B91" s="37"/>
      <c r="C91" s="37"/>
      <c r="F91" s="9"/>
      <c r="K91" s="9"/>
      <c r="P91" s="9"/>
      <c r="Q91" s="9"/>
      <c r="R91" s="9"/>
      <c r="S91" s="9"/>
      <c r="T91" s="9"/>
      <c r="U91" s="9"/>
      <c r="V91" s="9"/>
      <c r="W91" s="9"/>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row>
    <row r="92" spans="1:66" ht="15" hidden="1" customHeight="1" outlineLevel="1" x14ac:dyDescent="0.25">
      <c r="A92" s="2"/>
      <c r="B92" s="37"/>
      <c r="C92" s="37"/>
      <c r="D92" s="137" t="s">
        <v>522</v>
      </c>
      <c r="E92" s="577" t="s">
        <v>930</v>
      </c>
      <c r="F92" s="9"/>
      <c r="G92" s="137" t="s">
        <v>522</v>
      </c>
      <c r="H92" s="96"/>
      <c r="I92" s="572" t="s">
        <v>528</v>
      </c>
      <c r="J92" s="223"/>
      <c r="K92" s="9"/>
      <c r="L92" s="137" t="s">
        <v>522</v>
      </c>
      <c r="M92" s="96"/>
      <c r="N92" s="572" t="s">
        <v>529</v>
      </c>
      <c r="O92" s="223"/>
      <c r="P92" s="9"/>
      <c r="Q92" s="9"/>
      <c r="R92" s="9"/>
      <c r="S92" s="9"/>
      <c r="T92" s="9"/>
      <c r="U92" s="9"/>
      <c r="V92" s="9"/>
      <c r="W92" s="9"/>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row>
    <row r="93" spans="1:66" ht="15" hidden="1" customHeight="1" outlineLevel="1" x14ac:dyDescent="0.25">
      <c r="A93" s="2"/>
      <c r="B93" s="37"/>
      <c r="C93" s="37"/>
      <c r="D93" s="135" t="s">
        <v>516</v>
      </c>
      <c r="E93" s="578" t="s">
        <v>929</v>
      </c>
      <c r="F93" s="9"/>
      <c r="G93" s="135" t="s">
        <v>516</v>
      </c>
      <c r="H93" s="9"/>
      <c r="I93" s="573" t="s">
        <v>467</v>
      </c>
      <c r="J93" s="136"/>
      <c r="K93" s="9"/>
      <c r="L93" s="135" t="s">
        <v>516</v>
      </c>
      <c r="M93" s="9"/>
      <c r="N93" s="573" t="s">
        <v>469</v>
      </c>
      <c r="O93" s="136"/>
      <c r="P93" s="9"/>
      <c r="Q93" s="9"/>
      <c r="R93" s="9"/>
      <c r="S93" s="9"/>
      <c r="T93" s="9"/>
      <c r="U93" s="9"/>
      <c r="V93" s="9"/>
      <c r="W93" s="9"/>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row>
    <row r="94" spans="1:66" ht="15" hidden="1" customHeight="1" outlineLevel="1" x14ac:dyDescent="0.25">
      <c r="A94" s="2"/>
      <c r="B94" s="37"/>
      <c r="C94" s="37"/>
      <c r="D94" s="139" t="s">
        <v>519</v>
      </c>
      <c r="E94" s="574" t="s">
        <v>935</v>
      </c>
      <c r="F94" s="9"/>
      <c r="G94" s="139" t="s">
        <v>519</v>
      </c>
      <c r="H94" s="95"/>
      <c r="I94" s="576" t="s">
        <v>530</v>
      </c>
      <c r="J94" s="575"/>
      <c r="K94" s="9"/>
      <c r="L94" s="139" t="s">
        <v>519</v>
      </c>
      <c r="M94" s="95"/>
      <c r="N94" s="576" t="s">
        <v>531</v>
      </c>
      <c r="O94" s="575"/>
      <c r="P94" s="9"/>
      <c r="Q94" s="9"/>
      <c r="R94" s="9"/>
      <c r="S94" s="9"/>
      <c r="T94" s="9"/>
      <c r="U94" s="9"/>
      <c r="V94" s="9"/>
      <c r="W94" s="9"/>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row>
    <row r="95" spans="1:66" ht="15" hidden="1" customHeight="1" outlineLevel="1" x14ac:dyDescent="0.25">
      <c r="A95" s="2"/>
      <c r="B95" s="37"/>
      <c r="C95" s="37"/>
      <c r="D95" s="2"/>
      <c r="E95" s="2"/>
      <c r="F95" s="9"/>
      <c r="G95" s="2"/>
      <c r="H95" s="2"/>
      <c r="I95" s="2"/>
      <c r="J95" s="2"/>
      <c r="K95" s="9"/>
      <c r="L95" s="2"/>
      <c r="M95" s="2"/>
      <c r="N95" s="2"/>
      <c r="O95" s="2"/>
      <c r="P95" s="9"/>
      <c r="Q95" s="9"/>
      <c r="R95" s="9"/>
      <c r="S95" s="9"/>
      <c r="T95" s="9"/>
      <c r="U95" s="9"/>
      <c r="V95" s="9"/>
      <c r="W95" s="9"/>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row>
    <row r="96" spans="1:66" ht="15" hidden="1" customHeight="1" outlineLevel="1" x14ac:dyDescent="0.25">
      <c r="A96" s="2"/>
      <c r="B96" s="37"/>
      <c r="C96" s="37"/>
      <c r="D96" s="137" t="s">
        <v>522</v>
      </c>
      <c r="E96" s="577" t="s">
        <v>941</v>
      </c>
      <c r="F96" s="9"/>
      <c r="G96" s="137" t="s">
        <v>522</v>
      </c>
      <c r="H96" s="96"/>
      <c r="I96" s="572" t="s">
        <v>532</v>
      </c>
      <c r="J96" s="223"/>
      <c r="K96" s="9"/>
      <c r="L96" s="137" t="s">
        <v>522</v>
      </c>
      <c r="M96" s="96"/>
      <c r="N96" s="572" t="s">
        <v>533</v>
      </c>
      <c r="O96" s="223"/>
      <c r="P96" s="9"/>
      <c r="Q96" s="9"/>
      <c r="R96" s="9"/>
      <c r="S96" s="9"/>
      <c r="T96" s="9"/>
      <c r="U96" s="9"/>
      <c r="V96" s="9"/>
      <c r="W96" s="9"/>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row>
    <row r="97" spans="1:66" ht="15" hidden="1" customHeight="1" outlineLevel="1" x14ac:dyDescent="0.25">
      <c r="A97" s="2"/>
      <c r="B97" s="37"/>
      <c r="C97" s="37"/>
      <c r="D97" s="135" t="s">
        <v>516</v>
      </c>
      <c r="E97" s="578" t="s">
        <v>963</v>
      </c>
      <c r="F97" s="9"/>
      <c r="G97" s="135" t="s">
        <v>516</v>
      </c>
      <c r="H97" s="37"/>
      <c r="I97" s="573" t="s">
        <v>470</v>
      </c>
      <c r="J97" s="136"/>
      <c r="K97" s="9"/>
      <c r="L97" s="135" t="s">
        <v>516</v>
      </c>
      <c r="M97" s="37"/>
      <c r="N97" s="573" t="s">
        <v>471</v>
      </c>
      <c r="O97" s="136"/>
      <c r="P97" s="9"/>
      <c r="Q97" s="9"/>
      <c r="R97" s="9"/>
      <c r="S97" s="9"/>
      <c r="T97" s="9"/>
      <c r="U97" s="9"/>
      <c r="V97" s="9"/>
      <c r="W97" s="9"/>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row>
    <row r="98" spans="1:66" ht="15" hidden="1" customHeight="1" outlineLevel="1" x14ac:dyDescent="0.25">
      <c r="A98" s="2"/>
      <c r="B98" s="37"/>
      <c r="C98" s="37"/>
      <c r="D98" s="139" t="s">
        <v>519</v>
      </c>
      <c r="E98" s="574" t="s">
        <v>946</v>
      </c>
      <c r="F98" s="9"/>
      <c r="G98" s="139" t="s">
        <v>519</v>
      </c>
      <c r="H98" s="95"/>
      <c r="I98" s="576" t="s">
        <v>534</v>
      </c>
      <c r="J98" s="575"/>
      <c r="K98" s="9"/>
      <c r="L98" s="139" t="s">
        <v>519</v>
      </c>
      <c r="M98" s="95"/>
      <c r="N98" s="576" t="s">
        <v>535</v>
      </c>
      <c r="O98" s="575"/>
      <c r="P98" s="9"/>
      <c r="Q98" s="9"/>
      <c r="R98" s="9"/>
      <c r="S98" s="9"/>
      <c r="T98" s="9"/>
      <c r="U98" s="9"/>
      <c r="V98" s="9"/>
      <c r="W98" s="9"/>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row>
    <row r="99" spans="1:66" ht="15" hidden="1" customHeight="1" outlineLevel="1" x14ac:dyDescent="0.25">
      <c r="A99" s="2"/>
      <c r="B99" s="37"/>
      <c r="C99" s="37"/>
      <c r="D99" s="2"/>
      <c r="E99" s="2"/>
      <c r="F99" s="9"/>
      <c r="G99" s="2"/>
      <c r="H99" s="2"/>
      <c r="I99" s="2"/>
      <c r="J99" s="2"/>
      <c r="K99" s="9"/>
      <c r="L99" s="2"/>
      <c r="M99" s="2"/>
      <c r="N99" s="2"/>
      <c r="O99" s="2"/>
      <c r="P99" s="9"/>
      <c r="Q99" s="9"/>
      <c r="R99" s="9"/>
      <c r="S99" s="9"/>
      <c r="T99" s="9"/>
      <c r="U99" s="9"/>
      <c r="V99" s="9"/>
      <c r="W99" s="9"/>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row>
    <row r="100" spans="1:66" ht="15" hidden="1" customHeight="1" outlineLevel="1" x14ac:dyDescent="0.25">
      <c r="A100" s="2"/>
      <c r="B100" s="37"/>
      <c r="C100" s="37"/>
      <c r="D100" s="137" t="s">
        <v>522</v>
      </c>
      <c r="E100" s="577" t="s">
        <v>952</v>
      </c>
      <c r="F100" s="9"/>
      <c r="G100" s="137" t="s">
        <v>522</v>
      </c>
      <c r="H100" s="96"/>
      <c r="I100" s="572" t="s">
        <v>536</v>
      </c>
      <c r="J100" s="223"/>
      <c r="K100" s="9"/>
      <c r="L100" s="137" t="s">
        <v>522</v>
      </c>
      <c r="M100" s="96"/>
      <c r="N100" s="572" t="s">
        <v>537</v>
      </c>
      <c r="O100" s="223"/>
      <c r="P100" s="9"/>
      <c r="Q100" s="9"/>
      <c r="R100" s="9"/>
      <c r="S100" s="9"/>
      <c r="T100" s="9"/>
      <c r="U100" s="9"/>
      <c r="V100" s="9"/>
      <c r="W100" s="9"/>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row>
    <row r="101" spans="1:66" ht="15" hidden="1" customHeight="1" outlineLevel="1" x14ac:dyDescent="0.25">
      <c r="A101" s="2"/>
      <c r="B101" s="37"/>
      <c r="C101" s="37"/>
      <c r="D101" s="135" t="s">
        <v>516</v>
      </c>
      <c r="E101" s="578" t="s">
        <v>951</v>
      </c>
      <c r="F101" s="9"/>
      <c r="G101" s="135" t="s">
        <v>516</v>
      </c>
      <c r="H101" s="9"/>
      <c r="I101" s="573" t="s">
        <v>472</v>
      </c>
      <c r="J101" s="136"/>
      <c r="K101" s="9"/>
      <c r="L101" s="135" t="s">
        <v>516</v>
      </c>
      <c r="M101" s="9"/>
      <c r="N101" s="573" t="s">
        <v>473</v>
      </c>
      <c r="O101" s="136"/>
      <c r="P101" s="9"/>
      <c r="Q101" s="9"/>
      <c r="R101" s="9"/>
      <c r="S101" s="9"/>
      <c r="T101" s="9"/>
      <c r="U101" s="9"/>
      <c r="V101" s="9"/>
      <c r="W101" s="9"/>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row>
    <row r="102" spans="1:66" ht="15" hidden="1" customHeight="1" outlineLevel="1" x14ac:dyDescent="0.25">
      <c r="A102" s="2"/>
      <c r="B102" s="37"/>
      <c r="C102" s="37"/>
      <c r="D102" s="139" t="s">
        <v>519</v>
      </c>
      <c r="E102" s="574" t="s">
        <v>957</v>
      </c>
      <c r="F102" s="9"/>
      <c r="G102" s="139" t="s">
        <v>519</v>
      </c>
      <c r="H102" s="95"/>
      <c r="I102" s="576" t="s">
        <v>538</v>
      </c>
      <c r="J102" s="575"/>
      <c r="K102" s="9"/>
      <c r="L102" s="139" t="s">
        <v>519</v>
      </c>
      <c r="M102" s="95"/>
      <c r="N102" s="576" t="s">
        <v>539</v>
      </c>
      <c r="O102" s="575"/>
      <c r="P102" s="9"/>
      <c r="Q102" s="9"/>
      <c r="R102" s="9"/>
      <c r="S102" s="9"/>
      <c r="T102" s="9"/>
      <c r="U102" s="9"/>
      <c r="V102" s="9"/>
      <c r="W102" s="9"/>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row>
    <row r="103" spans="1:66" ht="15" hidden="1" customHeight="1" outlineLevel="1" x14ac:dyDescent="0.25">
      <c r="A103" s="2"/>
      <c r="B103" s="37"/>
      <c r="C103" s="37"/>
      <c r="D103" s="9"/>
      <c r="E103" s="9"/>
      <c r="F103" s="9"/>
      <c r="G103" s="9"/>
      <c r="H103" s="9"/>
      <c r="I103" s="9"/>
      <c r="J103" s="9"/>
      <c r="K103" s="9"/>
      <c r="L103" s="9"/>
      <c r="M103" s="9"/>
      <c r="N103" s="9"/>
      <c r="O103" s="9"/>
      <c r="P103" s="9"/>
      <c r="Q103" s="9"/>
      <c r="R103" s="9"/>
      <c r="S103" s="9"/>
      <c r="T103" s="9"/>
      <c r="U103" s="9"/>
      <c r="V103" s="9"/>
      <c r="W103" s="9"/>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row>
    <row r="104" spans="1:66" ht="15" hidden="1" customHeight="1" outlineLevel="1" x14ac:dyDescent="0.25">
      <c r="A104" s="2"/>
      <c r="B104" s="37"/>
      <c r="C104" s="37"/>
      <c r="D104" s="137" t="s">
        <v>522</v>
      </c>
      <c r="E104" s="579" t="s">
        <v>540</v>
      </c>
      <c r="F104" s="9"/>
      <c r="G104" s="137" t="s">
        <v>522</v>
      </c>
      <c r="H104" s="96"/>
      <c r="I104" s="580" t="s">
        <v>541</v>
      </c>
      <c r="J104" s="223"/>
      <c r="K104" s="9"/>
      <c r="L104" s="137" t="s">
        <v>522</v>
      </c>
      <c r="M104" s="96"/>
      <c r="N104" s="580" t="s">
        <v>542</v>
      </c>
      <c r="O104" s="223"/>
      <c r="P104" s="9"/>
      <c r="Q104" s="9"/>
      <c r="R104" s="9"/>
      <c r="S104" s="9"/>
      <c r="T104" s="9"/>
      <c r="U104" s="9"/>
      <c r="V104" s="9"/>
      <c r="W104" s="9"/>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row>
    <row r="105" spans="1:66" ht="15" hidden="1" customHeight="1" outlineLevel="1" x14ac:dyDescent="0.25">
      <c r="A105" s="2"/>
      <c r="B105" s="37"/>
      <c r="C105" s="37"/>
      <c r="D105" s="135" t="s">
        <v>516</v>
      </c>
      <c r="E105" s="578" t="s">
        <v>422</v>
      </c>
      <c r="F105" s="9"/>
      <c r="G105" s="135" t="s">
        <v>516</v>
      </c>
      <c r="H105" s="9"/>
      <c r="I105" s="573" t="s">
        <v>474</v>
      </c>
      <c r="J105" s="136"/>
      <c r="K105" s="9"/>
      <c r="L105" s="135" t="s">
        <v>516</v>
      </c>
      <c r="M105" s="9"/>
      <c r="N105" s="573" t="s">
        <v>475</v>
      </c>
      <c r="O105" s="136"/>
      <c r="P105" s="9"/>
      <c r="Q105" s="9"/>
      <c r="R105" s="9"/>
      <c r="S105" s="9"/>
      <c r="T105" s="9"/>
      <c r="U105" s="9"/>
      <c r="V105" s="9"/>
      <c r="W105" s="9"/>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row>
    <row r="106" spans="1:66" ht="15" hidden="1" customHeight="1" outlineLevel="1" x14ac:dyDescent="0.25">
      <c r="A106" s="2"/>
      <c r="B106" s="37"/>
      <c r="C106" s="37"/>
      <c r="D106" s="139" t="s">
        <v>519</v>
      </c>
      <c r="E106" s="574" t="s">
        <v>543</v>
      </c>
      <c r="F106" s="9"/>
      <c r="G106" s="139" t="s">
        <v>519</v>
      </c>
      <c r="H106" s="95"/>
      <c r="I106" s="576" t="s">
        <v>544</v>
      </c>
      <c r="J106" s="575"/>
      <c r="K106" s="9"/>
      <c r="L106" s="139" t="s">
        <v>519</v>
      </c>
      <c r="M106" s="95"/>
      <c r="N106" s="576" t="s">
        <v>545</v>
      </c>
      <c r="O106" s="575"/>
      <c r="P106" s="9"/>
      <c r="Q106" s="9"/>
      <c r="R106" s="9"/>
      <c r="S106" s="9"/>
      <c r="T106" s="9"/>
      <c r="U106" s="9"/>
      <c r="V106" s="9"/>
      <c r="W106" s="9"/>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row>
    <row r="107" spans="1:66" ht="13.5" hidden="1" customHeight="1" outlineLevel="1" x14ac:dyDescent="0.25">
      <c r="A107" s="2"/>
      <c r="B107" s="37"/>
      <c r="C107" s="37"/>
      <c r="D107" s="9"/>
      <c r="E107" s="9"/>
      <c r="F107" s="9"/>
      <c r="G107" s="9"/>
      <c r="H107" s="9"/>
      <c r="I107" s="9"/>
      <c r="J107" s="9"/>
      <c r="K107" s="9"/>
      <c r="L107" s="9"/>
      <c r="M107" s="9"/>
      <c r="N107" s="9"/>
      <c r="O107" s="9"/>
      <c r="P107" s="9"/>
      <c r="Q107" s="9"/>
      <c r="R107" s="9"/>
      <c r="S107" s="9"/>
      <c r="T107" s="9"/>
      <c r="U107" s="9"/>
      <c r="V107" s="9"/>
      <c r="W107" s="9"/>
      <c r="X107" s="9"/>
      <c r="Y107" s="9"/>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row>
    <row r="108" spans="1:66" ht="13.5" customHeight="1" collapsed="1" x14ac:dyDescent="0.25">
      <c r="A108" s="2"/>
      <c r="B108" s="37"/>
      <c r="C108" s="37"/>
      <c r="D108" s="2"/>
      <c r="E108" s="2"/>
      <c r="F108" s="2"/>
      <c r="G108" s="2"/>
      <c r="H108" s="9"/>
      <c r="I108" s="9"/>
      <c r="J108" s="9"/>
      <c r="K108" s="9"/>
      <c r="L108" s="9"/>
      <c r="M108" s="9"/>
      <c r="N108" s="9"/>
      <c r="O108" s="9"/>
      <c r="P108" s="9"/>
      <c r="Q108" s="9"/>
      <c r="R108" s="9"/>
      <c r="S108" s="9"/>
      <c r="T108" s="9"/>
      <c r="U108" s="9"/>
      <c r="V108" s="9"/>
      <c r="W108" s="9"/>
      <c r="X108" s="9"/>
      <c r="Y108" s="9"/>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row>
    <row r="109" spans="1:66" ht="13.5" customHeight="1" x14ac:dyDescent="0.25">
      <c r="A109" s="2"/>
    </row>
    <row r="110" spans="1:66" ht="13.5" customHeight="1" x14ac:dyDescent="0.25">
      <c r="A110" s="2"/>
    </row>
    <row r="111" spans="1:66" ht="13.5" customHeight="1" x14ac:dyDescent="0.25">
      <c r="A111" s="2"/>
    </row>
    <row r="112" spans="1:66" ht="13.5" customHeight="1" x14ac:dyDescent="0.25">
      <c r="A112" s="2"/>
    </row>
    <row r="113" spans="1:66" ht="13.5" customHeight="1" x14ac:dyDescent="0.25">
      <c r="A113" s="2"/>
    </row>
    <row r="114" spans="1:66" ht="13.5" customHeight="1" x14ac:dyDescent="0.25">
      <c r="A114" s="2"/>
      <c r="B114" s="2"/>
      <c r="C114" s="37"/>
      <c r="S114" s="9"/>
      <c r="T114" s="9"/>
      <c r="U114" s="9"/>
      <c r="V114" s="9"/>
      <c r="W114" s="9"/>
      <c r="X114" s="9"/>
      <c r="Y114" s="9"/>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row>
    <row r="115" spans="1:66" ht="13.5" customHeight="1" x14ac:dyDescent="0.25">
      <c r="A115" s="2"/>
      <c r="B115" s="2"/>
      <c r="C115" s="37"/>
      <c r="S115" s="9"/>
      <c r="T115" s="9"/>
      <c r="U115" s="9"/>
      <c r="V115" s="9"/>
      <c r="W115" s="9"/>
      <c r="X115" s="9"/>
      <c r="Y115" s="9"/>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row>
    <row r="116" spans="1:66" ht="13.5" customHeight="1" x14ac:dyDescent="0.25">
      <c r="A116" s="2"/>
      <c r="B116" s="2"/>
      <c r="C116" s="37"/>
      <c r="S116" s="9"/>
      <c r="T116" s="9"/>
      <c r="U116" s="9"/>
      <c r="V116" s="9"/>
      <c r="W116" s="9"/>
      <c r="X116" s="9"/>
      <c r="Y116" s="9"/>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row>
    <row r="117" spans="1:66" ht="13.5" customHeight="1" x14ac:dyDescent="0.25">
      <c r="A117" s="2"/>
      <c r="B117" s="2"/>
      <c r="C117" s="37"/>
      <c r="S117" s="9"/>
      <c r="T117" s="9"/>
      <c r="U117" s="9"/>
      <c r="V117" s="9"/>
      <c r="W117" s="9"/>
      <c r="X117" s="9"/>
      <c r="Y117" s="9"/>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row>
    <row r="118" spans="1:66" ht="13.5" customHeight="1" x14ac:dyDescent="0.25">
      <c r="A118" s="2"/>
      <c r="B118" s="2"/>
      <c r="C118" s="37"/>
      <c r="S118" s="9"/>
      <c r="T118" s="9"/>
      <c r="U118" s="9"/>
      <c r="V118" s="9"/>
      <c r="W118" s="9"/>
      <c r="X118" s="9"/>
      <c r="Y118" s="9"/>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row>
    <row r="119" spans="1:66" ht="13.5" customHeight="1" x14ac:dyDescent="0.25">
      <c r="A119" s="2"/>
      <c r="B119" s="2"/>
      <c r="C119" s="37"/>
      <c r="S119" s="9"/>
      <c r="T119" s="9"/>
      <c r="U119" s="9"/>
      <c r="V119" s="9"/>
      <c r="W119" s="9"/>
      <c r="X119" s="9"/>
      <c r="Y119" s="9"/>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row>
    <row r="120" spans="1:66" ht="13.5" customHeight="1" x14ac:dyDescent="0.25">
      <c r="A120" s="2"/>
      <c r="B120" s="2"/>
      <c r="C120" s="37"/>
      <c r="S120" s="9"/>
      <c r="T120" s="9"/>
      <c r="U120" s="9"/>
      <c r="V120" s="9"/>
      <c r="W120" s="9"/>
      <c r="X120" s="9"/>
      <c r="Y120" s="9"/>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row>
    <row r="121" spans="1:66" ht="13.5" customHeight="1" x14ac:dyDescent="0.25">
      <c r="A121" s="2"/>
      <c r="B121" s="2"/>
      <c r="C121" s="37"/>
      <c r="S121" s="9"/>
      <c r="T121" s="9"/>
      <c r="U121" s="9"/>
      <c r="V121" s="9"/>
      <c r="W121" s="9"/>
      <c r="X121" s="9"/>
      <c r="Y121" s="9"/>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row>
    <row r="122" spans="1:66" ht="13.5" customHeight="1" x14ac:dyDescent="0.25">
      <c r="A122" s="2"/>
      <c r="B122" s="2"/>
      <c r="C122" s="466"/>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row>
    <row r="123" spans="1:66" ht="13.5" customHeight="1" x14ac:dyDescent="0.25">
      <c r="A123" s="2"/>
      <c r="B123" s="2"/>
      <c r="C123" s="466"/>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row>
    <row r="124" spans="1:66" ht="13.5" customHeight="1" x14ac:dyDescent="0.25">
      <c r="A124" s="2"/>
      <c r="B124" s="2"/>
      <c r="C124" s="466"/>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row>
    <row r="125" spans="1:66" ht="13.5" customHeight="1" x14ac:dyDescent="0.25">
      <c r="A125" s="2"/>
      <c r="B125" s="2"/>
      <c r="C125" s="466"/>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row>
    <row r="126" spans="1:66" ht="13.5" customHeight="1" x14ac:dyDescent="0.25">
      <c r="A126" s="2"/>
      <c r="B126" s="2"/>
      <c r="C126" s="466"/>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row>
    <row r="127" spans="1:66" ht="13.5" customHeight="1" x14ac:dyDescent="0.25">
      <c r="A127" s="2"/>
      <c r="B127" s="2"/>
      <c r="C127" s="466"/>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row>
    <row r="128" spans="1:66" ht="13.5" customHeight="1" x14ac:dyDescent="0.25">
      <c r="A128" s="2"/>
      <c r="B128" s="2"/>
      <c r="C128" s="466"/>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row>
    <row r="129" spans="1:66" ht="13.5" customHeight="1" x14ac:dyDescent="0.25">
      <c r="A129" s="2"/>
      <c r="B129" s="2"/>
      <c r="C129" s="466"/>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row>
    <row r="130" spans="1:66" ht="13.5" customHeight="1" x14ac:dyDescent="0.25">
      <c r="A130" s="2"/>
      <c r="B130" s="2"/>
      <c r="C130" s="466"/>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row>
    <row r="131" spans="1:66" ht="13.5" customHeight="1" x14ac:dyDescent="0.25">
      <c r="A131" s="2"/>
      <c r="B131" s="2"/>
      <c r="C131" s="466"/>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row>
    <row r="132" spans="1:66" ht="13.5" customHeight="1" x14ac:dyDescent="0.25">
      <c r="A132" s="2"/>
      <c r="B132" s="2"/>
      <c r="C132" s="466"/>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row>
    <row r="133" spans="1:66" ht="13.5" customHeight="1" x14ac:dyDescent="0.25">
      <c r="A133" s="2"/>
      <c r="B133" s="2"/>
      <c r="C133" s="466"/>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row>
    <row r="134" spans="1:66" ht="13.5" customHeight="1" x14ac:dyDescent="0.25">
      <c r="A134" s="2"/>
      <c r="B134" s="2"/>
      <c r="C134" s="466"/>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row>
    <row r="135" spans="1:66" ht="13.5" customHeight="1" x14ac:dyDescent="0.25">
      <c r="A135" s="2"/>
      <c r="B135" s="2"/>
      <c r="C135" s="466"/>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row>
    <row r="136" spans="1:66" ht="13.5" customHeight="1" x14ac:dyDescent="0.25">
      <c r="A136" s="2"/>
      <c r="B136" s="2"/>
      <c r="C136" s="466"/>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row>
    <row r="137" spans="1:66" ht="13.5" customHeight="1" x14ac:dyDescent="0.25">
      <c r="A137" s="2"/>
      <c r="B137" s="2"/>
      <c r="C137" s="466"/>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row>
    <row r="138" spans="1:66" ht="13.5" customHeight="1" x14ac:dyDescent="0.25">
      <c r="A138" s="2"/>
      <c r="B138" s="2"/>
      <c r="C138" s="466"/>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row>
    <row r="139" spans="1:66" ht="13.5" customHeight="1" x14ac:dyDescent="0.25">
      <c r="A139" s="2"/>
      <c r="B139" s="2"/>
      <c r="C139" s="466"/>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row>
    <row r="140" spans="1:66" ht="13.5" customHeight="1" x14ac:dyDescent="0.25">
      <c r="A140" s="2"/>
      <c r="B140" s="2"/>
      <c r="C140" s="466"/>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row>
    <row r="141" spans="1:66" ht="13.5" customHeight="1" x14ac:dyDescent="0.25">
      <c r="A141" s="2"/>
      <c r="B141" s="2"/>
      <c r="C141" s="466"/>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row>
    <row r="142" spans="1:66" ht="13.5" customHeight="1" x14ac:dyDescent="0.25">
      <c r="A142" s="2"/>
      <c r="B142" s="2"/>
      <c r="C142" s="466"/>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row>
    <row r="143" spans="1:66" ht="13.5" customHeight="1" x14ac:dyDescent="0.25">
      <c r="A143" s="2"/>
      <c r="B143" s="2"/>
      <c r="C143" s="466"/>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row>
    <row r="144" spans="1:66" ht="13.5" customHeight="1" x14ac:dyDescent="0.25">
      <c r="A144" s="2"/>
      <c r="B144" s="2"/>
      <c r="C144" s="466"/>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row>
    <row r="145" spans="1:66" ht="13.5" customHeight="1" x14ac:dyDescent="0.25">
      <c r="A145" s="2"/>
      <c r="B145" s="2"/>
      <c r="C145" s="466"/>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row>
    <row r="146" spans="1:66" ht="13.5" customHeight="1" x14ac:dyDescent="0.25">
      <c r="A146" s="2"/>
      <c r="B146" s="2"/>
      <c r="C146" s="466"/>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row>
    <row r="147" spans="1:66" ht="13.5" customHeight="1" x14ac:dyDescent="0.25">
      <c r="A147" s="2"/>
      <c r="B147" s="2"/>
      <c r="C147" s="466"/>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row>
    <row r="148" spans="1:66" ht="13.5" customHeight="1" x14ac:dyDescent="0.25">
      <c r="A148" s="2"/>
      <c r="B148" s="2"/>
      <c r="C148" s="466"/>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row>
    <row r="149" spans="1:66" ht="13.5" customHeight="1" x14ac:dyDescent="0.25">
      <c r="A149" s="2"/>
      <c r="B149" s="2"/>
      <c r="C149" s="466"/>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row>
    <row r="150" spans="1:66" ht="13.5" customHeight="1" x14ac:dyDescent="0.25">
      <c r="A150" s="2"/>
      <c r="B150" s="2"/>
      <c r="C150" s="466"/>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row>
    <row r="151" spans="1:66" ht="13.5" customHeight="1" x14ac:dyDescent="0.25">
      <c r="A151" s="2"/>
      <c r="B151" s="2"/>
      <c r="C151" s="466"/>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row>
    <row r="152" spans="1:66" ht="13.5" customHeight="1" x14ac:dyDescent="0.25">
      <c r="A152" s="2"/>
      <c r="B152" s="2"/>
      <c r="C152" s="466"/>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row>
    <row r="153" spans="1:66" ht="13.5" customHeight="1" x14ac:dyDescent="0.25">
      <c r="A153" s="2"/>
      <c r="B153" s="2"/>
      <c r="C153" s="466"/>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row>
    <row r="154" spans="1:66" ht="13.5" customHeight="1" x14ac:dyDescent="0.25">
      <c r="A154" s="2"/>
      <c r="B154" s="2"/>
      <c r="C154" s="466"/>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row>
    <row r="155" spans="1:66" ht="13.5" customHeight="1" x14ac:dyDescent="0.25">
      <c r="A155" s="2"/>
      <c r="B155" s="2"/>
      <c r="C155" s="466"/>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row>
    <row r="156" spans="1:66" ht="13.5" customHeight="1" x14ac:dyDescent="0.25">
      <c r="A156" s="2"/>
      <c r="B156" s="2"/>
      <c r="C156" s="466"/>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row>
    <row r="157" spans="1:66" ht="13.5" customHeight="1" x14ac:dyDescent="0.25">
      <c r="A157" s="2"/>
      <c r="B157" s="2"/>
      <c r="C157" s="466"/>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row>
    <row r="158" spans="1:66" ht="13.5" customHeight="1" x14ac:dyDescent="0.25">
      <c r="A158" s="2"/>
      <c r="B158" s="2"/>
      <c r="C158" s="466"/>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row>
    <row r="159" spans="1:66" ht="13.5" customHeight="1" x14ac:dyDescent="0.25">
      <c r="A159" s="2"/>
      <c r="B159" s="2"/>
      <c r="C159" s="466"/>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row>
    <row r="160" spans="1:66" ht="13.5" customHeight="1" x14ac:dyDescent="0.25">
      <c r="A160" s="2"/>
      <c r="B160" s="2"/>
      <c r="C160" s="466"/>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row>
    <row r="161" spans="1:66" ht="13.5" customHeight="1" x14ac:dyDescent="0.25">
      <c r="A161" s="2"/>
      <c r="B161" s="2"/>
      <c r="C161" s="466"/>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row>
    <row r="162" spans="1:66" ht="13.5" customHeight="1" x14ac:dyDescent="0.25">
      <c r="A162" s="2"/>
      <c r="B162" s="2"/>
      <c r="C162" s="466"/>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row>
    <row r="163" spans="1:66" ht="13.5" customHeight="1" x14ac:dyDescent="0.25">
      <c r="A163" s="2"/>
      <c r="B163" s="2"/>
      <c r="C163" s="466"/>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row>
    <row r="164" spans="1:66" ht="13.5" customHeight="1" x14ac:dyDescent="0.25">
      <c r="A164" s="2"/>
      <c r="B164" s="2"/>
      <c r="C164" s="466"/>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row>
    <row r="165" spans="1:66" ht="13.5" customHeight="1" x14ac:dyDescent="0.25">
      <c r="A165" s="2"/>
      <c r="B165" s="2"/>
      <c r="C165" s="466"/>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row>
    <row r="166" spans="1:66" ht="13.5" customHeight="1" x14ac:dyDescent="0.25">
      <c r="A166" s="2"/>
      <c r="B166" s="2"/>
      <c r="C166" s="466"/>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row>
    <row r="167" spans="1:66" ht="13.5" customHeight="1" x14ac:dyDescent="0.25">
      <c r="A167" s="2"/>
      <c r="B167" s="2"/>
      <c r="C167" s="466"/>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row>
    <row r="168" spans="1:66" ht="13.5" customHeight="1" x14ac:dyDescent="0.25">
      <c r="A168" s="2"/>
      <c r="B168" s="2"/>
      <c r="C168" s="466"/>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row>
    <row r="169" spans="1:66" ht="13.5" customHeight="1" x14ac:dyDescent="0.25">
      <c r="A169" s="2"/>
      <c r="B169" s="2"/>
      <c r="C169" s="466"/>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row>
    <row r="170" spans="1:66" ht="13.5" customHeight="1" x14ac:dyDescent="0.25">
      <c r="A170" s="2"/>
      <c r="B170" s="2"/>
      <c r="C170" s="466"/>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row>
    <row r="171" spans="1:66" ht="13.5" customHeight="1" x14ac:dyDescent="0.25">
      <c r="A171" s="2"/>
      <c r="B171" s="2"/>
      <c r="C171" s="466"/>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row>
    <row r="172" spans="1:66" ht="13.5" customHeight="1" x14ac:dyDescent="0.25">
      <c r="A172" s="2"/>
      <c r="B172" s="2"/>
      <c r="C172" s="466"/>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row>
    <row r="173" spans="1:66" ht="13.5" customHeight="1" x14ac:dyDescent="0.25">
      <c r="A173" s="2"/>
      <c r="B173" s="2"/>
      <c r="C173" s="466"/>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row>
    <row r="174" spans="1:66" ht="13.5" customHeight="1" x14ac:dyDescent="0.25">
      <c r="A174" s="2"/>
      <c r="B174" s="2"/>
      <c r="C174" s="466"/>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row>
    <row r="175" spans="1:66" ht="13.5" customHeight="1" x14ac:dyDescent="0.25">
      <c r="A175" s="2"/>
      <c r="B175" s="2"/>
      <c r="C175" s="466"/>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row>
    <row r="176" spans="1:66" ht="13.5" customHeight="1" x14ac:dyDescent="0.25">
      <c r="A176" s="2"/>
      <c r="B176" s="2"/>
      <c r="C176" s="466"/>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row>
    <row r="177" spans="1:66" ht="13.5" customHeight="1" x14ac:dyDescent="0.25">
      <c r="A177" s="2"/>
      <c r="B177" s="2"/>
      <c r="C177" s="466"/>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row>
    <row r="178" spans="1:66" ht="13.5" customHeight="1" x14ac:dyDescent="0.25">
      <c r="A178" s="2"/>
      <c r="B178" s="2"/>
      <c r="C178" s="466"/>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row>
    <row r="179" spans="1:66" ht="13.5" customHeight="1" x14ac:dyDescent="0.25">
      <c r="A179" s="2"/>
      <c r="B179" s="2"/>
      <c r="C179" s="466"/>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row>
    <row r="180" spans="1:66" ht="13.5" customHeight="1" x14ac:dyDescent="0.25">
      <c r="A180" s="2"/>
      <c r="B180" s="2"/>
      <c r="C180" s="466"/>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row>
    <row r="181" spans="1:66" ht="13.5" customHeight="1" x14ac:dyDescent="0.25">
      <c r="A181" s="2"/>
      <c r="B181" s="2"/>
      <c r="C181" s="466"/>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row>
    <row r="182" spans="1:66" ht="13.5" customHeight="1" x14ac:dyDescent="0.25">
      <c r="A182" s="2"/>
      <c r="B182" s="2"/>
      <c r="C182" s="466"/>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row>
    <row r="183" spans="1:66" ht="13.5" customHeight="1" x14ac:dyDescent="0.25">
      <c r="A183" s="2"/>
      <c r="B183" s="2"/>
      <c r="C183" s="466"/>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row>
    <row r="184" spans="1:66" ht="13.5" customHeight="1" x14ac:dyDescent="0.25">
      <c r="A184" s="2"/>
      <c r="B184" s="2"/>
      <c r="C184" s="466"/>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row>
    <row r="185" spans="1:66" ht="13.5" customHeight="1" x14ac:dyDescent="0.25">
      <c r="A185" s="2"/>
      <c r="B185" s="2"/>
      <c r="C185" s="466"/>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row>
    <row r="186" spans="1:66" ht="13.5" customHeight="1" x14ac:dyDescent="0.25">
      <c r="A186" s="2"/>
      <c r="B186" s="2"/>
      <c r="C186" s="466"/>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row>
    <row r="187" spans="1:66" ht="13.5" customHeight="1" x14ac:dyDescent="0.25">
      <c r="A187" s="2"/>
      <c r="B187" s="2"/>
      <c r="C187" s="466"/>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row>
    <row r="188" spans="1:66" ht="13.5" customHeight="1" x14ac:dyDescent="0.25">
      <c r="A188" s="2"/>
      <c r="B188" s="2"/>
      <c r="C188" s="466"/>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row>
    <row r="189" spans="1:66" ht="13.5" customHeight="1" x14ac:dyDescent="0.25">
      <c r="A189" s="2"/>
      <c r="B189" s="2"/>
      <c r="C189" s="466"/>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row>
    <row r="190" spans="1:66" ht="13.5" customHeight="1" x14ac:dyDescent="0.25">
      <c r="A190" s="2"/>
      <c r="B190" s="2"/>
      <c r="C190" s="466"/>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row>
    <row r="191" spans="1:66" ht="13.5" customHeight="1" x14ac:dyDescent="0.25">
      <c r="A191" s="2"/>
      <c r="B191" s="2"/>
      <c r="C191" s="466"/>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row>
    <row r="192" spans="1:66" ht="13.5" customHeight="1" x14ac:dyDescent="0.25">
      <c r="A192" s="2"/>
      <c r="B192" s="2"/>
      <c r="C192" s="466"/>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row>
    <row r="193" spans="1:66" ht="13.5" customHeight="1" x14ac:dyDescent="0.25">
      <c r="A193" s="2"/>
      <c r="B193" s="2"/>
      <c r="C193" s="466"/>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row>
    <row r="194" spans="1:66" ht="13.5" customHeight="1" x14ac:dyDescent="0.25">
      <c r="A194" s="2"/>
      <c r="B194" s="2"/>
      <c r="C194" s="466"/>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row>
    <row r="195" spans="1:66" ht="13.5" customHeight="1" x14ac:dyDescent="0.25">
      <c r="A195" s="2"/>
      <c r="B195" s="2"/>
      <c r="C195" s="466"/>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row>
    <row r="196" spans="1:66" ht="13.5" customHeight="1" x14ac:dyDescent="0.25">
      <c r="A196" s="2"/>
      <c r="B196" s="2"/>
      <c r="C196" s="466"/>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row>
    <row r="197" spans="1:66" ht="13.5" customHeight="1" x14ac:dyDescent="0.25">
      <c r="A197" s="2"/>
      <c r="B197" s="2"/>
      <c r="C197" s="466"/>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row>
    <row r="198" spans="1:66" ht="13.5" customHeight="1" x14ac:dyDescent="0.25">
      <c r="A198" s="2"/>
      <c r="B198" s="2"/>
      <c r="C198" s="466"/>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row>
    <row r="199" spans="1:66" ht="13.5" customHeight="1" x14ac:dyDescent="0.25">
      <c r="A199" s="2"/>
      <c r="B199" s="2"/>
      <c r="C199" s="466"/>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row>
    <row r="200" spans="1:66" ht="13.5" customHeight="1" x14ac:dyDescent="0.25">
      <c r="A200" s="2"/>
      <c r="B200" s="2"/>
      <c r="C200" s="466"/>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row>
    <row r="201" spans="1:66" ht="13.5" customHeight="1" x14ac:dyDescent="0.25">
      <c r="A201" s="2"/>
      <c r="B201" s="2"/>
      <c r="C201" s="466"/>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row>
    <row r="202" spans="1:66" ht="13.5" customHeight="1" x14ac:dyDescent="0.25">
      <c r="A202" s="2"/>
      <c r="B202" s="2"/>
      <c r="C202" s="466"/>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row>
    <row r="203" spans="1:66" ht="13.5" customHeight="1" x14ac:dyDescent="0.25">
      <c r="A203" s="2"/>
      <c r="B203" s="2"/>
      <c r="C203" s="466"/>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row>
    <row r="204" spans="1:66" ht="13.5" customHeight="1" x14ac:dyDescent="0.25">
      <c r="A204" s="2"/>
      <c r="B204" s="2"/>
      <c r="C204" s="466"/>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row>
    <row r="205" spans="1:66" ht="13.5" customHeight="1" x14ac:dyDescent="0.25">
      <c r="A205" s="2"/>
      <c r="B205" s="2"/>
      <c r="C205" s="466"/>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row>
    <row r="206" spans="1:66" ht="13.5" customHeight="1" x14ac:dyDescent="0.25">
      <c r="A206" s="2"/>
      <c r="B206" s="2"/>
      <c r="C206" s="466"/>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row>
    <row r="207" spans="1:66" ht="13.5" customHeight="1" x14ac:dyDescent="0.25">
      <c r="A207" s="2"/>
      <c r="B207" s="2"/>
      <c r="C207" s="466"/>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row>
    <row r="208" spans="1:66" ht="13.5" customHeight="1" x14ac:dyDescent="0.25">
      <c r="A208" s="2"/>
      <c r="B208" s="2"/>
      <c r="C208" s="466"/>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row>
    <row r="209" spans="1:66" ht="13.5" customHeight="1" x14ac:dyDescent="0.25">
      <c r="A209" s="2"/>
      <c r="B209" s="2"/>
      <c r="C209" s="466"/>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row>
    <row r="210" spans="1:66" ht="13.5" customHeight="1" x14ac:dyDescent="0.25">
      <c r="A210" s="2"/>
      <c r="B210" s="2"/>
      <c r="C210" s="466"/>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row>
    <row r="211" spans="1:66" ht="13.5" customHeight="1" x14ac:dyDescent="0.25">
      <c r="A211" s="2"/>
      <c r="B211" s="2"/>
      <c r="C211" s="466"/>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row>
    <row r="212" spans="1:66" ht="13.5" customHeight="1" x14ac:dyDescent="0.25">
      <c r="A212" s="2"/>
      <c r="B212" s="2"/>
      <c r="C212" s="466"/>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row>
    <row r="213" spans="1:66" ht="13.5" customHeight="1" x14ac:dyDescent="0.25">
      <c r="A213" s="2"/>
      <c r="B213" s="2"/>
      <c r="C213" s="466"/>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row>
    <row r="214" spans="1:66" ht="13.5" customHeight="1" x14ac:dyDescent="0.25">
      <c r="A214" s="2"/>
      <c r="B214" s="2"/>
      <c r="C214" s="466"/>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row>
    <row r="215" spans="1:66" ht="13.5" customHeight="1" x14ac:dyDescent="0.25">
      <c r="A215" s="2"/>
      <c r="B215" s="2"/>
      <c r="C215" s="466"/>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row>
    <row r="216" spans="1:66" ht="13.5" customHeight="1" x14ac:dyDescent="0.25">
      <c r="A216" s="2"/>
      <c r="B216" s="2"/>
      <c r="C216" s="466"/>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row>
    <row r="217" spans="1:66" ht="13.5" customHeight="1" x14ac:dyDescent="0.25">
      <c r="A217" s="2"/>
      <c r="B217" s="2"/>
      <c r="C217" s="466"/>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row>
    <row r="218" spans="1:66" ht="13.5" customHeight="1" x14ac:dyDescent="0.25">
      <c r="A218" s="2"/>
      <c r="B218" s="2"/>
      <c r="C218" s="466"/>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row>
    <row r="219" spans="1:66" ht="13.5" customHeight="1" x14ac:dyDescent="0.25">
      <c r="A219" s="2"/>
      <c r="B219" s="2"/>
      <c r="C219" s="466"/>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row>
    <row r="220" spans="1:66" ht="13.5" customHeight="1" x14ac:dyDescent="0.25">
      <c r="A220" s="2"/>
      <c r="B220" s="2"/>
      <c r="C220" s="466"/>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row>
    <row r="221" spans="1:66" ht="13.5" customHeight="1" x14ac:dyDescent="0.25">
      <c r="A221" s="2"/>
      <c r="B221" s="2"/>
      <c r="C221" s="466"/>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row>
    <row r="222" spans="1:66" ht="13.5" customHeight="1" x14ac:dyDescent="0.25">
      <c r="A222" s="2"/>
      <c r="B222" s="2"/>
      <c r="C222" s="466"/>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row>
    <row r="223" spans="1:66" ht="13.5" customHeight="1" x14ac:dyDescent="0.25">
      <c r="A223" s="2"/>
      <c r="B223" s="2"/>
      <c r="C223" s="466"/>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row>
    <row r="224" spans="1:66" ht="13.5" customHeight="1" x14ac:dyDescent="0.25">
      <c r="A224" s="2"/>
      <c r="B224" s="2"/>
      <c r="C224" s="466"/>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row>
    <row r="225" spans="1:66" ht="13.5" customHeight="1" x14ac:dyDescent="0.25">
      <c r="A225" s="2"/>
      <c r="B225" s="2"/>
      <c r="C225" s="466"/>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row>
    <row r="226" spans="1:66" ht="13.5" customHeight="1" x14ac:dyDescent="0.25">
      <c r="A226" s="2"/>
      <c r="B226" s="2"/>
      <c r="C226" s="466"/>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row>
    <row r="227" spans="1:66" ht="13.5" customHeight="1" x14ac:dyDescent="0.25">
      <c r="A227" s="2"/>
      <c r="B227" s="2"/>
      <c r="C227" s="466"/>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row>
    <row r="228" spans="1:66" ht="13.5" customHeight="1" x14ac:dyDescent="0.25">
      <c r="A228" s="2"/>
      <c r="B228" s="2"/>
      <c r="C228" s="466"/>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row>
    <row r="229" spans="1:66" ht="13.5" customHeight="1" x14ac:dyDescent="0.25">
      <c r="A229" s="2"/>
      <c r="B229" s="2"/>
      <c r="C229" s="466"/>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row>
    <row r="230" spans="1:66" ht="13.5" customHeight="1" x14ac:dyDescent="0.25">
      <c r="A230" s="2"/>
      <c r="B230" s="2"/>
      <c r="C230" s="466"/>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row>
    <row r="231" spans="1:66" ht="13.5" customHeight="1" x14ac:dyDescent="0.25">
      <c r="A231" s="2"/>
      <c r="B231" s="2"/>
      <c r="C231" s="466"/>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row>
    <row r="232" spans="1:66" ht="13.5" customHeight="1" x14ac:dyDescent="0.25">
      <c r="A232" s="2"/>
      <c r="B232" s="2"/>
      <c r="C232" s="466"/>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row>
    <row r="233" spans="1:66" ht="13.5" customHeight="1" x14ac:dyDescent="0.25">
      <c r="A233" s="2"/>
      <c r="B233" s="2"/>
      <c r="C233" s="466"/>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row>
    <row r="234" spans="1:66" ht="13.5" customHeight="1" x14ac:dyDescent="0.25">
      <c r="A234" s="2"/>
      <c r="B234" s="2"/>
      <c r="C234" s="466"/>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row>
    <row r="235" spans="1:66" ht="13.5" customHeight="1" x14ac:dyDescent="0.25">
      <c r="A235" s="2"/>
      <c r="B235" s="2"/>
      <c r="C235" s="466"/>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row>
    <row r="236" spans="1:66" ht="13.5" customHeight="1" x14ac:dyDescent="0.25">
      <c r="A236" s="2"/>
      <c r="B236" s="2"/>
      <c r="C236" s="466"/>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row>
    <row r="237" spans="1:66" ht="13.5" customHeight="1" x14ac:dyDescent="0.25">
      <c r="A237" s="2"/>
      <c r="B237" s="2"/>
      <c r="C237" s="466"/>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row>
    <row r="238" spans="1:66" ht="13.5" customHeight="1" x14ac:dyDescent="0.25">
      <c r="A238" s="2"/>
      <c r="B238" s="2"/>
      <c r="C238" s="466"/>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row>
    <row r="239" spans="1:66" ht="13.5" customHeight="1" x14ac:dyDescent="0.25">
      <c r="A239" s="2"/>
      <c r="B239" s="2"/>
      <c r="C239" s="466"/>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row>
    <row r="240" spans="1:66" ht="13.5" customHeight="1" x14ac:dyDescent="0.25">
      <c r="A240" s="2"/>
      <c r="B240" s="2"/>
      <c r="C240" s="466"/>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row>
    <row r="241" spans="1:66" ht="13.5" customHeight="1" x14ac:dyDescent="0.25">
      <c r="A241" s="2"/>
      <c r="B241" s="2"/>
      <c r="C241" s="466"/>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row>
    <row r="242" spans="1:66" ht="13.5" customHeight="1" x14ac:dyDescent="0.25">
      <c r="A242" s="2"/>
      <c r="B242" s="2"/>
      <c r="C242" s="466"/>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row>
    <row r="243" spans="1:66" ht="13.5" customHeight="1" x14ac:dyDescent="0.25">
      <c r="A243" s="2"/>
      <c r="B243" s="2"/>
      <c r="C243" s="466"/>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row>
    <row r="244" spans="1:66" ht="13.5" customHeight="1" x14ac:dyDescent="0.25">
      <c r="A244" s="2"/>
      <c r="B244" s="2"/>
      <c r="C244" s="466"/>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row>
    <row r="245" spans="1:66" ht="13.5" customHeight="1" x14ac:dyDescent="0.25">
      <c r="A245" s="2"/>
      <c r="B245" s="2"/>
      <c r="C245" s="466"/>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row>
    <row r="246" spans="1:66" ht="13.5" customHeight="1" x14ac:dyDescent="0.25">
      <c r="A246" s="2"/>
      <c r="B246" s="2"/>
      <c r="C246" s="466"/>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row>
    <row r="247" spans="1:66" ht="13.5" customHeight="1" x14ac:dyDescent="0.25">
      <c r="A247" s="2"/>
      <c r="B247" s="2"/>
      <c r="C247" s="466"/>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row>
    <row r="248" spans="1:66" ht="13.5" customHeight="1" x14ac:dyDescent="0.25">
      <c r="A248" s="2"/>
      <c r="B248" s="2"/>
      <c r="C248" s="466"/>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row>
    <row r="249" spans="1:66" ht="13.5" customHeight="1" x14ac:dyDescent="0.25">
      <c r="A249" s="2"/>
      <c r="B249" s="2"/>
      <c r="C249" s="466"/>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row>
    <row r="250" spans="1:66" ht="13.5" customHeight="1" x14ac:dyDescent="0.25">
      <c r="A250" s="2"/>
      <c r="B250" s="2"/>
      <c r="C250" s="466"/>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row>
    <row r="251" spans="1:66" ht="13.5" customHeight="1" x14ac:dyDescent="0.25">
      <c r="A251" s="2"/>
      <c r="B251" s="2"/>
      <c r="C251" s="466"/>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row>
    <row r="252" spans="1:66" ht="13.5" customHeight="1" x14ac:dyDescent="0.25">
      <c r="A252" s="2"/>
      <c r="B252" s="2"/>
      <c r="C252" s="466"/>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row>
    <row r="253" spans="1:66" ht="13.5" customHeight="1" x14ac:dyDescent="0.25">
      <c r="A253" s="2"/>
      <c r="B253" s="2"/>
      <c r="C253" s="466"/>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row>
    <row r="254" spans="1:66" ht="13.5" customHeight="1" x14ac:dyDescent="0.25">
      <c r="A254" s="2"/>
      <c r="B254" s="2"/>
      <c r="C254" s="466"/>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row>
    <row r="255" spans="1:66" ht="13.5" customHeight="1" x14ac:dyDescent="0.25">
      <c r="A255" s="2"/>
      <c r="B255" s="2"/>
      <c r="C255" s="466"/>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row>
    <row r="256" spans="1:66" ht="13.5" customHeight="1" x14ac:dyDescent="0.25">
      <c r="A256" s="2"/>
      <c r="B256" s="2"/>
      <c r="C256" s="466"/>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row>
    <row r="257" spans="1:66" ht="13.5" customHeight="1" x14ac:dyDescent="0.25">
      <c r="A257" s="2"/>
      <c r="B257" s="2"/>
      <c r="C257" s="466"/>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row>
    <row r="258" spans="1:66" ht="13.5" customHeight="1" x14ac:dyDescent="0.25">
      <c r="A258" s="2"/>
      <c r="B258" s="2"/>
      <c r="C258" s="466"/>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row>
    <row r="259" spans="1:66" ht="13.5" customHeight="1" x14ac:dyDescent="0.25">
      <c r="A259" s="2"/>
      <c r="B259" s="2"/>
      <c r="C259" s="466"/>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row>
    <row r="260" spans="1:66" ht="13.5" customHeight="1" x14ac:dyDescent="0.25">
      <c r="A260" s="2"/>
      <c r="B260" s="2"/>
      <c r="C260" s="466"/>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row>
    <row r="261" spans="1:66" ht="13.5" customHeight="1" x14ac:dyDescent="0.25">
      <c r="A261" s="2"/>
      <c r="B261" s="2"/>
      <c r="C261" s="466"/>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row>
    <row r="262" spans="1:66" ht="13.5" customHeight="1" x14ac:dyDescent="0.25">
      <c r="A262" s="2"/>
      <c r="B262" s="2"/>
      <c r="C262" s="466"/>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row>
    <row r="263" spans="1:66" ht="13.5" customHeight="1" x14ac:dyDescent="0.25">
      <c r="A263" s="2"/>
      <c r="B263" s="2"/>
      <c r="C263" s="466"/>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row>
    <row r="264" spans="1:66" ht="13.5" customHeight="1" x14ac:dyDescent="0.25">
      <c r="A264" s="2"/>
      <c r="B264" s="2"/>
      <c r="C264" s="466"/>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row>
    <row r="265" spans="1:66" ht="13.5" customHeight="1" x14ac:dyDescent="0.25">
      <c r="A265" s="2"/>
      <c r="B265" s="2"/>
      <c r="C265" s="466"/>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row>
    <row r="266" spans="1:66" ht="13.5" customHeight="1" x14ac:dyDescent="0.25">
      <c r="A266" s="2"/>
      <c r="B266" s="2"/>
      <c r="C266" s="466"/>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row>
    <row r="267" spans="1:66" ht="13.5" customHeight="1" x14ac:dyDescent="0.25">
      <c r="A267" s="2"/>
      <c r="B267" s="2"/>
      <c r="C267" s="466"/>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row>
    <row r="268" spans="1:66" ht="13.5" customHeight="1" x14ac:dyDescent="0.25">
      <c r="A268" s="2"/>
      <c r="B268" s="2"/>
      <c r="C268" s="466"/>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row>
    <row r="269" spans="1:66" ht="13.5" customHeight="1" x14ac:dyDescent="0.25">
      <c r="A269" s="2"/>
      <c r="B269" s="2"/>
      <c r="C269" s="466"/>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row>
    <row r="270" spans="1:66" ht="13.5" customHeight="1" x14ac:dyDescent="0.25">
      <c r="A270" s="2"/>
      <c r="B270" s="2"/>
      <c r="C270" s="466"/>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row>
    <row r="271" spans="1:66" ht="13.5" customHeight="1" x14ac:dyDescent="0.25">
      <c r="A271" s="2"/>
      <c r="B271" s="2"/>
      <c r="C271" s="466"/>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row>
    <row r="272" spans="1:66" ht="13.5" customHeight="1" x14ac:dyDescent="0.25">
      <c r="A272" s="2"/>
      <c r="B272" s="2"/>
      <c r="C272" s="466"/>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row>
    <row r="273" spans="1:66" ht="13.5" customHeight="1" x14ac:dyDescent="0.25">
      <c r="A273" s="2"/>
      <c r="B273" s="2"/>
      <c r="C273" s="466"/>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row>
    <row r="274" spans="1:66" ht="13.5" customHeight="1" x14ac:dyDescent="0.25">
      <c r="A274" s="2"/>
      <c r="B274" s="2"/>
      <c r="C274" s="466"/>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row>
    <row r="275" spans="1:66" ht="13.5" customHeight="1" x14ac:dyDescent="0.25">
      <c r="A275" s="2"/>
      <c r="B275" s="2"/>
      <c r="C275" s="466"/>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row>
    <row r="276" spans="1:66" ht="13.5" customHeight="1" x14ac:dyDescent="0.25">
      <c r="A276" s="2"/>
      <c r="B276" s="2"/>
      <c r="C276" s="466"/>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row>
    <row r="277" spans="1:66" ht="13.5" customHeight="1" x14ac:dyDescent="0.25">
      <c r="A277" s="2"/>
      <c r="B277" s="2"/>
      <c r="C277" s="466"/>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row>
    <row r="278" spans="1:66" ht="13.5" customHeight="1" x14ac:dyDescent="0.25">
      <c r="A278" s="2"/>
      <c r="B278" s="2"/>
      <c r="C278" s="466"/>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row>
    <row r="279" spans="1:66" ht="13.5" customHeight="1" x14ac:dyDescent="0.25">
      <c r="A279" s="2"/>
      <c r="B279" s="2"/>
      <c r="C279" s="466"/>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row>
    <row r="280" spans="1:66" ht="13.5" customHeight="1" x14ac:dyDescent="0.25">
      <c r="A280" s="2"/>
      <c r="B280" s="2"/>
      <c r="C280" s="466"/>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row>
    <row r="281" spans="1:66" ht="13.5" customHeight="1" x14ac:dyDescent="0.25">
      <c r="A281" s="2"/>
      <c r="B281" s="2"/>
      <c r="C281" s="466"/>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row>
    <row r="282" spans="1:66" ht="13.5" customHeight="1" x14ac:dyDescent="0.25">
      <c r="A282" s="2"/>
      <c r="B282" s="2"/>
      <c r="C282" s="466"/>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row>
    <row r="283" spans="1:66" ht="13.5" customHeight="1" x14ac:dyDescent="0.25">
      <c r="A283" s="2"/>
      <c r="B283" s="2"/>
      <c r="C283" s="466"/>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row>
    <row r="284" spans="1:66" ht="13.5" customHeight="1" x14ac:dyDescent="0.25">
      <c r="A284" s="2"/>
      <c r="B284" s="2"/>
      <c r="C284" s="466"/>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row>
    <row r="285" spans="1:66" ht="13.5" customHeight="1" x14ac:dyDescent="0.25">
      <c r="A285" s="2"/>
      <c r="B285" s="2"/>
      <c r="C285" s="466"/>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row>
    <row r="286" spans="1:66" ht="13.5" customHeight="1" x14ac:dyDescent="0.25">
      <c r="A286" s="2"/>
      <c r="B286" s="2"/>
      <c r="C286" s="466"/>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row>
    <row r="287" spans="1:66" ht="13.5" customHeight="1" x14ac:dyDescent="0.25">
      <c r="A287" s="2"/>
      <c r="B287" s="2"/>
      <c r="C287" s="466"/>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row>
    <row r="288" spans="1:66" ht="13.5" customHeight="1" x14ac:dyDescent="0.25">
      <c r="A288" s="2"/>
      <c r="B288" s="2"/>
      <c r="C288" s="466"/>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row>
    <row r="289" spans="1:66" ht="13.5" customHeight="1" x14ac:dyDescent="0.25">
      <c r="A289" s="2"/>
      <c r="B289" s="2"/>
      <c r="C289" s="466"/>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row>
    <row r="290" spans="1:66" ht="13.5" customHeight="1" x14ac:dyDescent="0.25">
      <c r="A290" s="2"/>
      <c r="B290" s="2"/>
      <c r="C290" s="466"/>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row>
    <row r="291" spans="1:66" ht="13.5" customHeight="1" x14ac:dyDescent="0.25">
      <c r="A291" s="2"/>
      <c r="B291" s="2"/>
      <c r="C291" s="466"/>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row>
    <row r="292" spans="1:66" ht="13.5" customHeight="1" x14ac:dyDescent="0.25">
      <c r="A292" s="2"/>
      <c r="B292" s="2"/>
      <c r="C292" s="466"/>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row>
    <row r="293" spans="1:66" ht="13.5" customHeight="1" x14ac:dyDescent="0.25">
      <c r="A293" s="2"/>
      <c r="B293" s="2"/>
      <c r="C293" s="466"/>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row>
    <row r="294" spans="1:66" ht="13.5" customHeight="1" x14ac:dyDescent="0.25">
      <c r="A294" s="2"/>
      <c r="B294" s="2"/>
      <c r="C294" s="466"/>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row>
    <row r="295" spans="1:66" ht="13.5" customHeight="1" x14ac:dyDescent="0.25">
      <c r="A295" s="2"/>
      <c r="B295" s="2"/>
      <c r="C295" s="466"/>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row>
    <row r="296" spans="1:66" ht="13.5" customHeight="1" x14ac:dyDescent="0.25">
      <c r="A296" s="2"/>
      <c r="B296" s="2"/>
      <c r="C296" s="466"/>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row>
    <row r="297" spans="1:66" ht="13.5" customHeight="1" x14ac:dyDescent="0.25">
      <c r="A297" s="2"/>
      <c r="B297" s="2"/>
      <c r="C297" s="466"/>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row>
    <row r="298" spans="1:66" ht="13.5" customHeight="1" x14ac:dyDescent="0.25">
      <c r="A298" s="2"/>
      <c r="B298" s="2"/>
      <c r="C298" s="466"/>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row>
    <row r="299" spans="1:66" ht="13.5" customHeight="1" x14ac:dyDescent="0.25">
      <c r="A299" s="2"/>
      <c r="B299" s="2"/>
      <c r="C299" s="466"/>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row>
    <row r="300" spans="1:66" ht="13.5" customHeight="1" x14ac:dyDescent="0.25">
      <c r="A300" s="2"/>
      <c r="B300" s="2"/>
      <c r="C300" s="466"/>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row>
    <row r="301" spans="1:66" ht="13.5" customHeight="1" x14ac:dyDescent="0.25">
      <c r="A301" s="2"/>
      <c r="B301" s="2"/>
      <c r="C301" s="466"/>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row>
    <row r="302" spans="1:66" ht="13.5" customHeight="1" x14ac:dyDescent="0.25">
      <c r="A302" s="2"/>
      <c r="B302" s="2"/>
      <c r="C302" s="466"/>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row>
    <row r="303" spans="1:66" ht="13.5" customHeight="1" x14ac:dyDescent="0.25">
      <c r="A303" s="2"/>
      <c r="B303" s="2"/>
      <c r="C303" s="466"/>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row>
    <row r="304" spans="1:66" ht="13.5" customHeight="1" x14ac:dyDescent="0.25">
      <c r="A304" s="2"/>
      <c r="B304" s="2"/>
      <c r="C304" s="466"/>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row>
    <row r="305" spans="1:66" ht="13.5" customHeight="1" x14ac:dyDescent="0.25">
      <c r="A305" s="2"/>
      <c r="B305" s="2"/>
      <c r="C305" s="466"/>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row>
    <row r="306" spans="1:66" ht="13.5" customHeight="1" x14ac:dyDescent="0.25">
      <c r="A306" s="2"/>
      <c r="B306" s="2"/>
      <c r="C306" s="466"/>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row>
    <row r="307" spans="1:66" ht="13.5" customHeight="1" x14ac:dyDescent="0.25">
      <c r="A307" s="2"/>
      <c r="B307" s="2"/>
      <c r="C307" s="466"/>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row>
    <row r="308" spans="1:66" ht="13.5" customHeight="1" x14ac:dyDescent="0.25">
      <c r="A308" s="2"/>
      <c r="B308" s="2"/>
      <c r="C308" s="466"/>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row>
    <row r="309" spans="1:66" ht="13.5" customHeight="1" x14ac:dyDescent="0.25">
      <c r="A309" s="2"/>
      <c r="B309" s="2"/>
      <c r="C309" s="466"/>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row>
    <row r="310" spans="1:66" ht="13.5" customHeight="1" x14ac:dyDescent="0.25">
      <c r="A310" s="2"/>
      <c r="B310" s="2"/>
      <c r="C310" s="466"/>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row>
    <row r="311" spans="1:66" ht="13.5" customHeight="1" x14ac:dyDescent="0.25">
      <c r="A311" s="2"/>
      <c r="B311" s="2"/>
      <c r="C311" s="466"/>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row>
    <row r="312" spans="1:66" ht="13.5" customHeight="1" x14ac:dyDescent="0.25">
      <c r="A312" s="2"/>
      <c r="B312" s="2"/>
      <c r="C312" s="466"/>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row>
    <row r="313" spans="1:66" ht="13.5" customHeight="1" x14ac:dyDescent="0.25">
      <c r="A313" s="2"/>
      <c r="B313" s="2"/>
      <c r="C313" s="466"/>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row>
    <row r="314" spans="1:66" ht="13.5" customHeight="1" x14ac:dyDescent="0.25">
      <c r="A314" s="2"/>
      <c r="B314" s="2"/>
      <c r="C314" s="466"/>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row>
    <row r="315" spans="1:66" ht="13.5" customHeight="1" x14ac:dyDescent="0.25">
      <c r="A315" s="2"/>
      <c r="B315" s="2"/>
      <c r="C315" s="466"/>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row>
    <row r="316" spans="1:66" ht="13.5" customHeight="1" x14ac:dyDescent="0.25">
      <c r="A316" s="2"/>
      <c r="B316" s="2"/>
      <c r="C316" s="466"/>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row>
    <row r="317" spans="1:66" ht="13.5" customHeight="1" x14ac:dyDescent="0.25">
      <c r="A317" s="2"/>
      <c r="B317" s="2"/>
      <c r="C317" s="466"/>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row>
    <row r="318" spans="1:66" ht="13.5" customHeight="1" x14ac:dyDescent="0.25">
      <c r="A318" s="2"/>
      <c r="B318" s="2"/>
      <c r="C318" s="466"/>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row>
    <row r="319" spans="1:66" ht="13.5" customHeight="1" x14ac:dyDescent="0.25">
      <c r="A319" s="2"/>
      <c r="B319" s="2"/>
      <c r="C319" s="466"/>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row>
    <row r="320" spans="1:66" ht="13.5" customHeight="1" x14ac:dyDescent="0.25">
      <c r="A320" s="2"/>
      <c r="B320" s="2"/>
      <c r="C320" s="466"/>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row>
    <row r="321" spans="1:66" ht="13.5" customHeight="1" x14ac:dyDescent="0.25">
      <c r="A321" s="2"/>
      <c r="B321" s="2"/>
      <c r="C321" s="466"/>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row>
    <row r="322" spans="1:66" ht="13.5" customHeight="1" x14ac:dyDescent="0.25">
      <c r="A322" s="2"/>
      <c r="B322" s="2"/>
      <c r="C322" s="466"/>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row>
    <row r="323" spans="1:66" ht="13.5" customHeight="1" x14ac:dyDescent="0.25">
      <c r="A323" s="2"/>
      <c r="B323" s="2"/>
      <c r="C323" s="466"/>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row>
    <row r="324" spans="1:66" ht="13.5" customHeight="1" x14ac:dyDescent="0.25">
      <c r="A324" s="2"/>
      <c r="B324" s="2"/>
      <c r="C324" s="466"/>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row>
    <row r="325" spans="1:66" ht="13.5" customHeight="1" x14ac:dyDescent="0.25">
      <c r="A325" s="2"/>
      <c r="B325" s="2"/>
      <c r="C325" s="466"/>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row>
    <row r="326" spans="1:66" ht="13.5" customHeight="1" x14ac:dyDescent="0.25">
      <c r="A326" s="2"/>
      <c r="B326" s="2"/>
      <c r="C326" s="466"/>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row>
    <row r="327" spans="1:66" ht="13.5" customHeight="1" x14ac:dyDescent="0.25">
      <c r="A327" s="2"/>
      <c r="B327" s="2"/>
      <c r="C327" s="466"/>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row>
    <row r="328" spans="1:66" ht="13.5" customHeight="1" x14ac:dyDescent="0.25">
      <c r="A328" s="2"/>
      <c r="B328" s="2"/>
      <c r="C328" s="466"/>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row>
    <row r="329" spans="1:66" ht="13.5" customHeight="1" x14ac:dyDescent="0.25">
      <c r="A329" s="2"/>
      <c r="B329" s="2"/>
      <c r="C329" s="466"/>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row>
    <row r="330" spans="1:66" ht="13.5" customHeight="1" x14ac:dyDescent="0.25">
      <c r="A330" s="2"/>
      <c r="B330" s="2"/>
      <c r="C330" s="466"/>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row>
    <row r="331" spans="1:66" ht="13.5" customHeight="1" x14ac:dyDescent="0.25">
      <c r="A331" s="2"/>
      <c r="B331" s="2"/>
      <c r="C331" s="466"/>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row>
    <row r="332" spans="1:66" ht="13.5" customHeight="1" x14ac:dyDescent="0.25">
      <c r="A332" s="2"/>
      <c r="B332" s="2"/>
      <c r="C332" s="466"/>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row>
    <row r="333" spans="1:66" ht="13.5" customHeight="1" x14ac:dyDescent="0.25">
      <c r="A333" s="2"/>
      <c r="B333" s="2"/>
      <c r="C333" s="466"/>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row>
    <row r="334" spans="1:66" ht="13.5" customHeight="1" x14ac:dyDescent="0.25">
      <c r="A334" s="2"/>
      <c r="B334" s="2"/>
      <c r="C334" s="466"/>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row>
    <row r="335" spans="1:66" ht="13.5" customHeight="1" x14ac:dyDescent="0.25">
      <c r="A335" s="2"/>
      <c r="B335" s="2"/>
      <c r="C335" s="466"/>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row>
    <row r="336" spans="1:66" ht="13.5" customHeight="1" x14ac:dyDescent="0.25">
      <c r="A336" s="2"/>
      <c r="B336" s="2"/>
      <c r="C336" s="466"/>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row>
    <row r="337" spans="1:66" ht="13.5" customHeight="1" x14ac:dyDescent="0.25">
      <c r="A337" s="2"/>
      <c r="B337" s="2"/>
      <c r="C337" s="466"/>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row>
    <row r="338" spans="1:66" ht="13.5" customHeight="1" x14ac:dyDescent="0.25">
      <c r="A338" s="2"/>
      <c r="B338" s="2"/>
      <c r="C338" s="466"/>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row>
    <row r="339" spans="1:66" ht="13.5" customHeight="1" x14ac:dyDescent="0.25">
      <c r="A339" s="2"/>
      <c r="B339" s="2"/>
      <c r="C339" s="466"/>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row>
    <row r="340" spans="1:66" ht="13.5" customHeight="1" x14ac:dyDescent="0.25">
      <c r="A340" s="2"/>
      <c r="B340" s="2"/>
      <c r="C340" s="466"/>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row>
    <row r="341" spans="1:66" ht="13.5" customHeight="1" x14ac:dyDescent="0.25">
      <c r="A341" s="2"/>
      <c r="B341" s="2"/>
      <c r="C341" s="466"/>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row>
    <row r="342" spans="1:66" ht="13.5" customHeight="1" x14ac:dyDescent="0.25">
      <c r="A342" s="2"/>
      <c r="B342" s="2"/>
      <c r="C342" s="466"/>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row>
    <row r="343" spans="1:66" ht="13.5" customHeight="1" x14ac:dyDescent="0.25">
      <c r="A343" s="2"/>
      <c r="B343" s="2"/>
      <c r="C343" s="466"/>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row>
    <row r="344" spans="1:66" ht="13.5" customHeight="1" x14ac:dyDescent="0.25">
      <c r="A344" s="2"/>
      <c r="B344" s="2"/>
      <c r="C344" s="466"/>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row>
    <row r="345" spans="1:66" ht="13.5" customHeight="1" x14ac:dyDescent="0.25">
      <c r="A345" s="2"/>
      <c r="B345" s="2"/>
      <c r="C345" s="466"/>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row>
    <row r="346" spans="1:66" ht="13.5" customHeight="1" x14ac:dyDescent="0.25">
      <c r="A346" s="2"/>
      <c r="B346" s="2"/>
      <c r="C346" s="466"/>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row>
    <row r="347" spans="1:66" ht="13.5" customHeight="1" x14ac:dyDescent="0.25">
      <c r="A347" s="2"/>
      <c r="B347" s="2"/>
      <c r="C347" s="466"/>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row>
    <row r="348" spans="1:66" ht="13.5" customHeight="1" x14ac:dyDescent="0.25">
      <c r="A348" s="2"/>
      <c r="B348" s="2"/>
      <c r="C348" s="466"/>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row>
    <row r="349" spans="1:66" ht="13.5" customHeight="1" x14ac:dyDescent="0.25">
      <c r="A349" s="2"/>
      <c r="B349" s="2"/>
      <c r="C349" s="466"/>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row>
    <row r="350" spans="1:66" ht="13.5" customHeight="1" x14ac:dyDescent="0.25">
      <c r="A350" s="2"/>
      <c r="B350" s="2"/>
      <c r="C350" s="466"/>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row>
    <row r="351" spans="1:66" ht="13.5" customHeight="1" x14ac:dyDescent="0.25">
      <c r="A351" s="2"/>
      <c r="B351" s="2"/>
      <c r="C351" s="466"/>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row>
    <row r="352" spans="1:66" ht="13.5" customHeight="1" x14ac:dyDescent="0.25">
      <c r="A352" s="2"/>
      <c r="B352" s="2"/>
      <c r="C352" s="466"/>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row>
    <row r="353" spans="1:66" ht="13.5" customHeight="1" x14ac:dyDescent="0.25">
      <c r="A353" s="2"/>
      <c r="B353" s="2"/>
      <c r="C353" s="466"/>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row>
    <row r="354" spans="1:66" ht="13.5" customHeight="1" x14ac:dyDescent="0.25">
      <c r="A354" s="2"/>
      <c r="B354" s="2"/>
      <c r="C354" s="466"/>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row>
    <row r="355" spans="1:66" ht="13.5" customHeight="1" x14ac:dyDescent="0.25">
      <c r="A355" s="2"/>
      <c r="B355" s="2"/>
      <c r="C355" s="466"/>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row>
    <row r="356" spans="1:66" ht="13.5" customHeight="1" x14ac:dyDescent="0.25">
      <c r="A356" s="2"/>
      <c r="B356" s="2"/>
      <c r="C356" s="466"/>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row>
    <row r="357" spans="1:66" ht="13.5" customHeight="1" x14ac:dyDescent="0.25">
      <c r="A357" s="2"/>
      <c r="B357" s="2"/>
      <c r="C357" s="466"/>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row>
    <row r="358" spans="1:66" ht="13.5" customHeight="1" x14ac:dyDescent="0.25">
      <c r="A358" s="2"/>
      <c r="B358" s="2"/>
      <c r="C358" s="466"/>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row>
    <row r="359" spans="1:66" ht="13.5" customHeight="1" x14ac:dyDescent="0.25">
      <c r="A359" s="2"/>
      <c r="B359" s="2"/>
      <c r="C359" s="466"/>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row>
    <row r="360" spans="1:66" ht="13.5" customHeight="1" x14ac:dyDescent="0.25">
      <c r="A360" s="2"/>
      <c r="B360" s="2"/>
      <c r="C360" s="466"/>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row>
    <row r="361" spans="1:66" ht="13.5" customHeight="1" x14ac:dyDescent="0.25">
      <c r="A361" s="2"/>
      <c r="B361" s="2"/>
      <c r="C361" s="466"/>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row>
    <row r="362" spans="1:66" ht="13.5" customHeight="1" x14ac:dyDescent="0.25">
      <c r="A362" s="2"/>
      <c r="B362" s="2"/>
      <c r="C362" s="466"/>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row>
    <row r="363" spans="1:66" ht="13.5" customHeight="1" x14ac:dyDescent="0.25">
      <c r="A363" s="2"/>
      <c r="B363" s="2"/>
      <c r="C363" s="466"/>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row>
    <row r="364" spans="1:66" ht="13.5" customHeight="1" x14ac:dyDescent="0.25">
      <c r="A364" s="2"/>
      <c r="B364" s="2"/>
      <c r="C364" s="466"/>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row>
    <row r="365" spans="1:66" ht="13.5" customHeight="1" x14ac:dyDescent="0.25">
      <c r="A365" s="2"/>
      <c r="B365" s="2"/>
      <c r="C365" s="466"/>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row>
    <row r="366" spans="1:66" ht="13.5" customHeight="1" x14ac:dyDescent="0.25">
      <c r="A366" s="2"/>
      <c r="B366" s="2"/>
      <c r="C366" s="466"/>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row>
    <row r="367" spans="1:66" ht="13.5" customHeight="1" x14ac:dyDescent="0.25">
      <c r="A367" s="2"/>
      <c r="B367" s="2"/>
      <c r="C367" s="466"/>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row>
    <row r="368" spans="1:66" ht="13.5" customHeight="1" x14ac:dyDescent="0.25">
      <c r="A368" s="2"/>
      <c r="B368" s="2"/>
      <c r="C368" s="466"/>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row>
    <row r="369" spans="1:66" ht="13.5" customHeight="1" x14ac:dyDescent="0.25">
      <c r="A369" s="2"/>
      <c r="B369" s="2"/>
      <c r="C369" s="466"/>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row>
    <row r="370" spans="1:66" ht="13.5" customHeight="1" x14ac:dyDescent="0.25">
      <c r="A370" s="2"/>
      <c r="B370" s="2"/>
      <c r="C370" s="466"/>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row>
    <row r="371" spans="1:66" ht="13.5" customHeight="1" x14ac:dyDescent="0.25">
      <c r="A371" s="2"/>
      <c r="B371" s="2"/>
      <c r="C371" s="466"/>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row>
    <row r="372" spans="1:66" ht="13.5" customHeight="1" x14ac:dyDescent="0.25">
      <c r="A372" s="2"/>
      <c r="B372" s="2"/>
      <c r="C372" s="466"/>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row>
    <row r="373" spans="1:66" ht="13.5" customHeight="1" x14ac:dyDescent="0.25">
      <c r="A373" s="2"/>
      <c r="B373" s="2"/>
      <c r="C373" s="466"/>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row>
    <row r="374" spans="1:66" ht="13.5" customHeight="1" x14ac:dyDescent="0.25">
      <c r="A374" s="2"/>
      <c r="B374" s="2"/>
      <c r="C374" s="466"/>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row>
    <row r="375" spans="1:66" ht="13.5" customHeight="1" x14ac:dyDescent="0.25">
      <c r="A375" s="2"/>
      <c r="B375" s="2"/>
      <c r="C375" s="466"/>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row>
    <row r="376" spans="1:66" ht="13.5" customHeight="1" x14ac:dyDescent="0.25">
      <c r="A376" s="2"/>
      <c r="B376" s="2"/>
      <c r="C376" s="466"/>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row>
    <row r="377" spans="1:66" ht="13.5" customHeight="1" x14ac:dyDescent="0.25">
      <c r="A377" s="2"/>
      <c r="B377" s="2"/>
      <c r="C377" s="466"/>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row>
    <row r="378" spans="1:66" ht="13.5" customHeight="1" x14ac:dyDescent="0.25">
      <c r="A378" s="2"/>
      <c r="B378" s="2"/>
      <c r="C378" s="466"/>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row>
    <row r="379" spans="1:66" ht="13.5" customHeight="1" x14ac:dyDescent="0.25">
      <c r="A379" s="2"/>
      <c r="B379" s="2"/>
      <c r="C379" s="466"/>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row>
    <row r="380" spans="1:66" ht="13.5" customHeight="1" x14ac:dyDescent="0.25">
      <c r="A380" s="2"/>
      <c r="B380" s="2"/>
      <c r="C380" s="466"/>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row>
    <row r="381" spans="1:66" ht="13.5" customHeight="1" x14ac:dyDescent="0.25">
      <c r="A381" s="2"/>
      <c r="B381" s="2"/>
      <c r="C381" s="466"/>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row>
    <row r="382" spans="1:66" ht="13.5" customHeight="1" x14ac:dyDescent="0.25">
      <c r="A382" s="2"/>
      <c r="B382" s="2"/>
      <c r="C382" s="466"/>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row>
    <row r="383" spans="1:66" ht="13.5" customHeight="1" x14ac:dyDescent="0.25">
      <c r="A383" s="2"/>
      <c r="B383" s="2"/>
      <c r="C383" s="466"/>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row>
    <row r="384" spans="1:66" ht="13.5" customHeight="1" x14ac:dyDescent="0.25">
      <c r="A384" s="2"/>
      <c r="B384" s="2"/>
      <c r="C384" s="466"/>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row>
    <row r="385" spans="1:66" ht="13.5" customHeight="1" x14ac:dyDescent="0.25">
      <c r="A385" s="2"/>
      <c r="B385" s="2"/>
      <c r="C385" s="466"/>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row>
    <row r="386" spans="1:66" ht="13.5" customHeight="1" x14ac:dyDescent="0.25">
      <c r="A386" s="2"/>
      <c r="B386" s="2"/>
      <c r="C386" s="466"/>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row>
    <row r="387" spans="1:66" ht="13.5" customHeight="1" x14ac:dyDescent="0.25">
      <c r="A387" s="2"/>
      <c r="B387" s="2"/>
      <c r="C387" s="466"/>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row>
    <row r="388" spans="1:66" ht="13.5" customHeight="1" x14ac:dyDescent="0.25">
      <c r="A388" s="2"/>
      <c r="B388" s="2"/>
      <c r="C388" s="466"/>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row>
    <row r="389" spans="1:66" ht="13.5" customHeight="1" x14ac:dyDescent="0.25">
      <c r="A389" s="2"/>
      <c r="B389" s="2"/>
      <c r="C389" s="466"/>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row>
    <row r="390" spans="1:66" ht="13.5" customHeight="1" x14ac:dyDescent="0.25">
      <c r="A390" s="2"/>
      <c r="B390" s="2"/>
      <c r="C390" s="466"/>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row>
    <row r="391" spans="1:66" ht="13.5" customHeight="1" x14ac:dyDescent="0.25">
      <c r="A391" s="2"/>
      <c r="B391" s="2"/>
      <c r="C391" s="466"/>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row>
    <row r="392" spans="1:66" ht="13.5" customHeight="1" x14ac:dyDescent="0.25">
      <c r="A392" s="2"/>
      <c r="B392" s="2"/>
      <c r="C392" s="466"/>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row>
    <row r="393" spans="1:66" ht="13.5" customHeight="1" x14ac:dyDescent="0.25">
      <c r="A393" s="2"/>
      <c r="B393" s="2"/>
      <c r="C393" s="466"/>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row>
    <row r="394" spans="1:66" ht="13.5" customHeight="1" x14ac:dyDescent="0.25">
      <c r="A394" s="2"/>
      <c r="B394" s="2"/>
      <c r="C394" s="466"/>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row>
    <row r="395" spans="1:66" ht="13.5" customHeight="1" x14ac:dyDescent="0.25">
      <c r="A395" s="2"/>
      <c r="B395" s="2"/>
      <c r="C395" s="466"/>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row>
    <row r="396" spans="1:66" ht="13.5" customHeight="1" x14ac:dyDescent="0.25">
      <c r="A396" s="2"/>
      <c r="B396" s="2"/>
      <c r="C396" s="466"/>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row>
    <row r="397" spans="1:66" ht="13.5" customHeight="1" x14ac:dyDescent="0.25">
      <c r="A397" s="2"/>
      <c r="B397" s="2"/>
      <c r="C397" s="466"/>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row>
    <row r="398" spans="1:66" ht="13.5" customHeight="1" x14ac:dyDescent="0.25">
      <c r="A398" s="2"/>
      <c r="B398" s="2"/>
      <c r="C398" s="466"/>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row>
    <row r="399" spans="1:66" ht="13.5" customHeight="1" x14ac:dyDescent="0.25">
      <c r="A399" s="2"/>
      <c r="B399" s="2"/>
      <c r="C399" s="466"/>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row>
    <row r="400" spans="1:66" ht="13.5" customHeight="1" x14ac:dyDescent="0.25">
      <c r="A400" s="2"/>
      <c r="B400" s="2"/>
      <c r="C400" s="466"/>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row>
    <row r="401" spans="1:66" ht="13.5" customHeight="1" x14ac:dyDescent="0.25">
      <c r="A401" s="2"/>
      <c r="B401" s="2"/>
      <c r="C401" s="466"/>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row>
    <row r="402" spans="1:66" ht="13.5" customHeight="1" x14ac:dyDescent="0.25">
      <c r="A402" s="2"/>
      <c r="B402" s="2"/>
      <c r="C402" s="466"/>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row>
    <row r="403" spans="1:66" ht="13.5" customHeight="1" x14ac:dyDescent="0.25">
      <c r="A403" s="2"/>
      <c r="B403" s="2"/>
      <c r="C403" s="466"/>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row>
    <row r="404" spans="1:66" ht="13.5" customHeight="1" x14ac:dyDescent="0.25">
      <c r="A404" s="2"/>
      <c r="B404" s="2"/>
      <c r="C404" s="466"/>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row>
    <row r="405" spans="1:66" ht="13.5" customHeight="1" x14ac:dyDescent="0.25">
      <c r="A405" s="2"/>
      <c r="B405" s="2"/>
      <c r="C405" s="466"/>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row>
    <row r="406" spans="1:66" ht="13.5" customHeight="1" x14ac:dyDescent="0.25">
      <c r="A406" s="2"/>
      <c r="B406" s="2"/>
      <c r="C406" s="466"/>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row>
    <row r="407" spans="1:66" ht="13.5" customHeight="1" x14ac:dyDescent="0.25">
      <c r="A407" s="2"/>
      <c r="B407" s="2"/>
      <c r="C407" s="466"/>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row>
    <row r="408" spans="1:66" ht="13.5" customHeight="1" x14ac:dyDescent="0.25">
      <c r="A408" s="2"/>
      <c r="B408" s="2"/>
      <c r="C408" s="466"/>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row>
    <row r="409" spans="1:66" ht="13.5" customHeight="1" x14ac:dyDescent="0.25">
      <c r="A409" s="2"/>
      <c r="B409" s="2"/>
      <c r="C409" s="466"/>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row>
    <row r="410" spans="1:66" ht="13.5" customHeight="1" x14ac:dyDescent="0.25">
      <c r="A410" s="2"/>
      <c r="B410" s="2"/>
      <c r="C410" s="466"/>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row>
    <row r="411" spans="1:66" ht="13.5" customHeight="1" x14ac:dyDescent="0.25">
      <c r="A411" s="2"/>
      <c r="B411" s="2"/>
      <c r="C411" s="466"/>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row>
    <row r="412" spans="1:66" ht="13.5" customHeight="1" x14ac:dyDescent="0.25">
      <c r="A412" s="2"/>
      <c r="B412" s="2"/>
      <c r="C412" s="466"/>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row>
    <row r="413" spans="1:66" ht="13.5" customHeight="1" x14ac:dyDescent="0.25">
      <c r="A413" s="2"/>
      <c r="B413" s="2"/>
      <c r="C413" s="466"/>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row>
    <row r="414" spans="1:66" ht="13.5" customHeight="1" x14ac:dyDescent="0.25">
      <c r="A414" s="2"/>
      <c r="B414" s="2"/>
      <c r="C414" s="466"/>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row>
    <row r="415" spans="1:66" ht="13.5" customHeight="1" x14ac:dyDescent="0.25">
      <c r="A415" s="2"/>
      <c r="B415" s="2"/>
      <c r="C415" s="466"/>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row>
    <row r="416" spans="1:66" ht="13.5" customHeight="1" x14ac:dyDescent="0.25">
      <c r="A416" s="2"/>
      <c r="B416" s="2"/>
      <c r="C416" s="466"/>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row>
    <row r="417" spans="1:66" ht="13.5" customHeight="1" x14ac:dyDescent="0.25">
      <c r="A417" s="2"/>
      <c r="B417" s="2"/>
      <c r="C417" s="466"/>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row>
    <row r="418" spans="1:66" ht="13.5" customHeight="1" x14ac:dyDescent="0.25">
      <c r="A418" s="2"/>
      <c r="B418" s="2"/>
      <c r="C418" s="466"/>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row>
    <row r="419" spans="1:66" ht="13.5" customHeight="1" x14ac:dyDescent="0.25">
      <c r="A419" s="2"/>
      <c r="B419" s="2"/>
      <c r="C419" s="466"/>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row>
    <row r="420" spans="1:66" ht="13.5" customHeight="1" x14ac:dyDescent="0.25">
      <c r="A420" s="2"/>
      <c r="B420" s="2"/>
      <c r="C420" s="466"/>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row>
    <row r="421" spans="1:66" ht="13.5" customHeight="1" x14ac:dyDescent="0.25">
      <c r="A421" s="2"/>
      <c r="B421" s="2"/>
      <c r="C421" s="466"/>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row>
    <row r="422" spans="1:66" ht="13.5" customHeight="1" x14ac:dyDescent="0.25">
      <c r="A422" s="2"/>
      <c r="B422" s="2"/>
      <c r="C422" s="466"/>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row>
    <row r="423" spans="1:66" ht="13.5" customHeight="1" x14ac:dyDescent="0.25">
      <c r="A423" s="2"/>
      <c r="B423" s="2"/>
      <c r="C423" s="466"/>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row>
    <row r="424" spans="1:66" ht="13.5" customHeight="1" x14ac:dyDescent="0.25">
      <c r="A424" s="2"/>
      <c r="B424" s="2"/>
      <c r="C424" s="466"/>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row>
    <row r="425" spans="1:66" ht="13.5" customHeight="1" x14ac:dyDescent="0.25">
      <c r="A425" s="2"/>
      <c r="B425" s="2"/>
      <c r="C425" s="466"/>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row>
    <row r="426" spans="1:66" ht="13.5" customHeight="1" x14ac:dyDescent="0.25">
      <c r="A426" s="2"/>
      <c r="B426" s="2"/>
      <c r="C426" s="466"/>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row>
    <row r="427" spans="1:66" ht="13.5" customHeight="1" x14ac:dyDescent="0.25">
      <c r="A427" s="2"/>
      <c r="B427" s="2"/>
      <c r="C427" s="466"/>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row>
    <row r="428" spans="1:66" ht="13.5" customHeight="1" x14ac:dyDescent="0.25">
      <c r="A428" s="2"/>
      <c r="B428" s="2"/>
      <c r="C428" s="466"/>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row>
    <row r="429" spans="1:66" ht="13.5" customHeight="1" x14ac:dyDescent="0.25">
      <c r="A429" s="2"/>
      <c r="B429" s="2"/>
      <c r="C429" s="466"/>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row>
    <row r="430" spans="1:66" ht="13.5" customHeight="1" x14ac:dyDescent="0.25">
      <c r="A430" s="2"/>
      <c r="B430" s="2"/>
      <c r="C430" s="466"/>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row>
    <row r="431" spans="1:66" ht="13.5" customHeight="1" x14ac:dyDescent="0.25">
      <c r="A431" s="2"/>
      <c r="B431" s="2"/>
      <c r="C431" s="466"/>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row>
    <row r="432" spans="1:66" ht="13.5" customHeight="1" x14ac:dyDescent="0.25">
      <c r="A432" s="2"/>
      <c r="B432" s="2"/>
      <c r="C432" s="466"/>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row>
    <row r="433" spans="1:66" ht="13.5" customHeight="1" x14ac:dyDescent="0.25">
      <c r="A433" s="2"/>
      <c r="B433" s="2"/>
      <c r="C433" s="466"/>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row>
    <row r="434" spans="1:66" ht="13.5" customHeight="1" x14ac:dyDescent="0.25">
      <c r="A434" s="2"/>
      <c r="B434" s="2"/>
      <c r="C434" s="466"/>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row>
    <row r="435" spans="1:66" ht="13.5" customHeight="1" x14ac:dyDescent="0.25">
      <c r="A435" s="2"/>
      <c r="B435" s="2"/>
      <c r="C435" s="466"/>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row>
    <row r="436" spans="1:66" ht="13.5" customHeight="1" x14ac:dyDescent="0.25">
      <c r="A436" s="2"/>
      <c r="B436" s="2"/>
      <c r="C436" s="466"/>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row>
    <row r="437" spans="1:66" ht="13.5" customHeight="1" x14ac:dyDescent="0.25">
      <c r="A437" s="2"/>
      <c r="B437" s="2"/>
      <c r="C437" s="466"/>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row>
    <row r="438" spans="1:66" ht="13.5" customHeight="1" x14ac:dyDescent="0.25">
      <c r="A438" s="2"/>
      <c r="B438" s="2"/>
      <c r="C438" s="466"/>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row>
    <row r="439" spans="1:66" ht="13.5" customHeight="1" x14ac:dyDescent="0.25">
      <c r="A439" s="2"/>
      <c r="B439" s="2"/>
      <c r="C439" s="466"/>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row>
    <row r="440" spans="1:66" ht="13.5" customHeight="1" x14ac:dyDescent="0.25">
      <c r="A440" s="2"/>
      <c r="B440" s="2"/>
      <c r="C440" s="466"/>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row>
    <row r="441" spans="1:66" ht="13.5" customHeight="1" x14ac:dyDescent="0.25">
      <c r="A441" s="2"/>
      <c r="B441" s="2"/>
      <c r="C441" s="466"/>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row>
    <row r="442" spans="1:66" ht="13.5" customHeight="1" x14ac:dyDescent="0.25">
      <c r="A442" s="2"/>
      <c r="B442" s="2"/>
      <c r="C442" s="466"/>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row>
    <row r="443" spans="1:66" ht="13.5" customHeight="1" x14ac:dyDescent="0.25">
      <c r="A443" s="2"/>
      <c r="B443" s="2"/>
      <c r="C443" s="466"/>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row>
    <row r="444" spans="1:66" ht="13.5" customHeight="1" x14ac:dyDescent="0.25">
      <c r="A444" s="2"/>
      <c r="B444" s="2"/>
      <c r="C444" s="466"/>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row>
    <row r="445" spans="1:66" ht="13.5" customHeight="1" x14ac:dyDescent="0.25">
      <c r="A445" s="2"/>
      <c r="B445" s="2"/>
      <c r="C445" s="466"/>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row>
    <row r="446" spans="1:66" ht="13.5" customHeight="1" x14ac:dyDescent="0.25">
      <c r="A446" s="2"/>
      <c r="B446" s="2"/>
      <c r="C446" s="466"/>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row>
    <row r="447" spans="1:66" ht="13.5" customHeight="1" x14ac:dyDescent="0.25">
      <c r="A447" s="2"/>
      <c r="B447" s="2"/>
      <c r="C447" s="466"/>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row>
    <row r="448" spans="1:66" ht="13.5" customHeight="1" x14ac:dyDescent="0.25">
      <c r="A448" s="2"/>
      <c r="B448" s="2"/>
      <c r="C448" s="466"/>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row>
    <row r="449" spans="1:66" ht="13.5" customHeight="1" x14ac:dyDescent="0.25">
      <c r="A449" s="2"/>
      <c r="B449" s="2"/>
      <c r="C449" s="466"/>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row>
    <row r="450" spans="1:66" ht="13.5" customHeight="1" x14ac:dyDescent="0.25">
      <c r="A450" s="2"/>
      <c r="B450" s="2"/>
      <c r="C450" s="466"/>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row>
    <row r="451" spans="1:66" ht="13.5" customHeight="1" x14ac:dyDescent="0.25">
      <c r="A451" s="2"/>
      <c r="B451" s="2"/>
      <c r="C451" s="466"/>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row>
    <row r="452" spans="1:66" ht="13.5" customHeight="1" x14ac:dyDescent="0.25">
      <c r="A452" s="2"/>
      <c r="B452" s="2"/>
      <c r="C452" s="466"/>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row>
    <row r="453" spans="1:66" ht="13.5" customHeight="1" x14ac:dyDescent="0.25">
      <c r="A453" s="2"/>
      <c r="B453" s="2"/>
      <c r="C453" s="466"/>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row>
    <row r="454" spans="1:66" ht="13.5" customHeight="1" x14ac:dyDescent="0.25">
      <c r="A454" s="2"/>
      <c r="B454" s="2"/>
      <c r="C454" s="466"/>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row>
    <row r="455" spans="1:66" ht="13.5" customHeight="1" x14ac:dyDescent="0.25">
      <c r="A455" s="2"/>
      <c r="B455" s="2"/>
      <c r="C455" s="466"/>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row>
    <row r="456" spans="1:66" ht="13.5" customHeight="1" x14ac:dyDescent="0.25">
      <c r="A456" s="2"/>
      <c r="B456" s="2"/>
      <c r="C456" s="466"/>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row>
    <row r="457" spans="1:66" ht="13.5" customHeight="1" x14ac:dyDescent="0.25">
      <c r="A457" s="2"/>
      <c r="B457" s="2"/>
      <c r="C457" s="466"/>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row>
    <row r="458" spans="1:66" ht="13.5" customHeight="1" x14ac:dyDescent="0.25">
      <c r="A458" s="2"/>
      <c r="B458" s="2"/>
      <c r="C458" s="466"/>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row>
    <row r="459" spans="1:66" ht="13.5" customHeight="1" x14ac:dyDescent="0.25">
      <c r="A459" s="2"/>
      <c r="B459" s="2"/>
      <c r="C459" s="466"/>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row>
    <row r="460" spans="1:66" ht="13.5" customHeight="1" x14ac:dyDescent="0.25">
      <c r="A460" s="2"/>
      <c r="B460" s="2"/>
      <c r="C460" s="466"/>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row>
    <row r="461" spans="1:66" ht="13.5" customHeight="1" x14ac:dyDescent="0.25">
      <c r="A461" s="2"/>
      <c r="B461" s="2"/>
      <c r="C461" s="466"/>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row>
    <row r="462" spans="1:66" ht="13.5" customHeight="1" x14ac:dyDescent="0.25">
      <c r="A462" s="2"/>
      <c r="B462" s="2"/>
      <c r="C462" s="466"/>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row>
    <row r="463" spans="1:66" ht="13.5" customHeight="1" x14ac:dyDescent="0.25">
      <c r="A463" s="2"/>
      <c r="B463" s="2"/>
      <c r="C463" s="466"/>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row>
    <row r="464" spans="1:66" ht="13.5" customHeight="1" x14ac:dyDescent="0.25">
      <c r="A464" s="2"/>
      <c r="B464" s="2"/>
      <c r="C464" s="466"/>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row>
    <row r="465" spans="1:66" ht="13.5" customHeight="1" x14ac:dyDescent="0.25">
      <c r="A465" s="2"/>
      <c r="B465" s="2"/>
      <c r="C465" s="466"/>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row>
    <row r="466" spans="1:66" ht="13.5" customHeight="1" x14ac:dyDescent="0.25">
      <c r="A466" s="2"/>
      <c r="B466" s="2"/>
      <c r="C466" s="466"/>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row>
    <row r="467" spans="1:66" ht="13.5" customHeight="1" x14ac:dyDescent="0.25">
      <c r="A467" s="2"/>
      <c r="B467" s="2"/>
      <c r="C467" s="466"/>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row>
    <row r="468" spans="1:66" ht="13.5" customHeight="1" x14ac:dyDescent="0.25">
      <c r="A468" s="2"/>
      <c r="B468" s="2"/>
      <c r="C468" s="466"/>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row>
    <row r="469" spans="1:66" ht="13.5" customHeight="1" x14ac:dyDescent="0.25">
      <c r="A469" s="2"/>
      <c r="B469" s="2"/>
      <c r="C469" s="466"/>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row>
    <row r="470" spans="1:66" ht="13.5" customHeight="1" x14ac:dyDescent="0.25">
      <c r="A470" s="2"/>
      <c r="B470" s="2"/>
      <c r="C470" s="466"/>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row>
    <row r="471" spans="1:66" ht="13.5" customHeight="1" x14ac:dyDescent="0.25">
      <c r="A471" s="2"/>
      <c r="B471" s="2"/>
      <c r="C471" s="466"/>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row>
    <row r="472" spans="1:66" ht="13.5" customHeight="1" x14ac:dyDescent="0.25">
      <c r="A472" s="2"/>
      <c r="B472" s="2"/>
      <c r="C472" s="466"/>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row>
    <row r="473" spans="1:66" ht="13.5" customHeight="1" x14ac:dyDescent="0.25">
      <c r="A473" s="2"/>
      <c r="B473" s="2"/>
      <c r="C473" s="466"/>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row>
    <row r="474" spans="1:66" ht="13.5" customHeight="1" x14ac:dyDescent="0.25">
      <c r="A474" s="2"/>
      <c r="B474" s="2"/>
      <c r="C474" s="466"/>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row>
    <row r="475" spans="1:66" ht="13.5" customHeight="1" x14ac:dyDescent="0.25">
      <c r="A475" s="2"/>
      <c r="B475" s="2"/>
      <c r="C475" s="466"/>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row>
    <row r="476" spans="1:66" ht="13.5" customHeight="1" x14ac:dyDescent="0.25">
      <c r="A476" s="2"/>
      <c r="B476" s="2"/>
      <c r="C476" s="466"/>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row>
    <row r="477" spans="1:66" ht="13.5" customHeight="1" x14ac:dyDescent="0.25">
      <c r="A477" s="2"/>
      <c r="B477" s="2"/>
      <c r="C477" s="466"/>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row>
    <row r="478" spans="1:66" ht="13.5" customHeight="1" x14ac:dyDescent="0.25">
      <c r="A478" s="2"/>
      <c r="B478" s="2"/>
      <c r="C478" s="466"/>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row>
    <row r="479" spans="1:66" ht="13.5" customHeight="1" x14ac:dyDescent="0.25">
      <c r="A479" s="2"/>
      <c r="B479" s="2"/>
      <c r="C479" s="466"/>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row>
    <row r="480" spans="1:66" ht="13.5" customHeight="1" x14ac:dyDescent="0.25">
      <c r="A480" s="2"/>
      <c r="B480" s="2"/>
      <c r="C480" s="466"/>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row>
    <row r="481" spans="1:66" ht="13.5" customHeight="1" x14ac:dyDescent="0.25">
      <c r="A481" s="2"/>
      <c r="B481" s="2"/>
      <c r="C481" s="466"/>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row>
    <row r="482" spans="1:66" ht="13.5" customHeight="1" x14ac:dyDescent="0.25">
      <c r="A482" s="2"/>
      <c r="B482" s="2"/>
      <c r="C482" s="466"/>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row>
    <row r="483" spans="1:66" ht="13.5" customHeight="1" x14ac:dyDescent="0.25">
      <c r="A483" s="2"/>
      <c r="B483" s="2"/>
      <c r="C483" s="466"/>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row>
    <row r="484" spans="1:66" ht="13.5" customHeight="1" x14ac:dyDescent="0.25">
      <c r="A484" s="2"/>
      <c r="B484" s="2"/>
      <c r="C484" s="466"/>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row>
    <row r="485" spans="1:66" ht="13.5" customHeight="1" x14ac:dyDescent="0.25">
      <c r="A485" s="2"/>
      <c r="B485" s="2"/>
      <c r="C485" s="466"/>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row>
    <row r="486" spans="1:66" ht="13.5" customHeight="1" x14ac:dyDescent="0.25">
      <c r="A486" s="2"/>
      <c r="B486" s="2"/>
      <c r="C486" s="466"/>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row>
    <row r="487" spans="1:66" ht="13.5" customHeight="1" x14ac:dyDescent="0.25">
      <c r="A487" s="2"/>
      <c r="B487" s="2"/>
      <c r="C487" s="466"/>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row>
    <row r="488" spans="1:66" ht="13.5" customHeight="1" x14ac:dyDescent="0.25">
      <c r="A488" s="2"/>
      <c r="B488" s="2"/>
      <c r="C488" s="466"/>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row>
    <row r="489" spans="1:66" ht="13.5" customHeight="1" x14ac:dyDescent="0.25">
      <c r="A489" s="2"/>
      <c r="B489" s="2"/>
      <c r="C489" s="466"/>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row>
    <row r="490" spans="1:66" ht="13.5" customHeight="1" x14ac:dyDescent="0.25">
      <c r="A490" s="2"/>
      <c r="B490" s="2"/>
      <c r="C490" s="466"/>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row>
    <row r="491" spans="1:66" ht="13.5" customHeight="1" x14ac:dyDescent="0.25">
      <c r="A491" s="2"/>
      <c r="B491" s="2"/>
      <c r="C491" s="466"/>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row>
    <row r="492" spans="1:66" ht="13.5" customHeight="1" x14ac:dyDescent="0.25">
      <c r="A492" s="2"/>
      <c r="B492" s="2"/>
      <c r="C492" s="466"/>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row>
    <row r="493" spans="1:66" ht="13.5" customHeight="1" x14ac:dyDescent="0.25">
      <c r="A493" s="2"/>
      <c r="B493" s="2"/>
      <c r="C493" s="466"/>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row>
    <row r="494" spans="1:66" ht="13.5" customHeight="1" x14ac:dyDescent="0.25">
      <c r="A494" s="2"/>
      <c r="B494" s="2"/>
      <c r="C494" s="466"/>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row>
    <row r="495" spans="1:66" ht="13.5" customHeight="1" x14ac:dyDescent="0.25">
      <c r="A495" s="2"/>
      <c r="B495" s="2"/>
      <c r="C495" s="466"/>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row>
    <row r="496" spans="1:66" ht="13.5" customHeight="1" x14ac:dyDescent="0.25">
      <c r="A496" s="2"/>
      <c r="B496" s="2"/>
      <c r="C496" s="466"/>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row>
    <row r="497" spans="1:66" ht="13.5" customHeight="1" x14ac:dyDescent="0.25">
      <c r="A497" s="2"/>
      <c r="B497" s="2"/>
      <c r="C497" s="466"/>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row>
    <row r="498" spans="1:66" ht="13.5" customHeight="1" x14ac:dyDescent="0.25">
      <c r="A498" s="2"/>
      <c r="B498" s="2"/>
      <c r="C498" s="466"/>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row>
    <row r="499" spans="1:66" ht="13.5" customHeight="1" x14ac:dyDescent="0.25">
      <c r="A499" s="2"/>
      <c r="B499" s="2"/>
      <c r="C499" s="466"/>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row>
    <row r="500" spans="1:66" ht="13.5" customHeight="1" x14ac:dyDescent="0.25">
      <c r="A500" s="2"/>
      <c r="B500" s="2"/>
      <c r="C500" s="466"/>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row>
    <row r="501" spans="1:66" ht="13.5" customHeight="1" x14ac:dyDescent="0.25">
      <c r="A501" s="2"/>
      <c r="B501" s="2"/>
      <c r="C501" s="466"/>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row>
    <row r="502" spans="1:66" ht="13.5" customHeight="1" x14ac:dyDescent="0.25">
      <c r="A502" s="2"/>
      <c r="B502" s="2"/>
      <c r="C502" s="466"/>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row>
    <row r="503" spans="1:66" ht="13.5" customHeight="1" x14ac:dyDescent="0.25">
      <c r="A503" s="2"/>
      <c r="B503" s="2"/>
      <c r="C503" s="466"/>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row>
    <row r="504" spans="1:66" ht="13.5" customHeight="1" x14ac:dyDescent="0.25">
      <c r="A504" s="2"/>
      <c r="B504" s="2"/>
      <c r="C504" s="466"/>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row>
    <row r="505" spans="1:66" ht="13.5" customHeight="1" x14ac:dyDescent="0.25">
      <c r="A505" s="2"/>
      <c r="B505" s="2"/>
      <c r="C505" s="466"/>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row>
    <row r="506" spans="1:66" ht="13.5" customHeight="1" x14ac:dyDescent="0.25">
      <c r="A506" s="2"/>
      <c r="B506" s="2"/>
      <c r="C506" s="466"/>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row>
    <row r="507" spans="1:66" ht="13.5" customHeight="1" x14ac:dyDescent="0.25">
      <c r="A507" s="2"/>
      <c r="B507" s="2"/>
      <c r="C507" s="466"/>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row>
    <row r="508" spans="1:66" ht="13.5" customHeight="1" x14ac:dyDescent="0.25">
      <c r="A508" s="2"/>
      <c r="B508" s="2"/>
      <c r="C508" s="466"/>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row>
    <row r="509" spans="1:66" ht="13.5" customHeight="1" x14ac:dyDescent="0.25">
      <c r="A509" s="2"/>
      <c r="B509" s="2"/>
      <c r="C509" s="466"/>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row>
    <row r="510" spans="1:66" ht="13.5" customHeight="1" x14ac:dyDescent="0.25">
      <c r="A510" s="2"/>
      <c r="B510" s="2"/>
      <c r="C510" s="466"/>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row>
    <row r="511" spans="1:66" ht="13.5" customHeight="1" x14ac:dyDescent="0.25">
      <c r="A511" s="2"/>
      <c r="B511" s="2"/>
      <c r="C511" s="466"/>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row>
    <row r="512" spans="1:66" ht="13.5" customHeight="1" x14ac:dyDescent="0.25">
      <c r="A512" s="2"/>
      <c r="B512" s="2"/>
      <c r="C512" s="466"/>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row>
    <row r="513" spans="1:66" ht="13.5" customHeight="1" x14ac:dyDescent="0.25">
      <c r="A513" s="2"/>
      <c r="B513" s="2"/>
      <c r="C513" s="466"/>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row>
    <row r="514" spans="1:66" ht="13.5" customHeight="1" x14ac:dyDescent="0.25">
      <c r="A514" s="2"/>
      <c r="B514" s="2"/>
      <c r="C514" s="466"/>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row>
    <row r="515" spans="1:66" ht="13.5" customHeight="1" x14ac:dyDescent="0.25">
      <c r="A515" s="2"/>
      <c r="B515" s="2"/>
      <c r="C515" s="466"/>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row>
    <row r="516" spans="1:66" ht="13.5" customHeight="1" x14ac:dyDescent="0.25">
      <c r="A516" s="2"/>
      <c r="B516" s="2"/>
      <c r="C516" s="466"/>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row>
    <row r="517" spans="1:66" ht="13.5" customHeight="1" x14ac:dyDescent="0.25">
      <c r="A517" s="2"/>
      <c r="B517" s="2"/>
      <c r="C517" s="466"/>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row>
    <row r="518" spans="1:66" ht="13.5" customHeight="1" x14ac:dyDescent="0.25">
      <c r="A518" s="2"/>
      <c r="B518" s="2"/>
      <c r="C518" s="466"/>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row>
    <row r="519" spans="1:66" ht="13.5" customHeight="1" x14ac:dyDescent="0.25">
      <c r="A519" s="2"/>
      <c r="B519" s="2"/>
      <c r="C519" s="466"/>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row>
    <row r="520" spans="1:66" ht="13.5" customHeight="1" x14ac:dyDescent="0.25">
      <c r="A520" s="2"/>
      <c r="B520" s="2"/>
      <c r="C520" s="466"/>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row>
    <row r="521" spans="1:66" ht="13.5" customHeight="1" x14ac:dyDescent="0.25">
      <c r="A521" s="2"/>
      <c r="B521" s="2"/>
      <c r="C521" s="466"/>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row>
    <row r="522" spans="1:66" ht="13.5" customHeight="1" x14ac:dyDescent="0.25">
      <c r="A522" s="2"/>
      <c r="B522" s="2"/>
      <c r="C522" s="466"/>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row>
    <row r="523" spans="1:66" ht="13.5" customHeight="1" x14ac:dyDescent="0.25">
      <c r="A523" s="2"/>
      <c r="B523" s="2"/>
      <c r="C523" s="466"/>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row>
    <row r="524" spans="1:66" ht="13.5" customHeight="1" x14ac:dyDescent="0.25">
      <c r="A524" s="2"/>
      <c r="B524" s="2"/>
      <c r="C524" s="466"/>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row>
    <row r="525" spans="1:66" ht="13.5" customHeight="1" x14ac:dyDescent="0.25">
      <c r="A525" s="2"/>
      <c r="B525" s="2"/>
      <c r="C525" s="466"/>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row>
    <row r="526" spans="1:66" ht="13.5" customHeight="1" x14ac:dyDescent="0.25">
      <c r="A526" s="2"/>
      <c r="B526" s="2"/>
      <c r="C526" s="466"/>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row>
    <row r="527" spans="1:66" ht="13.5" customHeight="1" x14ac:dyDescent="0.25">
      <c r="A527" s="2"/>
      <c r="B527" s="2"/>
      <c r="C527" s="466"/>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row>
    <row r="528" spans="1:66" ht="13.5" customHeight="1" x14ac:dyDescent="0.25">
      <c r="A528" s="2"/>
      <c r="B528" s="2"/>
      <c r="C528" s="466"/>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row>
    <row r="529" spans="1:66" ht="13.5" customHeight="1" x14ac:dyDescent="0.25">
      <c r="A529" s="2"/>
      <c r="B529" s="2"/>
      <c r="C529" s="466"/>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row>
    <row r="530" spans="1:66" ht="13.5" customHeight="1" x14ac:dyDescent="0.25">
      <c r="A530" s="2"/>
      <c r="B530" s="2"/>
      <c r="C530" s="466"/>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row>
    <row r="531" spans="1:66" ht="13.5" customHeight="1" x14ac:dyDescent="0.25">
      <c r="A531" s="2"/>
      <c r="B531" s="2"/>
      <c r="C531" s="466"/>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row>
    <row r="532" spans="1:66" ht="13.5" customHeight="1" x14ac:dyDescent="0.25">
      <c r="A532" s="2"/>
      <c r="B532" s="2"/>
      <c r="C532" s="466"/>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row>
    <row r="533" spans="1:66" ht="13.5" customHeight="1" x14ac:dyDescent="0.25">
      <c r="A533" s="2"/>
      <c r="B533" s="2"/>
      <c r="C533" s="466"/>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row>
    <row r="534" spans="1:66" ht="13.5" customHeight="1" x14ac:dyDescent="0.25">
      <c r="A534" s="2"/>
      <c r="B534" s="2"/>
      <c r="C534" s="466"/>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row>
    <row r="535" spans="1:66" ht="13.5" customHeight="1" x14ac:dyDescent="0.25">
      <c r="A535" s="2"/>
      <c r="B535" s="2"/>
      <c r="C535" s="466"/>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row>
    <row r="536" spans="1:66" ht="13.5" customHeight="1" x14ac:dyDescent="0.25">
      <c r="A536" s="2"/>
      <c r="B536" s="2"/>
      <c r="C536" s="466"/>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row>
    <row r="537" spans="1:66" ht="13.5" customHeight="1" x14ac:dyDescent="0.25">
      <c r="A537" s="2"/>
      <c r="B537" s="2"/>
      <c r="C537" s="466"/>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row>
    <row r="538" spans="1:66" ht="13.5" customHeight="1" x14ac:dyDescent="0.25">
      <c r="A538" s="2"/>
      <c r="B538" s="2"/>
      <c r="C538" s="466"/>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row>
    <row r="539" spans="1:66" ht="13.5" customHeight="1" x14ac:dyDescent="0.25">
      <c r="A539" s="2"/>
      <c r="B539" s="2"/>
      <c r="C539" s="466"/>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row>
    <row r="540" spans="1:66" ht="13.5" customHeight="1" x14ac:dyDescent="0.25">
      <c r="A540" s="2"/>
      <c r="B540" s="2"/>
      <c r="C540" s="466"/>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row>
    <row r="541" spans="1:66" ht="13.5" customHeight="1" x14ac:dyDescent="0.25">
      <c r="A541" s="2"/>
      <c r="B541" s="2"/>
      <c r="C541" s="466"/>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row>
    <row r="542" spans="1:66" ht="13.5" customHeight="1" x14ac:dyDescent="0.25">
      <c r="A542" s="2"/>
      <c r="B542" s="2"/>
      <c r="C542" s="466"/>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row>
    <row r="543" spans="1:66" ht="13.5" customHeight="1" x14ac:dyDescent="0.25">
      <c r="A543" s="2"/>
      <c r="B543" s="2"/>
      <c r="C543" s="466"/>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row>
    <row r="544" spans="1:66" ht="13.5" customHeight="1" x14ac:dyDescent="0.25">
      <c r="A544" s="2"/>
      <c r="B544" s="2"/>
      <c r="C544" s="466"/>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row>
    <row r="545" spans="1:66" ht="13.5" customHeight="1" x14ac:dyDescent="0.25">
      <c r="A545" s="2"/>
      <c r="B545" s="2"/>
      <c r="C545" s="466"/>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row>
    <row r="546" spans="1:66" ht="13.5" customHeight="1" x14ac:dyDescent="0.25">
      <c r="A546" s="2"/>
      <c r="B546" s="2"/>
      <c r="C546" s="466"/>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row>
    <row r="547" spans="1:66" ht="13.5" customHeight="1" x14ac:dyDescent="0.25">
      <c r="A547" s="2"/>
      <c r="B547" s="2"/>
      <c r="C547" s="466"/>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row>
    <row r="548" spans="1:66" ht="13.5" customHeight="1" x14ac:dyDescent="0.25">
      <c r="A548" s="2"/>
      <c r="B548" s="2"/>
      <c r="C548" s="466"/>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row>
    <row r="549" spans="1:66" ht="13.5" customHeight="1" x14ac:dyDescent="0.25">
      <c r="A549" s="2"/>
      <c r="B549" s="2"/>
      <c r="C549" s="466"/>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row>
    <row r="550" spans="1:66" ht="13.5" customHeight="1" x14ac:dyDescent="0.25">
      <c r="A550" s="2"/>
      <c r="B550" s="2"/>
      <c r="C550" s="466"/>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row>
    <row r="551" spans="1:66" ht="13.5" customHeight="1" x14ac:dyDescent="0.25">
      <c r="A551" s="2"/>
      <c r="B551" s="2"/>
      <c r="C551" s="466"/>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row>
    <row r="552" spans="1:66" ht="13.5" customHeight="1" x14ac:dyDescent="0.25">
      <c r="A552" s="2"/>
      <c r="B552" s="2"/>
      <c r="C552" s="466"/>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row>
    <row r="553" spans="1:66" ht="13.5" customHeight="1" x14ac:dyDescent="0.25">
      <c r="A553" s="2"/>
      <c r="B553" s="2"/>
      <c r="C553" s="466"/>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row>
    <row r="554" spans="1:66" ht="13.5" customHeight="1" x14ac:dyDescent="0.25">
      <c r="A554" s="2"/>
      <c r="B554" s="2"/>
      <c r="C554" s="466"/>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row>
    <row r="555" spans="1:66" ht="13.5" customHeight="1" x14ac:dyDescent="0.25">
      <c r="A555" s="2"/>
      <c r="B555" s="2"/>
      <c r="C555" s="466"/>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row>
    <row r="556" spans="1:66" ht="13.5" customHeight="1" x14ac:dyDescent="0.25">
      <c r="A556" s="2"/>
      <c r="B556" s="2"/>
      <c r="C556" s="466"/>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row>
    <row r="557" spans="1:66" ht="13.5" customHeight="1" x14ac:dyDescent="0.25">
      <c r="A557" s="2"/>
      <c r="B557" s="2"/>
      <c r="C557" s="466"/>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row>
    <row r="558" spans="1:66" ht="13.5" customHeight="1" x14ac:dyDescent="0.25">
      <c r="A558" s="2"/>
      <c r="B558" s="2"/>
      <c r="C558" s="466"/>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row>
    <row r="559" spans="1:66" ht="13.5" customHeight="1" x14ac:dyDescent="0.25">
      <c r="A559" s="2"/>
      <c r="B559" s="2"/>
      <c r="C559" s="466"/>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row>
    <row r="560" spans="1:66" ht="13.5" customHeight="1" x14ac:dyDescent="0.25">
      <c r="A560" s="2"/>
      <c r="B560" s="2"/>
      <c r="C560" s="466"/>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row>
    <row r="561" spans="1:66" ht="13.5" customHeight="1" x14ac:dyDescent="0.25">
      <c r="A561" s="2"/>
      <c r="B561" s="2"/>
      <c r="C561" s="466"/>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row>
    <row r="562" spans="1:66" ht="13.5" customHeight="1" x14ac:dyDescent="0.25">
      <c r="A562" s="2"/>
      <c r="B562" s="2"/>
      <c r="C562" s="466"/>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row>
    <row r="563" spans="1:66" ht="13.5" customHeight="1" x14ac:dyDescent="0.25">
      <c r="A563" s="2"/>
      <c r="B563" s="2"/>
      <c r="C563" s="466"/>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row>
    <row r="564" spans="1:66" ht="13.5" customHeight="1" x14ac:dyDescent="0.25">
      <c r="A564" s="2"/>
      <c r="B564" s="2"/>
      <c r="C564" s="466"/>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row>
    <row r="565" spans="1:66" ht="13.5" customHeight="1" x14ac:dyDescent="0.25">
      <c r="A565" s="2"/>
      <c r="B565" s="2"/>
      <c r="C565" s="466"/>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row>
    <row r="566" spans="1:66" ht="13.5" customHeight="1" x14ac:dyDescent="0.25">
      <c r="A566" s="2"/>
      <c r="B566" s="2"/>
      <c r="C566" s="466"/>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row>
    <row r="567" spans="1:66" ht="13.5" customHeight="1" x14ac:dyDescent="0.25">
      <c r="A567" s="2"/>
      <c r="B567" s="2"/>
      <c r="C567" s="466"/>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row>
    <row r="568" spans="1:66" ht="13.5" customHeight="1" x14ac:dyDescent="0.25">
      <c r="A568" s="2"/>
      <c r="B568" s="2"/>
      <c r="C568" s="466"/>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row>
    <row r="569" spans="1:66" ht="13.5" customHeight="1" x14ac:dyDescent="0.25">
      <c r="A569" s="2"/>
      <c r="B569" s="2"/>
      <c r="C569" s="466"/>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row>
    <row r="570" spans="1:66" ht="13.5" customHeight="1" x14ac:dyDescent="0.25">
      <c r="A570" s="2"/>
      <c r="B570" s="2"/>
      <c r="C570" s="466"/>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row>
    <row r="571" spans="1:66" ht="13.5" customHeight="1" x14ac:dyDescent="0.25">
      <c r="A571" s="2"/>
      <c r="B571" s="2"/>
      <c r="C571" s="466"/>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row>
    <row r="572" spans="1:66" ht="13.5" customHeight="1" x14ac:dyDescent="0.25">
      <c r="A572" s="2"/>
      <c r="B572" s="2"/>
      <c r="C572" s="466"/>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row>
    <row r="573" spans="1:66" ht="13.5" customHeight="1" x14ac:dyDescent="0.25">
      <c r="A573" s="2"/>
      <c r="B573" s="2"/>
      <c r="C573" s="466"/>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row>
    <row r="574" spans="1:66" ht="13.5" customHeight="1" x14ac:dyDescent="0.25">
      <c r="A574" s="2"/>
      <c r="B574" s="2"/>
      <c r="C574" s="466"/>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row>
    <row r="575" spans="1:66" ht="13.5" customHeight="1" x14ac:dyDescent="0.25">
      <c r="A575" s="2"/>
      <c r="B575" s="2"/>
      <c r="C575" s="466"/>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row>
    <row r="576" spans="1:66" ht="13.5" customHeight="1" x14ac:dyDescent="0.25">
      <c r="A576" s="2"/>
      <c r="B576" s="2"/>
      <c r="C576" s="466"/>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row>
    <row r="577" spans="1:66" ht="13.5" customHeight="1" x14ac:dyDescent="0.25">
      <c r="A577" s="2"/>
      <c r="B577" s="2"/>
      <c r="C577" s="466"/>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row>
    <row r="578" spans="1:66" ht="13.5" customHeight="1" x14ac:dyDescent="0.25">
      <c r="A578" s="2"/>
      <c r="B578" s="2"/>
      <c r="C578" s="466"/>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row>
    <row r="579" spans="1:66" ht="13.5" customHeight="1" x14ac:dyDescent="0.25">
      <c r="A579" s="2"/>
      <c r="B579" s="2"/>
      <c r="C579" s="466"/>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row>
    <row r="580" spans="1:66" ht="13.5" customHeight="1" x14ac:dyDescent="0.25">
      <c r="A580" s="2"/>
      <c r="B580" s="2"/>
      <c r="C580" s="466"/>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row>
    <row r="581" spans="1:66" ht="13.5" customHeight="1" x14ac:dyDescent="0.25">
      <c r="A581" s="2"/>
      <c r="B581" s="2"/>
      <c r="C581" s="466"/>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row>
    <row r="582" spans="1:66" ht="13.5" customHeight="1" x14ac:dyDescent="0.25">
      <c r="A582" s="2"/>
      <c r="B582" s="2"/>
      <c r="C582" s="466"/>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row>
    <row r="583" spans="1:66" ht="13.5" customHeight="1" x14ac:dyDescent="0.25">
      <c r="A583" s="2"/>
      <c r="B583" s="2"/>
      <c r="C583" s="466"/>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row>
    <row r="584" spans="1:66" ht="13.5" customHeight="1" x14ac:dyDescent="0.25">
      <c r="A584" s="2"/>
      <c r="B584" s="2"/>
      <c r="C584" s="466"/>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row>
    <row r="585" spans="1:66" ht="13.5" customHeight="1" x14ac:dyDescent="0.25">
      <c r="A585" s="2"/>
      <c r="B585" s="2"/>
      <c r="C585" s="466"/>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row>
    <row r="586" spans="1:66" ht="13.5" customHeight="1" x14ac:dyDescent="0.25">
      <c r="A586" s="2"/>
      <c r="B586" s="2"/>
      <c r="C586" s="466"/>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row>
    <row r="587" spans="1:66" ht="13.5" customHeight="1" x14ac:dyDescent="0.25">
      <c r="A587" s="2"/>
      <c r="B587" s="2"/>
      <c r="C587" s="466"/>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row>
    <row r="588" spans="1:66" ht="13.5" customHeight="1" x14ac:dyDescent="0.25">
      <c r="A588" s="2"/>
      <c r="B588" s="2"/>
      <c r="C588" s="466"/>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row>
    <row r="589" spans="1:66" ht="13.5" customHeight="1" x14ac:dyDescent="0.25">
      <c r="A589" s="2"/>
      <c r="B589" s="2"/>
      <c r="C589" s="466"/>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row>
    <row r="590" spans="1:66" ht="13.5" customHeight="1" x14ac:dyDescent="0.25">
      <c r="A590" s="2"/>
      <c r="B590" s="2"/>
      <c r="C590" s="466"/>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row>
    <row r="591" spans="1:66" ht="13.5" customHeight="1" x14ac:dyDescent="0.25">
      <c r="A591" s="2"/>
      <c r="B591" s="2"/>
      <c r="C591" s="466"/>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row>
    <row r="592" spans="1:66" ht="13.5" customHeight="1" x14ac:dyDescent="0.25">
      <c r="A592" s="2"/>
      <c r="B592" s="2"/>
      <c r="C592" s="466"/>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row>
    <row r="593" spans="1:66" ht="13.5" customHeight="1" x14ac:dyDescent="0.25">
      <c r="A593" s="2"/>
      <c r="B593" s="2"/>
      <c r="C593" s="466"/>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row>
    <row r="594" spans="1:66" ht="13.5" customHeight="1" x14ac:dyDescent="0.25">
      <c r="A594" s="2"/>
      <c r="B594" s="2"/>
      <c r="C594" s="466"/>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row>
    <row r="595" spans="1:66" ht="13.5" customHeight="1" x14ac:dyDescent="0.25">
      <c r="A595" s="2"/>
      <c r="B595" s="2"/>
      <c r="C595" s="466"/>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row>
    <row r="596" spans="1:66" ht="13.5" customHeight="1" x14ac:dyDescent="0.25">
      <c r="A596" s="2"/>
      <c r="B596" s="2"/>
      <c r="C596" s="466"/>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row>
    <row r="597" spans="1:66" ht="13.5" customHeight="1" x14ac:dyDescent="0.25">
      <c r="A597" s="2"/>
      <c r="B597" s="2"/>
      <c r="C597" s="466"/>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row>
    <row r="598" spans="1:66" ht="13.5" customHeight="1" x14ac:dyDescent="0.25">
      <c r="A598" s="2"/>
      <c r="B598" s="2"/>
      <c r="C598" s="466"/>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row>
    <row r="599" spans="1:66" ht="13.5" customHeight="1" x14ac:dyDescent="0.25">
      <c r="A599" s="2"/>
      <c r="B599" s="2"/>
      <c r="C599" s="466"/>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row>
    <row r="600" spans="1:66" ht="13.5" customHeight="1" x14ac:dyDescent="0.25">
      <c r="A600" s="2"/>
      <c r="B600" s="2"/>
      <c r="C600" s="466"/>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row>
    <row r="601" spans="1:66" ht="13.5" customHeight="1" x14ac:dyDescent="0.25">
      <c r="A601" s="2"/>
      <c r="B601" s="2"/>
      <c r="C601" s="466"/>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row>
    <row r="602" spans="1:66" ht="13.5" customHeight="1" x14ac:dyDescent="0.25">
      <c r="A602" s="2"/>
      <c r="B602" s="2"/>
      <c r="C602" s="466"/>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row>
    <row r="603" spans="1:66" ht="13.5" customHeight="1" x14ac:dyDescent="0.25">
      <c r="A603" s="2"/>
      <c r="B603" s="2"/>
      <c r="C603" s="466"/>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row>
    <row r="604" spans="1:66" ht="13.5" customHeight="1" x14ac:dyDescent="0.25">
      <c r="A604" s="2"/>
      <c r="B604" s="2"/>
      <c r="C604" s="466"/>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row>
    <row r="605" spans="1:66" ht="13.5" customHeight="1" x14ac:dyDescent="0.25">
      <c r="A605" s="2"/>
      <c r="B605" s="2"/>
      <c r="C605" s="466"/>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row>
    <row r="606" spans="1:66" ht="13.5" customHeight="1" x14ac:dyDescent="0.25">
      <c r="A606" s="2"/>
      <c r="B606" s="2"/>
      <c r="C606" s="466"/>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row>
    <row r="607" spans="1:66" ht="13.5" customHeight="1" x14ac:dyDescent="0.25">
      <c r="A607" s="2"/>
      <c r="B607" s="2"/>
      <c r="C607" s="466"/>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row>
    <row r="608" spans="1:66" ht="13.5" customHeight="1" x14ac:dyDescent="0.25">
      <c r="A608" s="2"/>
      <c r="B608" s="2"/>
      <c r="C608" s="466"/>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row>
    <row r="609" spans="1:66" ht="13.5" customHeight="1" x14ac:dyDescent="0.25">
      <c r="A609" s="2"/>
      <c r="B609" s="2"/>
      <c r="C609" s="466"/>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row>
    <row r="610" spans="1:66" ht="13.5" customHeight="1" x14ac:dyDescent="0.25">
      <c r="A610" s="2"/>
      <c r="B610" s="2"/>
      <c r="C610" s="466"/>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row>
    <row r="611" spans="1:66" ht="13.5" customHeight="1" x14ac:dyDescent="0.25">
      <c r="A611" s="2"/>
      <c r="B611" s="2"/>
      <c r="C611" s="466"/>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row>
    <row r="612" spans="1:66" ht="13.5" customHeight="1" x14ac:dyDescent="0.25">
      <c r="A612" s="2"/>
      <c r="B612" s="2"/>
      <c r="C612" s="466"/>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row>
    <row r="613" spans="1:66" ht="13.5" customHeight="1" x14ac:dyDescent="0.25">
      <c r="A613" s="2"/>
      <c r="B613" s="2"/>
      <c r="C613" s="466"/>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row>
    <row r="614" spans="1:66" ht="13.5" customHeight="1" x14ac:dyDescent="0.25">
      <c r="A614" s="2"/>
      <c r="B614" s="2"/>
      <c r="C614" s="466"/>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row>
    <row r="615" spans="1:66" ht="13.5" customHeight="1" x14ac:dyDescent="0.25">
      <c r="A615" s="2"/>
      <c r="B615" s="2"/>
      <c r="C615" s="466"/>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row>
    <row r="616" spans="1:66" ht="13.5" customHeight="1" x14ac:dyDescent="0.25">
      <c r="A616" s="2"/>
      <c r="B616" s="2"/>
      <c r="C616" s="466"/>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row>
    <row r="617" spans="1:66" ht="13.5" customHeight="1" x14ac:dyDescent="0.25">
      <c r="A617" s="2"/>
      <c r="B617" s="2"/>
      <c r="C617" s="466"/>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row>
    <row r="618" spans="1:66" ht="13.5" customHeight="1" x14ac:dyDescent="0.25">
      <c r="A618" s="2"/>
      <c r="B618" s="2"/>
      <c r="C618" s="466"/>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row>
    <row r="619" spans="1:66" ht="13.5" customHeight="1" x14ac:dyDescent="0.25">
      <c r="A619" s="2"/>
      <c r="B619" s="2"/>
      <c r="C619" s="466"/>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row>
    <row r="620" spans="1:66" ht="13.5" customHeight="1" x14ac:dyDescent="0.25">
      <c r="A620" s="2"/>
      <c r="B620" s="2"/>
      <c r="C620" s="466"/>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row>
    <row r="621" spans="1:66" ht="13.5" customHeight="1" x14ac:dyDescent="0.25">
      <c r="A621" s="2"/>
      <c r="B621" s="2"/>
      <c r="C621" s="466"/>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row>
    <row r="622" spans="1:66" ht="13.5" customHeight="1" x14ac:dyDescent="0.25">
      <c r="A622" s="2"/>
      <c r="B622" s="2"/>
      <c r="C622" s="466"/>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row>
    <row r="623" spans="1:66" ht="13.5" customHeight="1" x14ac:dyDescent="0.25">
      <c r="A623" s="2"/>
      <c r="B623" s="2"/>
      <c r="C623" s="466"/>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row>
    <row r="624" spans="1:66" ht="13.5" customHeight="1" x14ac:dyDescent="0.25">
      <c r="A624" s="2"/>
      <c r="B624" s="2"/>
      <c r="C624" s="466"/>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row>
    <row r="625" spans="1:66" ht="13.5" customHeight="1" x14ac:dyDescent="0.25">
      <c r="A625" s="2"/>
      <c r="B625" s="2"/>
      <c r="C625" s="466"/>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row>
    <row r="626" spans="1:66" ht="13.5" customHeight="1" x14ac:dyDescent="0.25">
      <c r="A626" s="2"/>
      <c r="B626" s="2"/>
      <c r="C626" s="466"/>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row>
    <row r="627" spans="1:66" ht="13.5" customHeight="1" x14ac:dyDescent="0.25">
      <c r="A627" s="2"/>
      <c r="B627" s="2"/>
      <c r="C627" s="466"/>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row>
    <row r="628" spans="1:66" ht="13.5" customHeight="1" x14ac:dyDescent="0.25">
      <c r="A628" s="2"/>
      <c r="B628" s="2"/>
      <c r="C628" s="466"/>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row>
    <row r="629" spans="1:66" ht="13.5" customHeight="1" x14ac:dyDescent="0.25">
      <c r="A629" s="2"/>
      <c r="B629" s="2"/>
      <c r="C629" s="466"/>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row>
    <row r="630" spans="1:66" ht="13.5" customHeight="1" x14ac:dyDescent="0.25">
      <c r="A630" s="2"/>
      <c r="B630" s="2"/>
      <c r="C630" s="466"/>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row>
    <row r="631" spans="1:66" ht="13.5" customHeight="1" x14ac:dyDescent="0.25">
      <c r="A631" s="2"/>
      <c r="B631" s="2"/>
      <c r="C631" s="466"/>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row>
    <row r="632" spans="1:66" ht="13.5" customHeight="1" x14ac:dyDescent="0.25">
      <c r="A632" s="2"/>
      <c r="B632" s="2"/>
      <c r="C632" s="466"/>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row>
    <row r="633" spans="1:66" ht="13.5" customHeight="1" x14ac:dyDescent="0.25">
      <c r="A633" s="2"/>
      <c r="B633" s="2"/>
      <c r="C633" s="466"/>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row>
    <row r="634" spans="1:66" ht="13.5" customHeight="1" x14ac:dyDescent="0.25">
      <c r="A634" s="2"/>
      <c r="B634" s="2"/>
      <c r="C634" s="466"/>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row>
    <row r="635" spans="1:66" ht="13.5" customHeight="1" x14ac:dyDescent="0.25">
      <c r="A635" s="2"/>
      <c r="B635" s="2"/>
      <c r="C635" s="466"/>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row>
    <row r="636" spans="1:66" ht="13.5" customHeight="1" x14ac:dyDescent="0.25">
      <c r="A636" s="2"/>
      <c r="B636" s="2"/>
      <c r="C636" s="466"/>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row>
    <row r="637" spans="1:66" ht="13.5" customHeight="1" x14ac:dyDescent="0.25">
      <c r="A637" s="2"/>
      <c r="B637" s="2"/>
      <c r="C637" s="466"/>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row>
    <row r="638" spans="1:66" ht="13.5" customHeight="1" x14ac:dyDescent="0.25">
      <c r="A638" s="2"/>
      <c r="B638" s="2"/>
      <c r="C638" s="466"/>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row>
    <row r="639" spans="1:66" ht="13.5" customHeight="1" x14ac:dyDescent="0.25">
      <c r="A639" s="2"/>
      <c r="B639" s="2"/>
      <c r="C639" s="466"/>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row>
    <row r="640" spans="1:66" ht="13.5" customHeight="1" x14ac:dyDescent="0.25">
      <c r="A640" s="2"/>
      <c r="B640" s="2"/>
      <c r="C640" s="466"/>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row>
    <row r="641" spans="1:66" ht="13.5" customHeight="1" x14ac:dyDescent="0.25">
      <c r="A641" s="2"/>
      <c r="B641" s="2"/>
      <c r="C641" s="466"/>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row>
    <row r="642" spans="1:66" ht="13.5" customHeight="1" x14ac:dyDescent="0.25">
      <c r="A642" s="2"/>
      <c r="B642" s="2"/>
      <c r="C642" s="466"/>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row>
    <row r="643" spans="1:66" ht="13.5" customHeight="1" x14ac:dyDescent="0.25">
      <c r="A643" s="2"/>
      <c r="B643" s="2"/>
      <c r="C643" s="466"/>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row>
    <row r="644" spans="1:66" ht="13.5" customHeight="1" x14ac:dyDescent="0.25">
      <c r="A644" s="2"/>
      <c r="B644" s="2"/>
      <c r="C644" s="466"/>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row>
    <row r="645" spans="1:66" ht="13.5" customHeight="1" x14ac:dyDescent="0.25">
      <c r="A645" s="2"/>
      <c r="B645" s="2"/>
      <c r="C645" s="466"/>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row>
    <row r="646" spans="1:66" ht="13.5" customHeight="1" x14ac:dyDescent="0.25">
      <c r="A646" s="2"/>
      <c r="B646" s="2"/>
      <c r="C646" s="466"/>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row>
    <row r="647" spans="1:66" ht="13.5" customHeight="1" x14ac:dyDescent="0.25">
      <c r="A647" s="2"/>
      <c r="B647" s="2"/>
      <c r="C647" s="466"/>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row>
    <row r="648" spans="1:66" ht="13.5" customHeight="1" x14ac:dyDescent="0.25">
      <c r="A648" s="2"/>
      <c r="B648" s="2"/>
      <c r="C648" s="466"/>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row>
    <row r="649" spans="1:66" ht="13.5" customHeight="1" x14ac:dyDescent="0.25">
      <c r="A649" s="2"/>
      <c r="B649" s="2"/>
      <c r="C649" s="466"/>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row>
    <row r="650" spans="1:66" ht="13.5" customHeight="1" x14ac:dyDescent="0.25">
      <c r="A650" s="2"/>
      <c r="B650" s="2"/>
      <c r="C650" s="466"/>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row>
    <row r="651" spans="1:66" ht="13.5" customHeight="1" x14ac:dyDescent="0.25">
      <c r="A651" s="2"/>
      <c r="B651" s="2"/>
      <c r="C651" s="466"/>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row>
    <row r="652" spans="1:66" ht="13.5" customHeight="1" x14ac:dyDescent="0.25">
      <c r="A652" s="2"/>
      <c r="B652" s="2"/>
      <c r="C652" s="466"/>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row>
    <row r="653" spans="1:66" ht="13.5" customHeight="1" x14ac:dyDescent="0.25">
      <c r="A653" s="2"/>
      <c r="B653" s="2"/>
      <c r="C653" s="466"/>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row>
    <row r="654" spans="1:66" ht="13.5" customHeight="1" x14ac:dyDescent="0.25">
      <c r="A654" s="2"/>
      <c r="B654" s="2"/>
      <c r="C654" s="466"/>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row>
    <row r="655" spans="1:66" ht="13.5" customHeight="1" x14ac:dyDescent="0.25">
      <c r="A655" s="2"/>
      <c r="B655" s="2"/>
      <c r="C655" s="466"/>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row>
    <row r="656" spans="1:66" ht="13.5" customHeight="1" x14ac:dyDescent="0.25">
      <c r="A656" s="2"/>
      <c r="B656" s="2"/>
      <c r="C656" s="466"/>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row>
    <row r="657" spans="1:66" ht="13.5" customHeight="1" x14ac:dyDescent="0.25">
      <c r="A657" s="2"/>
      <c r="B657" s="2"/>
      <c r="C657" s="466"/>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row>
    <row r="658" spans="1:66" ht="13.5" customHeight="1" x14ac:dyDescent="0.25">
      <c r="A658" s="2"/>
      <c r="B658" s="2"/>
      <c r="C658" s="466"/>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row>
    <row r="659" spans="1:66" ht="13.5" customHeight="1" x14ac:dyDescent="0.25">
      <c r="A659" s="2"/>
      <c r="B659" s="2"/>
      <c r="C659" s="466"/>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row>
    <row r="660" spans="1:66" ht="13.5" customHeight="1" x14ac:dyDescent="0.25">
      <c r="A660" s="2"/>
      <c r="B660" s="2"/>
      <c r="C660" s="466"/>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row>
    <row r="661" spans="1:66" ht="13.5" customHeight="1" x14ac:dyDescent="0.25">
      <c r="A661" s="2"/>
      <c r="B661" s="2"/>
      <c r="C661" s="466"/>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row>
    <row r="662" spans="1:66" ht="13.5" customHeight="1" x14ac:dyDescent="0.25">
      <c r="A662" s="2"/>
      <c r="B662" s="2"/>
      <c r="C662" s="466"/>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row>
    <row r="663" spans="1:66" ht="13.5" customHeight="1" x14ac:dyDescent="0.25">
      <c r="A663" s="2"/>
      <c r="B663" s="2"/>
      <c r="C663" s="466"/>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row>
    <row r="664" spans="1:66" ht="13.5" customHeight="1" x14ac:dyDescent="0.25">
      <c r="A664" s="2"/>
      <c r="B664" s="2"/>
      <c r="C664" s="466"/>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row>
    <row r="665" spans="1:66" ht="13.5" customHeight="1" x14ac:dyDescent="0.25">
      <c r="A665" s="2"/>
      <c r="B665" s="2"/>
      <c r="C665" s="466"/>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row>
    <row r="666" spans="1:66" ht="13.5" customHeight="1" x14ac:dyDescent="0.25">
      <c r="A666" s="2"/>
      <c r="B666" s="2"/>
      <c r="C666" s="466"/>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row>
    <row r="667" spans="1:66" ht="13.5" customHeight="1" x14ac:dyDescent="0.25">
      <c r="A667" s="2"/>
      <c r="B667" s="2"/>
      <c r="C667" s="466"/>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row>
    <row r="668" spans="1:66" ht="13.5" customHeight="1" x14ac:dyDescent="0.25">
      <c r="A668" s="2"/>
      <c r="B668" s="2"/>
      <c r="C668" s="466"/>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row>
    <row r="669" spans="1:66" ht="13.5" customHeight="1" x14ac:dyDescent="0.25">
      <c r="A669" s="2"/>
      <c r="B669" s="2"/>
      <c r="C669" s="466"/>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row>
    <row r="670" spans="1:66" ht="13.5" customHeight="1" x14ac:dyDescent="0.25">
      <c r="A670" s="2"/>
      <c r="B670" s="2"/>
      <c r="C670" s="466"/>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row>
    <row r="671" spans="1:66" ht="13.5" customHeight="1" x14ac:dyDescent="0.25">
      <c r="A671" s="2"/>
      <c r="B671" s="2"/>
      <c r="C671" s="466"/>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row>
    <row r="672" spans="1:66" ht="13.5" customHeight="1" x14ac:dyDescent="0.25">
      <c r="A672" s="2"/>
      <c r="B672" s="2"/>
      <c r="C672" s="466"/>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row>
    <row r="673" spans="1:66" ht="13.5" customHeight="1" x14ac:dyDescent="0.25">
      <c r="A673" s="2"/>
      <c r="B673" s="2"/>
      <c r="C673" s="466"/>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row>
    <row r="674" spans="1:66" ht="13.5" customHeight="1" x14ac:dyDescent="0.25">
      <c r="A674" s="2"/>
      <c r="B674" s="2"/>
      <c r="C674" s="466"/>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row>
    <row r="675" spans="1:66" ht="13.5" customHeight="1" x14ac:dyDescent="0.25">
      <c r="A675" s="2"/>
      <c r="B675" s="2"/>
      <c r="C675" s="466"/>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row>
    <row r="676" spans="1:66" ht="13.5" customHeight="1" x14ac:dyDescent="0.25">
      <c r="A676" s="2"/>
      <c r="B676" s="2"/>
      <c r="C676" s="466"/>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row>
    <row r="677" spans="1:66" ht="13.5" customHeight="1" x14ac:dyDescent="0.25">
      <c r="A677" s="2"/>
      <c r="B677" s="2"/>
      <c r="C677" s="466"/>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row>
    <row r="678" spans="1:66" ht="13.5" customHeight="1" x14ac:dyDescent="0.25">
      <c r="A678" s="2"/>
      <c r="B678" s="2"/>
      <c r="C678" s="466"/>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row>
    <row r="679" spans="1:66" ht="13.5" customHeight="1" x14ac:dyDescent="0.25">
      <c r="A679" s="2"/>
      <c r="B679" s="2"/>
      <c r="C679" s="466"/>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row>
    <row r="680" spans="1:66" ht="13.5" customHeight="1" x14ac:dyDescent="0.25">
      <c r="A680" s="2"/>
      <c r="B680" s="2"/>
      <c r="C680" s="466"/>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row>
    <row r="681" spans="1:66" ht="13.5" customHeight="1" x14ac:dyDescent="0.25">
      <c r="A681" s="2"/>
      <c r="B681" s="2"/>
      <c r="C681" s="466"/>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row>
    <row r="682" spans="1:66" ht="13.5" customHeight="1" x14ac:dyDescent="0.25">
      <c r="A682" s="2"/>
      <c r="B682" s="2"/>
      <c r="C682" s="466"/>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row>
    <row r="683" spans="1:66" ht="13.5" customHeight="1" x14ac:dyDescent="0.25">
      <c r="A683" s="2"/>
      <c r="B683" s="2"/>
      <c r="C683" s="466"/>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row>
    <row r="684" spans="1:66" ht="13.5" customHeight="1" x14ac:dyDescent="0.25">
      <c r="A684" s="2"/>
      <c r="B684" s="2"/>
      <c r="C684" s="466"/>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row>
    <row r="685" spans="1:66" ht="13.5" customHeight="1" x14ac:dyDescent="0.25">
      <c r="A685" s="2"/>
      <c r="B685" s="2"/>
      <c r="C685" s="466"/>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row>
    <row r="686" spans="1:66" ht="13.5" customHeight="1" x14ac:dyDescent="0.25">
      <c r="A686" s="2"/>
      <c r="B686" s="2"/>
      <c r="C686" s="466"/>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row>
    <row r="687" spans="1:66" ht="13.5" customHeight="1" x14ac:dyDescent="0.25">
      <c r="A687" s="2"/>
      <c r="B687" s="2"/>
      <c r="C687" s="466"/>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row>
    <row r="688" spans="1:66" ht="13.5" customHeight="1" x14ac:dyDescent="0.25">
      <c r="A688" s="2"/>
      <c r="B688" s="2"/>
      <c r="C688" s="466"/>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row>
    <row r="689" spans="1:66" ht="13.5" customHeight="1" x14ac:dyDescent="0.25">
      <c r="A689" s="2"/>
      <c r="B689" s="2"/>
      <c r="C689" s="466"/>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row>
    <row r="690" spans="1:66" ht="13.5" customHeight="1" x14ac:dyDescent="0.25">
      <c r="A690" s="2"/>
      <c r="B690" s="2"/>
      <c r="C690" s="466"/>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row>
    <row r="691" spans="1:66" ht="13.5" customHeight="1" x14ac:dyDescent="0.25">
      <c r="A691" s="2"/>
      <c r="B691" s="2"/>
      <c r="C691" s="466"/>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row>
    <row r="692" spans="1:66" ht="13.5" customHeight="1" x14ac:dyDescent="0.25">
      <c r="A692" s="2"/>
      <c r="B692" s="2"/>
      <c r="C692" s="466"/>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row>
    <row r="693" spans="1:66" ht="13.5" customHeight="1" x14ac:dyDescent="0.25">
      <c r="A693" s="2"/>
      <c r="B693" s="2"/>
      <c r="C693" s="466"/>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row>
    <row r="694" spans="1:66" ht="13.5" customHeight="1" x14ac:dyDescent="0.25">
      <c r="A694" s="2"/>
      <c r="B694" s="2"/>
      <c r="C694" s="466"/>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row>
    <row r="695" spans="1:66" ht="13.5" customHeight="1" x14ac:dyDescent="0.25">
      <c r="A695" s="2"/>
      <c r="B695" s="2"/>
      <c r="C695" s="466"/>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row>
    <row r="696" spans="1:66" ht="13.5" customHeight="1" x14ac:dyDescent="0.25">
      <c r="A696" s="2"/>
      <c r="B696" s="2"/>
      <c r="C696" s="466"/>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row>
    <row r="697" spans="1:66" ht="13.5" customHeight="1" x14ac:dyDescent="0.25">
      <c r="A697" s="2"/>
      <c r="B697" s="2"/>
      <c r="C697" s="466"/>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row>
    <row r="698" spans="1:66" ht="13.5" customHeight="1" x14ac:dyDescent="0.25">
      <c r="A698" s="2"/>
      <c r="B698" s="2"/>
      <c r="C698" s="466"/>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row>
    <row r="699" spans="1:66" ht="13.5" customHeight="1" x14ac:dyDescent="0.25">
      <c r="A699" s="2"/>
      <c r="B699" s="2"/>
      <c r="C699" s="466"/>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row>
    <row r="700" spans="1:66" ht="13.5" customHeight="1" x14ac:dyDescent="0.25">
      <c r="A700" s="2"/>
      <c r="B700" s="2"/>
      <c r="C700" s="466"/>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row>
    <row r="701" spans="1:66" ht="13.5" customHeight="1" x14ac:dyDescent="0.25">
      <c r="A701" s="2"/>
      <c r="B701" s="2"/>
      <c r="C701" s="466"/>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row>
    <row r="702" spans="1:66" ht="13.5" customHeight="1" x14ac:dyDescent="0.25">
      <c r="A702" s="2"/>
      <c r="B702" s="2"/>
      <c r="C702" s="466"/>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row>
    <row r="703" spans="1:66" ht="13.5" customHeight="1" x14ac:dyDescent="0.25">
      <c r="A703" s="2"/>
      <c r="B703" s="2"/>
      <c r="C703" s="466"/>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row>
    <row r="704" spans="1:66" ht="13.5" customHeight="1" x14ac:dyDescent="0.25">
      <c r="A704" s="2"/>
      <c r="B704" s="2"/>
      <c r="C704" s="466"/>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row>
    <row r="705" spans="1:66" ht="13.5" customHeight="1" x14ac:dyDescent="0.25">
      <c r="A705" s="2"/>
      <c r="B705" s="2"/>
      <c r="C705" s="466"/>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row>
    <row r="706" spans="1:66" ht="13.5" customHeight="1" x14ac:dyDescent="0.25">
      <c r="A706" s="2"/>
      <c r="B706" s="2"/>
      <c r="C706" s="466"/>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row>
    <row r="707" spans="1:66" ht="13.5" customHeight="1" x14ac:dyDescent="0.25">
      <c r="A707" s="2"/>
      <c r="B707" s="2"/>
      <c r="C707" s="466"/>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row>
    <row r="708" spans="1:66" ht="13.5" customHeight="1" x14ac:dyDescent="0.25">
      <c r="A708" s="2"/>
      <c r="B708" s="2"/>
      <c r="C708" s="466"/>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row>
    <row r="709" spans="1:66" ht="13.5" customHeight="1" x14ac:dyDescent="0.25">
      <c r="A709" s="2"/>
      <c r="B709" s="2"/>
      <c r="C709" s="466"/>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row>
    <row r="710" spans="1:66" ht="13.5" customHeight="1" x14ac:dyDescent="0.25">
      <c r="A710" s="2"/>
      <c r="B710" s="2"/>
      <c r="C710" s="466"/>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row>
    <row r="711" spans="1:66" ht="13.5" customHeight="1" x14ac:dyDescent="0.25">
      <c r="A711" s="2"/>
      <c r="B711" s="2"/>
      <c r="C711" s="466"/>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row>
    <row r="712" spans="1:66" ht="13.5" customHeight="1" x14ac:dyDescent="0.25">
      <c r="A712" s="2"/>
      <c r="B712" s="2"/>
      <c r="C712" s="466"/>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row>
    <row r="713" spans="1:66" ht="13.5" customHeight="1" x14ac:dyDescent="0.25">
      <c r="A713" s="2"/>
      <c r="B713" s="2"/>
      <c r="C713" s="466"/>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row>
    <row r="714" spans="1:66" ht="13.5" customHeight="1" x14ac:dyDescent="0.25">
      <c r="A714" s="2"/>
      <c r="B714" s="2"/>
      <c r="C714" s="466"/>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row>
    <row r="715" spans="1:66" ht="13.5" customHeight="1" x14ac:dyDescent="0.25">
      <c r="A715" s="2"/>
      <c r="B715" s="2"/>
      <c r="C715" s="466"/>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row>
    <row r="716" spans="1:66" ht="13.5" customHeight="1" x14ac:dyDescent="0.25">
      <c r="A716" s="2"/>
      <c r="B716" s="2"/>
      <c r="C716" s="466"/>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row>
    <row r="717" spans="1:66" ht="13.5" customHeight="1" x14ac:dyDescent="0.25">
      <c r="A717" s="2"/>
      <c r="B717" s="2"/>
      <c r="C717" s="466"/>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row>
    <row r="718" spans="1:66" ht="13.5" customHeight="1" x14ac:dyDescent="0.25">
      <c r="A718" s="2"/>
      <c r="B718" s="2"/>
      <c r="C718" s="466"/>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row>
    <row r="719" spans="1:66" ht="13.5" customHeight="1" x14ac:dyDescent="0.25">
      <c r="A719" s="2"/>
      <c r="B719" s="2"/>
      <c r="C719" s="466"/>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row>
    <row r="720" spans="1:66" ht="13.5" customHeight="1" x14ac:dyDescent="0.25">
      <c r="A720" s="2"/>
      <c r="B720" s="2"/>
      <c r="C720" s="466"/>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row>
    <row r="721" spans="1:66" ht="13.5" customHeight="1" x14ac:dyDescent="0.25">
      <c r="A721" s="2"/>
      <c r="B721" s="2"/>
      <c r="C721" s="466"/>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row>
    <row r="722" spans="1:66" ht="13.5" customHeight="1" x14ac:dyDescent="0.25">
      <c r="A722" s="2"/>
      <c r="B722" s="2"/>
      <c r="C722" s="466"/>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row>
    <row r="723" spans="1:66" ht="13.5" customHeight="1" x14ac:dyDescent="0.25">
      <c r="A723" s="2"/>
      <c r="B723" s="2"/>
      <c r="C723" s="466"/>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row>
    <row r="724" spans="1:66" ht="13.5" customHeight="1" x14ac:dyDescent="0.25">
      <c r="A724" s="2"/>
      <c r="B724" s="2"/>
      <c r="C724" s="466"/>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row>
    <row r="725" spans="1:66" ht="13.5" customHeight="1" x14ac:dyDescent="0.25">
      <c r="A725" s="2"/>
      <c r="B725" s="2"/>
      <c r="C725" s="466"/>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row>
    <row r="726" spans="1:66" ht="13.5" customHeight="1" x14ac:dyDescent="0.25">
      <c r="A726" s="2"/>
      <c r="B726" s="2"/>
      <c r="C726" s="466"/>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row>
    <row r="727" spans="1:66" ht="13.5" customHeight="1" x14ac:dyDescent="0.25">
      <c r="A727" s="2"/>
      <c r="B727" s="2"/>
      <c r="C727" s="466"/>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row>
    <row r="728" spans="1:66" ht="13.5" customHeight="1" x14ac:dyDescent="0.25">
      <c r="A728" s="2"/>
      <c r="B728" s="2"/>
      <c r="C728" s="466"/>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row>
    <row r="729" spans="1:66" ht="13.5" customHeight="1" x14ac:dyDescent="0.25">
      <c r="A729" s="2"/>
      <c r="B729" s="2"/>
      <c r="C729" s="466"/>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row>
    <row r="730" spans="1:66" ht="13.5" customHeight="1" x14ac:dyDescent="0.25">
      <c r="A730" s="2"/>
      <c r="B730" s="2"/>
      <c r="C730" s="466"/>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row>
    <row r="731" spans="1:66" ht="13.5" customHeight="1" x14ac:dyDescent="0.25">
      <c r="A731" s="2"/>
      <c r="B731" s="2"/>
      <c r="C731" s="466"/>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row>
    <row r="732" spans="1:66" ht="13.5" customHeight="1" x14ac:dyDescent="0.25">
      <c r="A732" s="2"/>
      <c r="B732" s="2"/>
      <c r="C732" s="466"/>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row>
    <row r="733" spans="1:66" ht="13.5" customHeight="1" x14ac:dyDescent="0.25">
      <c r="A733" s="2"/>
      <c r="B733" s="2"/>
      <c r="C733" s="466"/>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row>
    <row r="734" spans="1:66" ht="13.5" customHeight="1" x14ac:dyDescent="0.25">
      <c r="A734" s="2"/>
      <c r="B734" s="2"/>
      <c r="C734" s="466"/>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row>
    <row r="735" spans="1:66" ht="13.5" customHeight="1" x14ac:dyDescent="0.25">
      <c r="A735" s="2"/>
      <c r="B735" s="2"/>
      <c r="C735" s="466"/>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row>
    <row r="736" spans="1:66" ht="13.5" customHeight="1" x14ac:dyDescent="0.25">
      <c r="A736" s="2"/>
      <c r="B736" s="2"/>
      <c r="C736" s="466"/>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row>
    <row r="737" spans="1:66" ht="13.5" customHeight="1" x14ac:dyDescent="0.25">
      <c r="A737" s="2"/>
      <c r="B737" s="2"/>
      <c r="C737" s="466"/>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row>
    <row r="738" spans="1:66" ht="13.5" customHeight="1" x14ac:dyDescent="0.25">
      <c r="A738" s="2"/>
      <c r="B738" s="2"/>
      <c r="C738" s="466"/>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row>
    <row r="739" spans="1:66" ht="13.5" customHeight="1" x14ac:dyDescent="0.25">
      <c r="A739" s="2"/>
      <c r="B739" s="2"/>
      <c r="C739" s="466"/>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row>
    <row r="740" spans="1:66" ht="13.5" customHeight="1" x14ac:dyDescent="0.25">
      <c r="A740" s="2"/>
      <c r="B740" s="2"/>
      <c r="C740" s="466"/>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row>
    <row r="741" spans="1:66" ht="13.5" customHeight="1" x14ac:dyDescent="0.25">
      <c r="A741" s="2"/>
      <c r="B741" s="2"/>
      <c r="C741" s="466"/>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row>
    <row r="742" spans="1:66" ht="13.5" customHeight="1" x14ac:dyDescent="0.25">
      <c r="A742" s="2"/>
      <c r="B742" s="2"/>
      <c r="C742" s="466"/>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row>
    <row r="743" spans="1:66" ht="13.5" customHeight="1" x14ac:dyDescent="0.25">
      <c r="A743" s="2"/>
      <c r="B743" s="2"/>
      <c r="C743" s="466"/>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row>
    <row r="744" spans="1:66" ht="13.5" customHeight="1" x14ac:dyDescent="0.25">
      <c r="A744" s="2"/>
      <c r="B744" s="2"/>
      <c r="C744" s="466"/>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row>
    <row r="745" spans="1:66" ht="13.5" customHeight="1" x14ac:dyDescent="0.25">
      <c r="A745" s="2"/>
      <c r="B745" s="2"/>
      <c r="C745" s="466"/>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row>
    <row r="746" spans="1:66" ht="13.5" customHeight="1" x14ac:dyDescent="0.25">
      <c r="A746" s="2"/>
      <c r="B746" s="2"/>
      <c r="C746" s="466"/>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row>
    <row r="747" spans="1:66" ht="13.5" customHeight="1" x14ac:dyDescent="0.25">
      <c r="A747" s="2"/>
      <c r="B747" s="2"/>
      <c r="C747" s="466"/>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row>
    <row r="748" spans="1:66" ht="13.5" customHeight="1" x14ac:dyDescent="0.25">
      <c r="A748" s="2"/>
      <c r="B748" s="2"/>
      <c r="C748" s="466"/>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row>
    <row r="749" spans="1:66" ht="13.5" customHeight="1" x14ac:dyDescent="0.25">
      <c r="A749" s="2"/>
      <c r="B749" s="2"/>
      <c r="C749" s="466"/>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row>
    <row r="750" spans="1:66" ht="13.5" customHeight="1" x14ac:dyDescent="0.25">
      <c r="A750" s="2"/>
      <c r="B750" s="2"/>
      <c r="C750" s="466"/>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row>
    <row r="751" spans="1:66" ht="13.5" customHeight="1" x14ac:dyDescent="0.25">
      <c r="A751" s="2"/>
      <c r="B751" s="2"/>
      <c r="C751" s="466"/>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row>
    <row r="752" spans="1:66" ht="13.5" customHeight="1" x14ac:dyDescent="0.25">
      <c r="A752" s="2"/>
      <c r="B752" s="2"/>
      <c r="C752" s="466"/>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row>
    <row r="753" spans="1:66" ht="13.5" customHeight="1" x14ac:dyDescent="0.25">
      <c r="A753" s="2"/>
      <c r="B753" s="2"/>
      <c r="C753" s="466"/>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row>
    <row r="754" spans="1:66" ht="13.5" customHeight="1" x14ac:dyDescent="0.25">
      <c r="A754" s="2"/>
      <c r="B754" s="2"/>
      <c r="C754" s="466"/>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row>
    <row r="755" spans="1:66" ht="13.5" customHeight="1" x14ac:dyDescent="0.25">
      <c r="A755" s="2"/>
      <c r="B755" s="2"/>
      <c r="C755" s="466"/>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row>
    <row r="756" spans="1:66" ht="13.5" customHeight="1" x14ac:dyDescent="0.25">
      <c r="A756" s="2"/>
      <c r="B756" s="2"/>
      <c r="C756" s="466"/>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row>
    <row r="757" spans="1:66" ht="13.5" customHeight="1" x14ac:dyDescent="0.25">
      <c r="A757" s="2"/>
      <c r="B757" s="2"/>
      <c r="C757" s="466"/>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row>
    <row r="758" spans="1:66" ht="13.5" customHeight="1" x14ac:dyDescent="0.25">
      <c r="A758" s="2"/>
      <c r="B758" s="2"/>
      <c r="C758" s="466"/>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row>
    <row r="759" spans="1:66" ht="13.5" customHeight="1" x14ac:dyDescent="0.25">
      <c r="A759" s="2"/>
      <c r="B759" s="2"/>
      <c r="C759" s="466"/>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row>
    <row r="760" spans="1:66" ht="13.5" customHeight="1" x14ac:dyDescent="0.25">
      <c r="A760" s="2"/>
      <c r="B760" s="2"/>
      <c r="C760" s="466"/>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row>
    <row r="761" spans="1:66" ht="13.5" customHeight="1" x14ac:dyDescent="0.25">
      <c r="A761" s="2"/>
      <c r="B761" s="2"/>
      <c r="C761" s="466"/>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row>
    <row r="762" spans="1:66" ht="13.5" customHeight="1" x14ac:dyDescent="0.25">
      <c r="A762" s="2"/>
      <c r="B762" s="2"/>
      <c r="C762" s="466"/>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row>
    <row r="763" spans="1:66" ht="13.5" customHeight="1" x14ac:dyDescent="0.25">
      <c r="A763" s="2"/>
      <c r="B763" s="2"/>
      <c r="C763" s="466"/>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row>
    <row r="764" spans="1:66" ht="13.5" customHeight="1" x14ac:dyDescent="0.25">
      <c r="A764" s="2"/>
      <c r="B764" s="2"/>
      <c r="C764" s="466"/>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row>
    <row r="765" spans="1:66" ht="13.5" customHeight="1" x14ac:dyDescent="0.25">
      <c r="A765" s="2"/>
      <c r="B765" s="2"/>
      <c r="C765" s="466"/>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row>
    <row r="766" spans="1:66" ht="13.5" customHeight="1" x14ac:dyDescent="0.25">
      <c r="A766" s="2"/>
      <c r="B766" s="2"/>
      <c r="C766" s="466"/>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row>
    <row r="767" spans="1:66" ht="13.5" customHeight="1" x14ac:dyDescent="0.25">
      <c r="A767" s="2"/>
      <c r="B767" s="2"/>
      <c r="C767" s="466"/>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row>
    <row r="768" spans="1:66" ht="13.5" customHeight="1" x14ac:dyDescent="0.25">
      <c r="A768" s="2"/>
      <c r="B768" s="2"/>
      <c r="C768" s="466"/>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row>
    <row r="769" spans="1:66" ht="13.5" customHeight="1" x14ac:dyDescent="0.25">
      <c r="A769" s="2"/>
      <c r="B769" s="2"/>
      <c r="C769" s="466"/>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row>
    <row r="770" spans="1:66" ht="13.5" customHeight="1" x14ac:dyDescent="0.25">
      <c r="A770" s="2"/>
      <c r="B770" s="2"/>
      <c r="C770" s="466"/>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row>
    <row r="771" spans="1:66" ht="13.5" customHeight="1" x14ac:dyDescent="0.25">
      <c r="A771" s="2"/>
      <c r="B771" s="2"/>
      <c r="C771" s="466"/>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row>
    <row r="772" spans="1:66" ht="13.5" customHeight="1" x14ac:dyDescent="0.25">
      <c r="A772" s="2"/>
      <c r="B772" s="2"/>
      <c r="C772" s="466"/>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row>
    <row r="773" spans="1:66" ht="13.5" customHeight="1" x14ac:dyDescent="0.25">
      <c r="A773" s="2"/>
      <c r="B773" s="2"/>
      <c r="C773" s="466"/>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row>
    <row r="774" spans="1:66" ht="13.5" customHeight="1" x14ac:dyDescent="0.25">
      <c r="A774" s="2"/>
      <c r="B774" s="2"/>
      <c r="C774" s="466"/>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row>
    <row r="775" spans="1:66" ht="13.5" customHeight="1" x14ac:dyDescent="0.25">
      <c r="A775" s="2"/>
      <c r="B775" s="2"/>
      <c r="C775" s="466"/>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row>
    <row r="776" spans="1:66" ht="13.5" customHeight="1" x14ac:dyDescent="0.25">
      <c r="A776" s="2"/>
      <c r="B776" s="2"/>
      <c r="C776" s="466"/>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row>
    <row r="777" spans="1:66" ht="13.5" customHeight="1" x14ac:dyDescent="0.25">
      <c r="A777" s="2"/>
      <c r="B777" s="2"/>
      <c r="C777" s="466"/>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row>
    <row r="778" spans="1:66" ht="13.5" customHeight="1" x14ac:dyDescent="0.25">
      <c r="A778" s="2"/>
      <c r="B778" s="2"/>
      <c r="C778" s="466"/>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row>
    <row r="779" spans="1:66" ht="13.5" customHeight="1" x14ac:dyDescent="0.25">
      <c r="A779" s="2"/>
      <c r="B779" s="2"/>
      <c r="C779" s="466"/>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row>
    <row r="780" spans="1:66" ht="13.5" customHeight="1" x14ac:dyDescent="0.25">
      <c r="A780" s="2"/>
      <c r="B780" s="2"/>
      <c r="C780" s="466"/>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row>
    <row r="781" spans="1:66" ht="13.5" customHeight="1" x14ac:dyDescent="0.25">
      <c r="A781" s="2"/>
      <c r="B781" s="2"/>
      <c r="C781" s="466"/>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row>
    <row r="782" spans="1:66" ht="13.5" customHeight="1" x14ac:dyDescent="0.25">
      <c r="A782" s="2"/>
      <c r="B782" s="2"/>
      <c r="C782" s="466"/>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row>
    <row r="783" spans="1:66" ht="13.5" customHeight="1" x14ac:dyDescent="0.25">
      <c r="A783" s="2"/>
      <c r="B783" s="2"/>
      <c r="C783" s="466"/>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row>
    <row r="784" spans="1:66" ht="13.5" customHeight="1" x14ac:dyDescent="0.25">
      <c r="A784" s="2"/>
      <c r="B784" s="2"/>
      <c r="C784" s="466"/>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row>
    <row r="785" spans="1:66" ht="13.5" customHeight="1" x14ac:dyDescent="0.25">
      <c r="A785" s="2"/>
      <c r="B785" s="2"/>
      <c r="C785" s="466"/>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row>
    <row r="786" spans="1:66" ht="13.5" customHeight="1" x14ac:dyDescent="0.25">
      <c r="A786" s="2"/>
      <c r="B786" s="2"/>
      <c r="C786" s="466"/>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row>
    <row r="787" spans="1:66" ht="13.5" customHeight="1" x14ac:dyDescent="0.25">
      <c r="A787" s="2"/>
      <c r="B787" s="2"/>
      <c r="C787" s="466"/>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row>
    <row r="788" spans="1:66" ht="13.5" customHeight="1" x14ac:dyDescent="0.25">
      <c r="A788" s="2"/>
      <c r="B788" s="2"/>
      <c r="C788" s="466"/>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row>
    <row r="789" spans="1:66" ht="13.5" customHeight="1" x14ac:dyDescent="0.25">
      <c r="A789" s="2"/>
      <c r="B789" s="2"/>
      <c r="C789" s="466"/>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row>
    <row r="790" spans="1:66" ht="13.5" customHeight="1" x14ac:dyDescent="0.25">
      <c r="A790" s="2"/>
      <c r="B790" s="2"/>
      <c r="C790" s="466"/>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row>
    <row r="791" spans="1:66" ht="13.5" customHeight="1" x14ac:dyDescent="0.25">
      <c r="A791" s="2"/>
      <c r="B791" s="2"/>
      <c r="C791" s="466"/>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row>
    <row r="792" spans="1:66" ht="13.5" customHeight="1" x14ac:dyDescent="0.25">
      <c r="A792" s="2"/>
      <c r="B792" s="2"/>
      <c r="C792" s="466"/>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row>
    <row r="793" spans="1:66" ht="13.5" customHeight="1" x14ac:dyDescent="0.25">
      <c r="A793" s="2"/>
      <c r="B793" s="2"/>
      <c r="C793" s="466"/>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row>
    <row r="794" spans="1:66" ht="13.5" customHeight="1" x14ac:dyDescent="0.25">
      <c r="A794" s="2"/>
      <c r="B794" s="2"/>
      <c r="C794" s="466"/>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row>
    <row r="795" spans="1:66" ht="13.5" customHeight="1" x14ac:dyDescent="0.25">
      <c r="A795" s="2"/>
      <c r="B795" s="2"/>
      <c r="C795" s="466"/>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row>
    <row r="796" spans="1:66" ht="13.5" customHeight="1" x14ac:dyDescent="0.25">
      <c r="A796" s="2"/>
      <c r="B796" s="2"/>
      <c r="C796" s="466"/>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row>
    <row r="797" spans="1:66" ht="13.5" customHeight="1" x14ac:dyDescent="0.25">
      <c r="A797" s="2"/>
      <c r="B797" s="2"/>
      <c r="C797" s="466"/>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row>
    <row r="798" spans="1:66" ht="13.5" customHeight="1" x14ac:dyDescent="0.25">
      <c r="A798" s="2"/>
      <c r="B798" s="2"/>
      <c r="C798" s="466"/>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row>
    <row r="799" spans="1:66" ht="13.5" customHeight="1" x14ac:dyDescent="0.25">
      <c r="A799" s="2"/>
      <c r="B799" s="2"/>
      <c r="C799" s="466"/>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row>
    <row r="800" spans="1:66" ht="13.5" customHeight="1" x14ac:dyDescent="0.25">
      <c r="A800" s="2"/>
      <c r="B800" s="2"/>
      <c r="C800" s="466"/>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row>
    <row r="801" spans="1:66" ht="13.5" customHeight="1" x14ac:dyDescent="0.25">
      <c r="A801" s="2"/>
      <c r="B801" s="2"/>
      <c r="C801" s="466"/>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row>
    <row r="802" spans="1:66" ht="13.5" customHeight="1" x14ac:dyDescent="0.25">
      <c r="A802" s="2"/>
      <c r="B802" s="2"/>
      <c r="C802" s="466"/>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row>
    <row r="803" spans="1:66" ht="13.5" customHeight="1" x14ac:dyDescent="0.25">
      <c r="A803" s="2"/>
      <c r="B803" s="2"/>
      <c r="C803" s="466"/>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row>
    <row r="804" spans="1:66" ht="13.5" customHeight="1" x14ac:dyDescent="0.25">
      <c r="A804" s="2"/>
      <c r="B804" s="2"/>
      <c r="C804" s="466"/>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row>
    <row r="805" spans="1:66" ht="13.5" customHeight="1" x14ac:dyDescent="0.25">
      <c r="A805" s="2"/>
      <c r="B805" s="2"/>
      <c r="C805" s="466"/>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row>
    <row r="806" spans="1:66" ht="13.5" customHeight="1" x14ac:dyDescent="0.25">
      <c r="A806" s="2"/>
      <c r="B806" s="2"/>
      <c r="C806" s="466"/>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row>
    <row r="807" spans="1:66" ht="13.5" customHeight="1" x14ac:dyDescent="0.25">
      <c r="A807" s="2"/>
      <c r="B807" s="2"/>
      <c r="C807" s="466"/>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row>
    <row r="808" spans="1:66" ht="13.5" customHeight="1" x14ac:dyDescent="0.25">
      <c r="A808" s="2"/>
      <c r="B808" s="2"/>
      <c r="C808" s="466"/>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row>
    <row r="809" spans="1:66" ht="13.5" customHeight="1" x14ac:dyDescent="0.25">
      <c r="A809" s="2"/>
      <c r="B809" s="2"/>
      <c r="C809" s="466"/>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row>
    <row r="810" spans="1:66" ht="13.5" customHeight="1" x14ac:dyDescent="0.25">
      <c r="A810" s="2"/>
      <c r="B810" s="2"/>
      <c r="C810" s="466"/>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row>
    <row r="811" spans="1:66" ht="13.5" customHeight="1" x14ac:dyDescent="0.25">
      <c r="A811" s="2"/>
      <c r="B811" s="2"/>
      <c r="C811" s="466"/>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row>
    <row r="812" spans="1:66" ht="13.5" customHeight="1" x14ac:dyDescent="0.25">
      <c r="A812" s="2"/>
      <c r="B812" s="2"/>
      <c r="C812" s="466"/>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row>
    <row r="813" spans="1:66" ht="13.5" customHeight="1" x14ac:dyDescent="0.25">
      <c r="A813" s="2"/>
      <c r="B813" s="2"/>
      <c r="C813" s="466"/>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row>
    <row r="814" spans="1:66" ht="13.5" customHeight="1" x14ac:dyDescent="0.25">
      <c r="A814" s="2"/>
      <c r="B814" s="2"/>
      <c r="C814" s="466"/>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row>
    <row r="815" spans="1:66" ht="13.5" customHeight="1" x14ac:dyDescent="0.25">
      <c r="A815" s="2"/>
      <c r="B815" s="2"/>
      <c r="C815" s="466"/>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row>
    <row r="816" spans="1:66" ht="13.5" customHeight="1" x14ac:dyDescent="0.25">
      <c r="A816" s="2"/>
      <c r="B816" s="2"/>
      <c r="C816" s="466"/>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row>
    <row r="817" spans="1:66" ht="13.5" customHeight="1" x14ac:dyDescent="0.25">
      <c r="A817" s="2"/>
      <c r="B817" s="2"/>
      <c r="C817" s="466"/>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row>
    <row r="818" spans="1:66" ht="13.5" customHeight="1" x14ac:dyDescent="0.25">
      <c r="A818" s="2"/>
      <c r="B818" s="2"/>
      <c r="C818" s="466"/>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row>
    <row r="819" spans="1:66" ht="13.5" customHeight="1" x14ac:dyDescent="0.25">
      <c r="A819" s="2"/>
      <c r="B819" s="2"/>
      <c r="C819" s="466"/>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row>
    <row r="820" spans="1:66" ht="13.5" customHeight="1" x14ac:dyDescent="0.25">
      <c r="A820" s="2"/>
      <c r="B820" s="2"/>
      <c r="C820" s="466"/>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row>
    <row r="821" spans="1:66" ht="13.5" customHeight="1" x14ac:dyDescent="0.25">
      <c r="A821" s="2"/>
      <c r="B821" s="2"/>
      <c r="C821" s="466"/>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row>
    <row r="822" spans="1:66" ht="13.5" customHeight="1" x14ac:dyDescent="0.25">
      <c r="A822" s="2"/>
      <c r="B822" s="2"/>
      <c r="C822" s="466"/>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row>
    <row r="823" spans="1:66" ht="13.5" customHeight="1" x14ac:dyDescent="0.25">
      <c r="A823" s="2"/>
      <c r="B823" s="2"/>
      <c r="C823" s="466"/>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row>
    <row r="824" spans="1:66" ht="13.5" customHeight="1" x14ac:dyDescent="0.25">
      <c r="A824" s="2"/>
      <c r="B824" s="2"/>
      <c r="C824" s="466"/>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row>
    <row r="825" spans="1:66" ht="13.5" customHeight="1" x14ac:dyDescent="0.25">
      <c r="A825" s="2"/>
      <c r="B825" s="2"/>
      <c r="C825" s="466"/>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row>
    <row r="826" spans="1:66" ht="13.5" customHeight="1" x14ac:dyDescent="0.25">
      <c r="A826" s="2"/>
      <c r="B826" s="2"/>
      <c r="C826" s="466"/>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row>
    <row r="827" spans="1:66" ht="13.5" customHeight="1" x14ac:dyDescent="0.25">
      <c r="A827" s="2"/>
      <c r="B827" s="2"/>
      <c r="C827" s="466"/>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row>
    <row r="828" spans="1:66" ht="13.5" customHeight="1" x14ac:dyDescent="0.25">
      <c r="A828" s="2"/>
      <c r="B828" s="2"/>
      <c r="C828" s="466"/>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row>
    <row r="829" spans="1:66" ht="13.5" customHeight="1" x14ac:dyDescent="0.25">
      <c r="A829" s="2"/>
      <c r="B829" s="2"/>
      <c r="C829" s="466"/>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row>
    <row r="830" spans="1:66" ht="13.5" customHeight="1" x14ac:dyDescent="0.25">
      <c r="A830" s="2"/>
      <c r="B830" s="2"/>
      <c r="C830" s="466"/>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row>
    <row r="831" spans="1:66" ht="13.5" customHeight="1" x14ac:dyDescent="0.25">
      <c r="A831" s="2"/>
      <c r="B831" s="2"/>
      <c r="C831" s="466"/>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row>
    <row r="832" spans="1:66" ht="13.5" customHeight="1" x14ac:dyDescent="0.25">
      <c r="A832" s="2"/>
      <c r="B832" s="2"/>
      <c r="C832" s="466"/>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row>
    <row r="833" spans="1:66" ht="13.5" customHeight="1" x14ac:dyDescent="0.25">
      <c r="A833" s="2"/>
      <c r="B833" s="2"/>
      <c r="C833" s="466"/>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row>
    <row r="834" spans="1:66" ht="13.5" customHeight="1" x14ac:dyDescent="0.25">
      <c r="A834" s="2"/>
      <c r="B834" s="2"/>
      <c r="C834" s="466"/>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row>
    <row r="835" spans="1:66" ht="13.5" customHeight="1" x14ac:dyDescent="0.25">
      <c r="A835" s="2"/>
      <c r="B835" s="2"/>
      <c r="C835" s="466"/>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row>
    <row r="836" spans="1:66" ht="13.5" customHeight="1" x14ac:dyDescent="0.25">
      <c r="A836" s="2"/>
      <c r="B836" s="2"/>
      <c r="C836" s="466"/>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row>
    <row r="837" spans="1:66" ht="13.5" customHeight="1" x14ac:dyDescent="0.25">
      <c r="A837" s="2"/>
      <c r="B837" s="2"/>
      <c r="C837" s="466"/>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row>
    <row r="838" spans="1:66" ht="13.5" customHeight="1" x14ac:dyDescent="0.25">
      <c r="A838" s="2"/>
      <c r="B838" s="2"/>
      <c r="C838" s="466"/>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row>
    <row r="839" spans="1:66" ht="13.5" customHeight="1" x14ac:dyDescent="0.25">
      <c r="A839" s="2"/>
      <c r="B839" s="2"/>
      <c r="C839" s="466"/>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row>
    <row r="840" spans="1:66" ht="13.5" customHeight="1" x14ac:dyDescent="0.25">
      <c r="A840" s="2"/>
      <c r="B840" s="2"/>
      <c r="C840" s="466"/>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row>
    <row r="841" spans="1:66" ht="13.5" customHeight="1" x14ac:dyDescent="0.25">
      <c r="A841" s="2"/>
      <c r="B841" s="2"/>
      <c r="C841" s="466"/>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row>
    <row r="842" spans="1:66" ht="13.5" customHeight="1" x14ac:dyDescent="0.25">
      <c r="A842" s="2"/>
      <c r="B842" s="2"/>
      <c r="C842" s="466"/>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row>
    <row r="843" spans="1:66" ht="13.5" customHeight="1" x14ac:dyDescent="0.25">
      <c r="A843" s="2"/>
      <c r="B843" s="2"/>
      <c r="C843" s="466"/>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row>
    <row r="844" spans="1:66" ht="13.5" customHeight="1" x14ac:dyDescent="0.25">
      <c r="A844" s="2"/>
      <c r="B844" s="2"/>
      <c r="C844" s="466"/>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row>
    <row r="845" spans="1:66" ht="13.5" customHeight="1" x14ac:dyDescent="0.25">
      <c r="A845" s="2"/>
      <c r="B845" s="2"/>
      <c r="C845" s="466"/>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row>
    <row r="846" spans="1:66" ht="13.5" customHeight="1" x14ac:dyDescent="0.25">
      <c r="A846" s="2"/>
      <c r="B846" s="2"/>
      <c r="C846" s="466"/>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row>
    <row r="847" spans="1:66" ht="13.5" customHeight="1" x14ac:dyDescent="0.25">
      <c r="A847" s="2"/>
      <c r="B847" s="2"/>
      <c r="C847" s="466"/>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row>
    <row r="848" spans="1:66" ht="13.5" customHeight="1" x14ac:dyDescent="0.25">
      <c r="A848" s="2"/>
      <c r="B848" s="2"/>
      <c r="C848" s="466"/>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row>
    <row r="849" spans="1:66" ht="13.5" customHeight="1" x14ac:dyDescent="0.25">
      <c r="A849" s="2"/>
      <c r="B849" s="2"/>
      <c r="C849" s="466"/>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row>
    <row r="850" spans="1:66" ht="13.5" customHeight="1" x14ac:dyDescent="0.25">
      <c r="A850" s="2"/>
      <c r="B850" s="2"/>
      <c r="C850" s="466"/>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row>
    <row r="851" spans="1:66" ht="13.5" customHeight="1" x14ac:dyDescent="0.25">
      <c r="A851" s="2"/>
      <c r="B851" s="2"/>
      <c r="C851" s="466"/>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row>
    <row r="852" spans="1:66" ht="13.5" customHeight="1" x14ac:dyDescent="0.25">
      <c r="A852" s="2"/>
      <c r="B852" s="2"/>
      <c r="C852" s="466"/>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row>
    <row r="853" spans="1:66" ht="13.5" customHeight="1" x14ac:dyDescent="0.25">
      <c r="A853" s="2"/>
      <c r="B853" s="2"/>
      <c r="C853" s="466"/>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row>
    <row r="854" spans="1:66" ht="13.5" customHeight="1" x14ac:dyDescent="0.25">
      <c r="A854" s="2"/>
      <c r="B854" s="2"/>
      <c r="C854" s="466"/>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row>
    <row r="855" spans="1:66" ht="13.5" customHeight="1" x14ac:dyDescent="0.25">
      <c r="A855" s="2"/>
      <c r="B855" s="2"/>
      <c r="C855" s="466"/>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row>
    <row r="856" spans="1:66" ht="13.5" customHeight="1" x14ac:dyDescent="0.25">
      <c r="A856" s="2"/>
      <c r="B856" s="2"/>
      <c r="C856" s="466"/>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row>
    <row r="857" spans="1:66" ht="13.5" customHeight="1" x14ac:dyDescent="0.25">
      <c r="A857" s="2"/>
      <c r="B857" s="2"/>
      <c r="C857" s="466"/>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row>
    <row r="858" spans="1:66" ht="13.5" customHeight="1" x14ac:dyDescent="0.25">
      <c r="A858" s="2"/>
      <c r="B858" s="2"/>
      <c r="C858" s="466"/>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row>
    <row r="859" spans="1:66" ht="13.5" customHeight="1" x14ac:dyDescent="0.25">
      <c r="A859" s="2"/>
      <c r="B859" s="2"/>
      <c r="C859" s="466"/>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row>
    <row r="860" spans="1:66" ht="13.5" customHeight="1" x14ac:dyDescent="0.25">
      <c r="A860" s="2"/>
      <c r="B860" s="2"/>
      <c r="C860" s="466"/>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row>
    <row r="861" spans="1:66" ht="13.5" customHeight="1" x14ac:dyDescent="0.25">
      <c r="A861" s="2"/>
      <c r="B861" s="2"/>
      <c r="C861" s="466"/>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row>
    <row r="862" spans="1:66" ht="13.5" customHeight="1" x14ac:dyDescent="0.25">
      <c r="A862" s="2"/>
      <c r="B862" s="2"/>
      <c r="C862" s="466"/>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row>
    <row r="863" spans="1:66" ht="13.5" customHeight="1" x14ac:dyDescent="0.25">
      <c r="A863" s="2"/>
      <c r="B863" s="2"/>
      <c r="C863" s="466"/>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row>
    <row r="864" spans="1:66" ht="13.5" customHeight="1" x14ac:dyDescent="0.25">
      <c r="A864" s="2"/>
      <c r="B864" s="2"/>
      <c r="C864" s="466"/>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row>
    <row r="865" spans="1:66" ht="13.5" customHeight="1" x14ac:dyDescent="0.25">
      <c r="A865" s="2"/>
      <c r="B865" s="2"/>
      <c r="C865" s="466"/>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row>
    <row r="866" spans="1:66" ht="13.5" customHeight="1" x14ac:dyDescent="0.25">
      <c r="A866" s="2"/>
      <c r="B866" s="2"/>
      <c r="C866" s="466"/>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row>
    <row r="867" spans="1:66" ht="13.5" customHeight="1" x14ac:dyDescent="0.25">
      <c r="A867" s="2"/>
      <c r="B867" s="2"/>
      <c r="C867" s="466"/>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row>
    <row r="868" spans="1:66" ht="13.5" customHeight="1" x14ac:dyDescent="0.25">
      <c r="A868" s="2"/>
      <c r="B868" s="2"/>
      <c r="C868" s="466"/>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row>
    <row r="869" spans="1:66" ht="13.5" customHeight="1" x14ac:dyDescent="0.25">
      <c r="A869" s="2"/>
      <c r="B869" s="2"/>
      <c r="C869" s="466"/>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row>
    <row r="870" spans="1:66" ht="13.5" customHeight="1" x14ac:dyDescent="0.25">
      <c r="A870" s="2"/>
      <c r="B870" s="2"/>
      <c r="C870" s="466"/>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row>
    <row r="871" spans="1:66" ht="13.5" customHeight="1" x14ac:dyDescent="0.25">
      <c r="A871" s="2"/>
      <c r="B871" s="2"/>
      <c r="C871" s="466"/>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row>
    <row r="872" spans="1:66" ht="13.5" customHeight="1" x14ac:dyDescent="0.25">
      <c r="A872" s="2"/>
      <c r="B872" s="2"/>
      <c r="C872" s="466"/>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row>
    <row r="873" spans="1:66" ht="13.5" customHeight="1" x14ac:dyDescent="0.25">
      <c r="A873" s="2"/>
      <c r="B873" s="2"/>
      <c r="C873" s="466"/>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row>
    <row r="874" spans="1:66" ht="13.5" customHeight="1" x14ac:dyDescent="0.25">
      <c r="A874" s="2"/>
      <c r="B874" s="2"/>
      <c r="C874" s="466"/>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row>
    <row r="875" spans="1:66" ht="13.5" customHeight="1" x14ac:dyDescent="0.25">
      <c r="A875" s="2"/>
      <c r="B875" s="2"/>
      <c r="C875" s="466"/>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row>
    <row r="876" spans="1:66" ht="13.5" customHeight="1" x14ac:dyDescent="0.25">
      <c r="A876" s="2"/>
      <c r="B876" s="2"/>
      <c r="C876" s="466"/>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row>
    <row r="877" spans="1:66" ht="13.5" customHeight="1" x14ac:dyDescent="0.25">
      <c r="A877" s="2"/>
      <c r="B877" s="2"/>
      <c r="C877" s="466"/>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row>
    <row r="878" spans="1:66" ht="13.5" customHeight="1" x14ac:dyDescent="0.25">
      <c r="A878" s="2"/>
      <c r="B878" s="2"/>
      <c r="C878" s="466"/>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row>
    <row r="879" spans="1:66" ht="13.5" customHeight="1" x14ac:dyDescent="0.25">
      <c r="A879" s="2"/>
      <c r="B879" s="2"/>
      <c r="C879" s="466"/>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row>
    <row r="880" spans="1:66" ht="13.5" customHeight="1" x14ac:dyDescent="0.25">
      <c r="A880" s="2"/>
      <c r="B880" s="2"/>
      <c r="C880" s="466"/>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row>
    <row r="881" spans="1:66" ht="13.5" customHeight="1" x14ac:dyDescent="0.25">
      <c r="A881" s="2"/>
      <c r="B881" s="2"/>
      <c r="C881" s="466"/>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row>
    <row r="882" spans="1:66" ht="13.5" customHeight="1" x14ac:dyDescent="0.25">
      <c r="A882" s="2"/>
      <c r="B882" s="2"/>
      <c r="C882" s="466"/>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row>
    <row r="883" spans="1:66" ht="13.5" customHeight="1" x14ac:dyDescent="0.25">
      <c r="A883" s="2"/>
      <c r="B883" s="2"/>
      <c r="C883" s="466"/>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row>
    <row r="884" spans="1:66" ht="13.5" customHeight="1" x14ac:dyDescent="0.25">
      <c r="A884" s="2"/>
      <c r="B884" s="2"/>
      <c r="C884" s="466"/>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row>
    <row r="885" spans="1:66" ht="13.5" customHeight="1" x14ac:dyDescent="0.25">
      <c r="A885" s="2"/>
      <c r="B885" s="2"/>
      <c r="C885" s="466"/>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row>
    <row r="886" spans="1:66" ht="13.5" customHeight="1" x14ac:dyDescent="0.25">
      <c r="A886" s="2"/>
      <c r="B886" s="2"/>
      <c r="C886" s="466"/>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row>
    <row r="887" spans="1:66" ht="13.5" customHeight="1" x14ac:dyDescent="0.25">
      <c r="A887" s="2"/>
      <c r="B887" s="2"/>
      <c r="C887" s="466"/>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row>
    <row r="888" spans="1:66" ht="13.5" customHeight="1" x14ac:dyDescent="0.25">
      <c r="A888" s="2"/>
      <c r="B888" s="2"/>
      <c r="C888" s="466"/>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row>
    <row r="889" spans="1:66" ht="13.5" customHeight="1" x14ac:dyDescent="0.25">
      <c r="A889" s="2"/>
      <c r="B889" s="2"/>
      <c r="C889" s="466"/>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row>
    <row r="890" spans="1:66" ht="13.5" customHeight="1" x14ac:dyDescent="0.25">
      <c r="A890" s="2"/>
      <c r="B890" s="2"/>
      <c r="C890" s="466"/>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row>
    <row r="891" spans="1:66" ht="13.5" customHeight="1" x14ac:dyDescent="0.25">
      <c r="A891" s="2"/>
      <c r="B891" s="2"/>
      <c r="C891" s="466"/>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row>
    <row r="892" spans="1:66" ht="13.5" customHeight="1" x14ac:dyDescent="0.25">
      <c r="A892" s="2"/>
      <c r="B892" s="2"/>
      <c r="C892" s="466"/>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row>
    <row r="893" spans="1:66" ht="13.5" customHeight="1" x14ac:dyDescent="0.25">
      <c r="A893" s="2"/>
      <c r="B893" s="2"/>
      <c r="C893" s="466"/>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row>
    <row r="894" spans="1:66" ht="13.5" customHeight="1" x14ac:dyDescent="0.25">
      <c r="A894" s="2"/>
      <c r="B894" s="2"/>
      <c r="C894" s="466"/>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row>
    <row r="895" spans="1:66" ht="13.5" customHeight="1" x14ac:dyDescent="0.25">
      <c r="A895" s="2"/>
      <c r="B895" s="2"/>
      <c r="C895" s="466"/>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row>
    <row r="896" spans="1:66" ht="13.5" customHeight="1" x14ac:dyDescent="0.25">
      <c r="A896" s="2"/>
      <c r="B896" s="2"/>
      <c r="C896" s="466"/>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row>
    <row r="897" spans="1:66" ht="13.5" customHeight="1" x14ac:dyDescent="0.25">
      <c r="A897" s="2"/>
      <c r="B897" s="2"/>
      <c r="C897" s="466"/>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row>
    <row r="898" spans="1:66" ht="13.5" customHeight="1" x14ac:dyDescent="0.25">
      <c r="A898" s="2"/>
      <c r="B898" s="2"/>
      <c r="C898" s="466"/>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row>
    <row r="899" spans="1:66" ht="13.5" customHeight="1" x14ac:dyDescent="0.25">
      <c r="A899" s="2"/>
      <c r="B899" s="2"/>
      <c r="C899" s="466"/>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row>
    <row r="900" spans="1:66" ht="13.5" customHeight="1" x14ac:dyDescent="0.25">
      <c r="A900" s="2"/>
      <c r="B900" s="2"/>
      <c r="C900" s="466"/>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row>
    <row r="901" spans="1:66" ht="13.5" customHeight="1" x14ac:dyDescent="0.25">
      <c r="A901" s="2"/>
      <c r="B901" s="2"/>
      <c r="C901" s="466"/>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row>
    <row r="902" spans="1:66" ht="13.5" customHeight="1" x14ac:dyDescent="0.25">
      <c r="A902" s="2"/>
      <c r="B902" s="2"/>
      <c r="C902" s="466"/>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row>
    <row r="903" spans="1:66" ht="13.5" customHeight="1" x14ac:dyDescent="0.25">
      <c r="A903" s="2"/>
      <c r="B903" s="2"/>
      <c r="C903" s="466"/>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row>
    <row r="904" spans="1:66" ht="13.5" customHeight="1" x14ac:dyDescent="0.25">
      <c r="A904" s="2"/>
      <c r="B904" s="2"/>
      <c r="C904" s="466"/>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row>
    <row r="905" spans="1:66" ht="13.5" customHeight="1" x14ac:dyDescent="0.25">
      <c r="A905" s="2"/>
      <c r="B905" s="2"/>
      <c r="C905" s="466"/>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row>
    <row r="906" spans="1:66" ht="13.5" customHeight="1" x14ac:dyDescent="0.25">
      <c r="A906" s="2"/>
      <c r="B906" s="2"/>
      <c r="C906" s="466"/>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row>
    <row r="907" spans="1:66" ht="13.5" customHeight="1" x14ac:dyDescent="0.25">
      <c r="A907" s="2"/>
      <c r="B907" s="2"/>
      <c r="C907" s="466"/>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row>
    <row r="908" spans="1:66" ht="13.5" customHeight="1" x14ac:dyDescent="0.25">
      <c r="A908" s="2"/>
      <c r="B908" s="2"/>
      <c r="C908" s="466"/>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row>
    <row r="909" spans="1:66" ht="13.5" customHeight="1" x14ac:dyDescent="0.25">
      <c r="A909" s="2"/>
      <c r="B909" s="2"/>
      <c r="C909" s="466"/>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row>
    <row r="910" spans="1:66" ht="13.5" customHeight="1" x14ac:dyDescent="0.25">
      <c r="A910" s="2"/>
      <c r="B910" s="2"/>
      <c r="C910" s="466"/>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row>
    <row r="911" spans="1:66" ht="13.5" customHeight="1" x14ac:dyDescent="0.25">
      <c r="A911" s="2"/>
      <c r="B911" s="2"/>
      <c r="C911" s="466"/>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row>
    <row r="912" spans="1:66" ht="13.5" customHeight="1" x14ac:dyDescent="0.25">
      <c r="A912" s="2"/>
      <c r="B912" s="2"/>
      <c r="C912" s="466"/>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row>
    <row r="913" spans="1:66" ht="13.5" customHeight="1" x14ac:dyDescent="0.25">
      <c r="A913" s="2"/>
      <c r="B913" s="2"/>
      <c r="C913" s="466"/>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row>
    <row r="914" spans="1:66" ht="13.5" customHeight="1" x14ac:dyDescent="0.25">
      <c r="A914" s="2"/>
      <c r="B914" s="2"/>
      <c r="C914" s="466"/>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row>
    <row r="915" spans="1:66" ht="13.5" customHeight="1" x14ac:dyDescent="0.25">
      <c r="A915" s="2"/>
      <c r="B915" s="2"/>
      <c r="C915" s="466"/>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row>
    <row r="916" spans="1:66" ht="13.5" customHeight="1" x14ac:dyDescent="0.25">
      <c r="A916" s="2"/>
      <c r="B916" s="2"/>
      <c r="C916" s="466"/>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row>
    <row r="917" spans="1:66" ht="13.5" customHeight="1" x14ac:dyDescent="0.25">
      <c r="A917" s="2"/>
      <c r="B917" s="2"/>
      <c r="C917" s="466"/>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row>
    <row r="918" spans="1:66" ht="13.5" customHeight="1" x14ac:dyDescent="0.25">
      <c r="A918" s="2"/>
      <c r="B918" s="2"/>
      <c r="C918" s="466"/>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row>
    <row r="919" spans="1:66" ht="13.5" customHeight="1" x14ac:dyDescent="0.25">
      <c r="A919" s="2"/>
      <c r="B919" s="2"/>
      <c r="C919" s="466"/>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row>
    <row r="920" spans="1:66" ht="13.5" customHeight="1" x14ac:dyDescent="0.25">
      <c r="A920" s="2"/>
      <c r="B920" s="2"/>
      <c r="C920" s="466"/>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row>
    <row r="921" spans="1:66" ht="13.5" customHeight="1" x14ac:dyDescent="0.25">
      <c r="A921" s="2"/>
      <c r="B921" s="2"/>
      <c r="C921" s="466"/>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row>
    <row r="922" spans="1:66" ht="13.5" customHeight="1" x14ac:dyDescent="0.25">
      <c r="A922" s="2"/>
      <c r="B922" s="2"/>
      <c r="C922" s="466"/>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row>
    <row r="923" spans="1:66" ht="13.5" customHeight="1" x14ac:dyDescent="0.25">
      <c r="A923" s="2"/>
      <c r="B923" s="2"/>
      <c r="C923" s="466"/>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row>
    <row r="924" spans="1:66" ht="13.5" customHeight="1" x14ac:dyDescent="0.25">
      <c r="A924" s="2"/>
      <c r="B924" s="2"/>
      <c r="C924" s="466"/>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row>
    <row r="925" spans="1:66" ht="13.5" customHeight="1" x14ac:dyDescent="0.25">
      <c r="A925" s="2"/>
      <c r="B925" s="2"/>
      <c r="C925" s="466"/>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row>
    <row r="926" spans="1:66" ht="13.5" customHeight="1" x14ac:dyDescent="0.25">
      <c r="A926" s="2"/>
      <c r="B926" s="2"/>
      <c r="C926" s="466"/>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row>
    <row r="927" spans="1:66" ht="13.5" customHeight="1" x14ac:dyDescent="0.25">
      <c r="A927" s="2"/>
      <c r="B927" s="2"/>
      <c r="C927" s="466"/>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row>
    <row r="928" spans="1:66" ht="13.5" customHeight="1" x14ac:dyDescent="0.25">
      <c r="A928" s="2"/>
      <c r="B928" s="2"/>
      <c r="C928" s="466"/>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row>
    <row r="929" spans="1:66" ht="13.5" customHeight="1" x14ac:dyDescent="0.25">
      <c r="A929" s="2"/>
      <c r="B929" s="2"/>
      <c r="C929" s="466"/>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row>
    <row r="930" spans="1:66" ht="13.5" customHeight="1" x14ac:dyDescent="0.25">
      <c r="A930" s="2"/>
      <c r="B930" s="2"/>
      <c r="C930" s="466"/>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row>
    <row r="931" spans="1:66" ht="13.5" customHeight="1" x14ac:dyDescent="0.25">
      <c r="A931" s="2"/>
      <c r="B931" s="2"/>
      <c r="C931" s="466"/>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row>
    <row r="932" spans="1:66" ht="13.5" customHeight="1" x14ac:dyDescent="0.25">
      <c r="A932" s="2"/>
      <c r="B932" s="2"/>
      <c r="C932" s="466"/>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row>
    <row r="933" spans="1:66" ht="13.5" customHeight="1" x14ac:dyDescent="0.25">
      <c r="A933" s="2"/>
      <c r="B933" s="2"/>
      <c r="C933" s="466"/>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row>
    <row r="934" spans="1:66" ht="13.5" customHeight="1" x14ac:dyDescent="0.25">
      <c r="A934" s="2"/>
      <c r="B934" s="2"/>
      <c r="C934" s="466"/>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row>
    <row r="935" spans="1:66" ht="13.5" customHeight="1" x14ac:dyDescent="0.25">
      <c r="A935" s="2"/>
      <c r="B935" s="2"/>
      <c r="C935" s="466"/>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row>
    <row r="936" spans="1:66" ht="13.5" customHeight="1" x14ac:dyDescent="0.25">
      <c r="A936" s="2"/>
      <c r="B936" s="2"/>
      <c r="C936" s="466"/>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row>
    <row r="937" spans="1:66" ht="13.5" customHeight="1" x14ac:dyDescent="0.25">
      <c r="A937" s="2"/>
      <c r="B937" s="2"/>
      <c r="C937" s="466"/>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row>
    <row r="938" spans="1:66" ht="13.5" customHeight="1" x14ac:dyDescent="0.25">
      <c r="A938" s="2"/>
      <c r="B938" s="2"/>
      <c r="C938" s="466"/>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row>
    <row r="939" spans="1:66" ht="13.5" customHeight="1" x14ac:dyDescent="0.25">
      <c r="A939" s="2"/>
      <c r="B939" s="2"/>
      <c r="C939" s="466"/>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row>
    <row r="940" spans="1:66" ht="13.5" customHeight="1" x14ac:dyDescent="0.25">
      <c r="A940" s="2"/>
      <c r="B940" s="2"/>
      <c r="C940" s="466"/>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row>
    <row r="941" spans="1:66" ht="13.5" customHeight="1" x14ac:dyDescent="0.25">
      <c r="A941" s="2"/>
      <c r="B941" s="2"/>
      <c r="C941" s="466"/>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row>
    <row r="942" spans="1:66" ht="13.5" customHeight="1" x14ac:dyDescent="0.25">
      <c r="A942" s="2"/>
      <c r="B942" s="2"/>
      <c r="C942" s="466"/>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row>
    <row r="943" spans="1:66" ht="13.5" customHeight="1" x14ac:dyDescent="0.25">
      <c r="A943" s="2"/>
      <c r="B943" s="2"/>
      <c r="C943" s="466"/>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row>
    <row r="944" spans="1:66" ht="13.5" customHeight="1" x14ac:dyDescent="0.25">
      <c r="A944" s="2"/>
      <c r="B944" s="2"/>
      <c r="C944" s="466"/>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row>
    <row r="945" spans="1:66" ht="13.5" customHeight="1" x14ac:dyDescent="0.25">
      <c r="A945" s="2"/>
      <c r="B945" s="2"/>
      <c r="C945" s="466"/>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row>
    <row r="946" spans="1:66" ht="13.5" customHeight="1" x14ac:dyDescent="0.25">
      <c r="A946" s="2"/>
      <c r="B946" s="2"/>
      <c r="C946" s="466"/>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row>
    <row r="947" spans="1:66" ht="13.5" customHeight="1" x14ac:dyDescent="0.25">
      <c r="A947" s="2"/>
      <c r="B947" s="2"/>
      <c r="C947" s="466"/>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row>
    <row r="948" spans="1:66" ht="13.5" customHeight="1" x14ac:dyDescent="0.25">
      <c r="A948" s="2"/>
      <c r="B948" s="2"/>
      <c r="C948" s="466"/>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row>
    <row r="949" spans="1:66" ht="13.5" customHeight="1" x14ac:dyDescent="0.25">
      <c r="A949" s="2"/>
      <c r="B949" s="2"/>
      <c r="C949" s="466"/>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row>
    <row r="950" spans="1:66" ht="13.5" customHeight="1" x14ac:dyDescent="0.25">
      <c r="A950" s="2"/>
      <c r="B950" s="2"/>
      <c r="C950" s="466"/>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row>
    <row r="951" spans="1:66" ht="13.5" customHeight="1" x14ac:dyDescent="0.25">
      <c r="A951" s="2"/>
      <c r="B951" s="2"/>
      <c r="C951" s="466"/>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row>
    <row r="952" spans="1:66" ht="13.5" customHeight="1" x14ac:dyDescent="0.25">
      <c r="A952" s="2"/>
      <c r="B952" s="2"/>
      <c r="C952" s="466"/>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row>
    <row r="953" spans="1:66" ht="13.5" customHeight="1" x14ac:dyDescent="0.25">
      <c r="A953" s="2"/>
      <c r="B953" s="2"/>
      <c r="C953" s="466"/>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row>
    <row r="954" spans="1:66" ht="13.5" customHeight="1" x14ac:dyDescent="0.25">
      <c r="A954" s="2"/>
      <c r="B954" s="2"/>
      <c r="C954" s="466"/>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row>
    <row r="955" spans="1:66" ht="13.5" customHeight="1" x14ac:dyDescent="0.25">
      <c r="A955" s="2"/>
      <c r="B955" s="2"/>
      <c r="C955" s="466"/>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row>
    <row r="956" spans="1:66" ht="13.5" customHeight="1" x14ac:dyDescent="0.25">
      <c r="A956" s="2"/>
      <c r="B956" s="2"/>
      <c r="C956" s="466"/>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row>
    <row r="957" spans="1:66" ht="13.5" customHeight="1" x14ac:dyDescent="0.25">
      <c r="A957" s="2"/>
      <c r="B957" s="2"/>
      <c r="C957" s="466"/>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row>
    <row r="958" spans="1:66" ht="13.5" customHeight="1" x14ac:dyDescent="0.25">
      <c r="A958" s="2"/>
      <c r="B958" s="2"/>
      <c r="C958" s="466"/>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row>
    <row r="959" spans="1:66" ht="13.5" customHeight="1" x14ac:dyDescent="0.25">
      <c r="A959" s="2"/>
      <c r="B959" s="2"/>
      <c r="C959" s="466"/>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row>
    <row r="960" spans="1:66" ht="13.5" customHeight="1" x14ac:dyDescent="0.25">
      <c r="A960" s="2"/>
      <c r="B960" s="2"/>
      <c r="C960" s="466"/>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row>
    <row r="961" spans="1:66" ht="13.5" customHeight="1" x14ac:dyDescent="0.25">
      <c r="A961" s="2"/>
      <c r="B961" s="2"/>
      <c r="C961" s="466"/>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row>
    <row r="962" spans="1:66" ht="13.5" customHeight="1" x14ac:dyDescent="0.25">
      <c r="A962" s="2"/>
      <c r="B962" s="2"/>
      <c r="C962" s="466"/>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row>
    <row r="963" spans="1:66" ht="13.5" customHeight="1" x14ac:dyDescent="0.25">
      <c r="A963" s="2"/>
      <c r="B963" s="2"/>
      <c r="C963" s="466"/>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row>
    <row r="964" spans="1:66" ht="13.5" customHeight="1" x14ac:dyDescent="0.25">
      <c r="A964" s="2"/>
      <c r="B964" s="2"/>
      <c r="C964" s="466"/>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row>
    <row r="965" spans="1:66" ht="13.5" customHeight="1" x14ac:dyDescent="0.25">
      <c r="A965" s="2"/>
      <c r="B965" s="2"/>
      <c r="C965" s="466"/>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row>
    <row r="966" spans="1:66" ht="13.5" customHeight="1" x14ac:dyDescent="0.25">
      <c r="A966" s="2"/>
      <c r="B966" s="2"/>
      <c r="C966" s="466"/>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row>
    <row r="967" spans="1:66" ht="13.5" customHeight="1" x14ac:dyDescent="0.25">
      <c r="A967" s="2"/>
      <c r="B967" s="2"/>
      <c r="C967" s="466"/>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row>
    <row r="968" spans="1:66" ht="13.5" customHeight="1" x14ac:dyDescent="0.25">
      <c r="A968" s="2"/>
      <c r="B968" s="2"/>
      <c r="C968" s="466"/>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row>
    <row r="969" spans="1:66" ht="13.5" customHeight="1" x14ac:dyDescent="0.25">
      <c r="A969" s="2"/>
      <c r="B969" s="2"/>
      <c r="C969" s="466"/>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row>
    <row r="970" spans="1:66" ht="13.5" customHeight="1" x14ac:dyDescent="0.25">
      <c r="A970" s="2"/>
      <c r="B970" s="2"/>
      <c r="C970" s="466"/>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row>
    <row r="971" spans="1:66" ht="13.5" customHeight="1" x14ac:dyDescent="0.25">
      <c r="A971" s="2"/>
      <c r="B971" s="2"/>
      <c r="C971" s="466"/>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row>
    <row r="972" spans="1:66" ht="13.5" customHeight="1" x14ac:dyDescent="0.25">
      <c r="A972" s="2"/>
      <c r="B972" s="2"/>
      <c r="C972" s="466"/>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row>
    <row r="973" spans="1:66" ht="13.5" customHeight="1" x14ac:dyDescent="0.25">
      <c r="A973" s="2"/>
      <c r="B973" s="2"/>
      <c r="C973" s="466"/>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row>
    <row r="974" spans="1:66" ht="13.5" customHeight="1" x14ac:dyDescent="0.25">
      <c r="A974" s="2"/>
      <c r="B974" s="2"/>
      <c r="C974" s="466"/>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row>
    <row r="975" spans="1:66" ht="13.5" customHeight="1" x14ac:dyDescent="0.25">
      <c r="A975" s="2"/>
      <c r="B975" s="2"/>
      <c r="C975" s="466"/>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row>
    <row r="976" spans="1:66" ht="13.5" customHeight="1" x14ac:dyDescent="0.25">
      <c r="A976" s="2"/>
      <c r="B976" s="2"/>
      <c r="C976" s="466"/>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row>
    <row r="977" spans="1:66" ht="13.5" customHeight="1" x14ac:dyDescent="0.25">
      <c r="A977" s="2"/>
      <c r="B977" s="2"/>
      <c r="C977" s="466"/>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row>
    <row r="978" spans="1:66" ht="13.5" customHeight="1" x14ac:dyDescent="0.25">
      <c r="A978" s="2"/>
      <c r="B978" s="2"/>
      <c r="C978" s="466"/>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row>
    <row r="979" spans="1:66" ht="13.5" customHeight="1" x14ac:dyDescent="0.25">
      <c r="A979" s="2"/>
      <c r="B979" s="2"/>
      <c r="C979" s="466"/>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row>
    <row r="980" spans="1:66" ht="13.5" customHeight="1" x14ac:dyDescent="0.25">
      <c r="A980" s="2"/>
      <c r="B980" s="2"/>
      <c r="C980" s="466"/>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row>
    <row r="981" spans="1:66" ht="13.5" customHeight="1" x14ac:dyDescent="0.25">
      <c r="A981" s="2"/>
      <c r="B981" s="2"/>
      <c r="C981" s="466"/>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row>
    <row r="982" spans="1:66" ht="13.5" customHeight="1" x14ac:dyDescent="0.25">
      <c r="A982" s="2"/>
      <c r="B982" s="2"/>
      <c r="C982" s="466"/>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row>
    <row r="983" spans="1:66" ht="13.5" customHeight="1" x14ac:dyDescent="0.25">
      <c r="A983" s="2"/>
      <c r="B983" s="2"/>
      <c r="C983" s="466"/>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row>
    <row r="984" spans="1:66" ht="13.5" customHeight="1" x14ac:dyDescent="0.25">
      <c r="A984" s="2"/>
      <c r="B984" s="2"/>
      <c r="C984" s="466"/>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row>
    <row r="985" spans="1:66" ht="13.5" customHeight="1" x14ac:dyDescent="0.25">
      <c r="A985" s="2"/>
      <c r="B985" s="2"/>
      <c r="C985" s="466"/>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row>
    <row r="986" spans="1:66" ht="13.5" customHeight="1" x14ac:dyDescent="0.25">
      <c r="A986" s="2"/>
      <c r="B986" s="2"/>
      <c r="C986" s="466"/>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row>
    <row r="987" spans="1:66" ht="13.5" customHeight="1" x14ac:dyDescent="0.25">
      <c r="A987" s="2"/>
      <c r="B987" s="2"/>
      <c r="C987" s="466"/>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row>
    <row r="988" spans="1:66" ht="13.5" customHeight="1" x14ac:dyDescent="0.25">
      <c r="A988" s="2"/>
      <c r="B988" s="2"/>
      <c r="C988" s="466"/>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row>
    <row r="989" spans="1:66" ht="13.5" customHeight="1" x14ac:dyDescent="0.25">
      <c r="A989" s="2"/>
      <c r="B989" s="2"/>
      <c r="C989" s="466"/>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row>
    <row r="990" spans="1:66" ht="13.5" customHeight="1" x14ac:dyDescent="0.25">
      <c r="A990" s="2"/>
      <c r="B990" s="2"/>
      <c r="C990" s="466"/>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row>
    <row r="991" spans="1:66" ht="13.5" customHeight="1" x14ac:dyDescent="0.25">
      <c r="A991" s="2"/>
      <c r="B991" s="2"/>
      <c r="C991" s="466"/>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row>
    <row r="992" spans="1:66" ht="13.5" customHeight="1" x14ac:dyDescent="0.25">
      <c r="A992" s="2"/>
      <c r="B992" s="2"/>
      <c r="C992" s="466"/>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row>
    <row r="993" spans="1:66" ht="13.5" customHeight="1" x14ac:dyDescent="0.25">
      <c r="A993" s="2"/>
      <c r="B993" s="2"/>
      <c r="C993" s="466"/>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row>
    <row r="994" spans="1:66" ht="13.5" customHeight="1" x14ac:dyDescent="0.25">
      <c r="A994" s="2"/>
      <c r="B994" s="2"/>
      <c r="C994" s="466"/>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row>
    <row r="995" spans="1:66" ht="13.5" customHeight="1" x14ac:dyDescent="0.25">
      <c r="A995" s="2"/>
      <c r="B995" s="2"/>
      <c r="C995" s="466"/>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row>
    <row r="996" spans="1:66" ht="13.5" customHeight="1" x14ac:dyDescent="0.25">
      <c r="A996" s="2"/>
      <c r="B996" s="2"/>
      <c r="C996" s="466"/>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row>
  </sheetData>
  <mergeCells count="102">
    <mergeCell ref="BG7:BH7"/>
    <mergeCell ref="BI7:BJ7"/>
    <mergeCell ref="BK7:BL7"/>
    <mergeCell ref="BM7:BN7"/>
    <mergeCell ref="D4:V4"/>
    <mergeCell ref="Z4:AR4"/>
    <mergeCell ref="AV4:BN4"/>
    <mergeCell ref="Q6:T6"/>
    <mergeCell ref="AM6:AP6"/>
    <mergeCell ref="BI6:BL6"/>
    <mergeCell ref="I7:J7"/>
    <mergeCell ref="O7:P7"/>
    <mergeCell ref="Q7:R7"/>
    <mergeCell ref="S7:T7"/>
    <mergeCell ref="U7:V7"/>
    <mergeCell ref="AE7:AF7"/>
    <mergeCell ref="AG7:AH7"/>
    <mergeCell ref="AI7:AJ7"/>
    <mergeCell ref="AK7:AL7"/>
    <mergeCell ref="K7:L7"/>
    <mergeCell ref="M7:N7"/>
    <mergeCell ref="BE7:BF7"/>
    <mergeCell ref="BE22:BG22"/>
    <mergeCell ref="BH22:BJ22"/>
    <mergeCell ref="BK22:BL22"/>
    <mergeCell ref="BM22:BN22"/>
    <mergeCell ref="S22:T22"/>
    <mergeCell ref="U22:V22"/>
    <mergeCell ref="Z22:AB22"/>
    <mergeCell ref="AC22:AE22"/>
    <mergeCell ref="AF22:AH22"/>
    <mergeCell ref="AI22:AK22"/>
    <mergeCell ref="AL22:AN22"/>
    <mergeCell ref="AV22:AX22"/>
    <mergeCell ref="AY22:BA22"/>
    <mergeCell ref="BB22:BD22"/>
    <mergeCell ref="D44:V44"/>
    <mergeCell ref="Q45:S45"/>
    <mergeCell ref="BM46:BN46"/>
    <mergeCell ref="AE46:AF46"/>
    <mergeCell ref="AG46:AH46"/>
    <mergeCell ref="AI46:AJ46"/>
    <mergeCell ref="AK46:AL46"/>
    <mergeCell ref="AM46:AN46"/>
    <mergeCell ref="AO46:AP46"/>
    <mergeCell ref="AQ46:AR46"/>
    <mergeCell ref="I46:J46"/>
    <mergeCell ref="K46:L46"/>
    <mergeCell ref="M46:N46"/>
    <mergeCell ref="Z62:AB62"/>
    <mergeCell ref="AC62:AE62"/>
    <mergeCell ref="AF62:AH62"/>
    <mergeCell ref="AI62:AK62"/>
    <mergeCell ref="AL62:AN62"/>
    <mergeCell ref="AO62:AP62"/>
    <mergeCell ref="AQ62:AR62"/>
    <mergeCell ref="AI63:AK63"/>
    <mergeCell ref="D62:F62"/>
    <mergeCell ref="G62:I62"/>
    <mergeCell ref="J62:L62"/>
    <mergeCell ref="M62:O62"/>
    <mergeCell ref="P62:R62"/>
    <mergeCell ref="S62:T62"/>
    <mergeCell ref="U62:V62"/>
    <mergeCell ref="BE23:BG23"/>
    <mergeCell ref="M63:O63"/>
    <mergeCell ref="AV62:AX62"/>
    <mergeCell ref="AY62:BA62"/>
    <mergeCell ref="BB62:BD62"/>
    <mergeCell ref="BE62:BG62"/>
    <mergeCell ref="O46:P46"/>
    <mergeCell ref="Q46:R46"/>
    <mergeCell ref="S46:T46"/>
    <mergeCell ref="U46:V46"/>
    <mergeCell ref="Z44:AR44"/>
    <mergeCell ref="AV44:BN44"/>
    <mergeCell ref="AM45:AO45"/>
    <mergeCell ref="BI45:BK45"/>
    <mergeCell ref="BA46:BB46"/>
    <mergeCell ref="BC46:BD46"/>
    <mergeCell ref="BE46:BF46"/>
    <mergeCell ref="BG46:BH46"/>
    <mergeCell ref="BI46:BJ46"/>
    <mergeCell ref="BK46:BL46"/>
    <mergeCell ref="BH62:BJ62"/>
    <mergeCell ref="BK62:BL62"/>
    <mergeCell ref="BM62:BN62"/>
    <mergeCell ref="BE63:BG63"/>
    <mergeCell ref="D22:F22"/>
    <mergeCell ref="G22:I22"/>
    <mergeCell ref="J22:L22"/>
    <mergeCell ref="M22:O22"/>
    <mergeCell ref="P22:R22"/>
    <mergeCell ref="AI23:AK23"/>
    <mergeCell ref="AM7:AN7"/>
    <mergeCell ref="AO7:AP7"/>
    <mergeCell ref="BC7:BD7"/>
    <mergeCell ref="AO22:AP22"/>
    <mergeCell ref="AQ22:AR22"/>
    <mergeCell ref="AQ7:AR7"/>
    <mergeCell ref="BA7:BB7"/>
    <mergeCell ref="M23:O23"/>
  </mergeCells>
  <pageMargins left="0.7" right="0.7" top="0.75" bottom="0.75" header="0" footer="0"/>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60000"/>
  </sheetPr>
  <dimension ref="A1:AC1000"/>
  <sheetViews>
    <sheetView showGridLines="0" zoomScale="80" zoomScaleNormal="80" workbookViewId="0">
      <pane ySplit="8" topLeftCell="A9" activePane="bottomLeft" state="frozen"/>
      <selection pane="bottomLeft"/>
    </sheetView>
  </sheetViews>
  <sheetFormatPr defaultColWidth="14.42578125" defaultRowHeight="15" customHeight="1" outlineLevelRow="1" x14ac:dyDescent="0.25"/>
  <cols>
    <col min="1" max="1" width="1.7109375" customWidth="1"/>
    <col min="2" max="2" width="33.5703125" customWidth="1"/>
    <col min="3" max="3" width="9.140625" customWidth="1"/>
    <col min="4" max="4" width="7.85546875" customWidth="1"/>
    <col min="5" max="5" width="44.42578125" customWidth="1"/>
    <col min="6" max="6" width="12.140625" customWidth="1"/>
    <col min="7" max="7" width="18.5703125" customWidth="1"/>
    <col min="8" max="9" width="9.140625" customWidth="1"/>
    <col min="11" max="11" width="29" customWidth="1"/>
    <col min="12" max="12" width="34.5703125" customWidth="1"/>
    <col min="13" max="13" width="48.5703125" customWidth="1"/>
    <col min="14" max="14" width="32" customWidth="1"/>
    <col min="15" max="29" width="9.140625" customWidth="1"/>
  </cols>
  <sheetData>
    <row r="1" spans="1:29" ht="18" customHeight="1" x14ac:dyDescent="0.25">
      <c r="A1" s="9"/>
      <c r="B1" s="9"/>
      <c r="C1" s="9"/>
      <c r="D1" s="9"/>
      <c r="E1" s="9"/>
      <c r="F1" s="9"/>
      <c r="G1" s="9"/>
      <c r="H1" s="581"/>
      <c r="I1" s="581"/>
      <c r="J1" s="581"/>
      <c r="K1" s="581"/>
      <c r="L1" s="581"/>
      <c r="M1" s="581"/>
      <c r="N1" s="581"/>
      <c r="O1" s="581"/>
      <c r="P1" s="581"/>
      <c r="Q1" s="581"/>
      <c r="R1" s="581"/>
      <c r="S1" s="581"/>
      <c r="T1" s="581"/>
      <c r="U1" s="9"/>
      <c r="V1" s="9"/>
      <c r="W1" s="9"/>
      <c r="X1" s="9"/>
      <c r="Y1" s="9"/>
      <c r="Z1" s="9"/>
      <c r="AA1" s="9"/>
      <c r="AB1" s="9"/>
      <c r="AC1" s="9"/>
    </row>
    <row r="2" spans="1:29" ht="12.75" customHeight="1" x14ac:dyDescent="0.25">
      <c r="A2" s="9"/>
      <c r="B2" s="9" t="s">
        <v>546</v>
      </c>
      <c r="C2" s="9"/>
      <c r="D2" s="9"/>
      <c r="E2" s="9"/>
      <c r="F2" s="9"/>
      <c r="G2" s="9"/>
      <c r="H2" s="581"/>
      <c r="I2" s="581"/>
      <c r="J2" s="581"/>
      <c r="K2" s="581"/>
      <c r="L2" s="581">
        <v>1</v>
      </c>
      <c r="M2" s="581"/>
      <c r="N2" s="581"/>
      <c r="O2" s="581"/>
      <c r="P2" s="581"/>
      <c r="Q2" s="581"/>
      <c r="R2" s="581"/>
      <c r="S2" s="581"/>
      <c r="T2" s="581"/>
      <c r="U2" s="9"/>
      <c r="V2" s="9"/>
      <c r="W2" s="9"/>
      <c r="X2" s="9"/>
      <c r="Y2" s="9"/>
      <c r="Z2" s="9"/>
      <c r="AA2" s="9"/>
      <c r="AB2" s="9"/>
      <c r="AC2" s="582" t="str">
        <f>_xll.ciqfunctions.udf.CIQ("3304","iq_ev_over_ltm_ebitda")</f>
        <v>(Invalid Identifier)</v>
      </c>
    </row>
    <row r="3" spans="1:29" ht="12.75" customHeight="1" x14ac:dyDescent="0.25">
      <c r="A3" s="9"/>
      <c r="B3" s="9" t="s">
        <v>547</v>
      </c>
      <c r="C3" s="9"/>
      <c r="D3" s="9"/>
      <c r="E3" s="9"/>
      <c r="F3" s="9"/>
      <c r="G3" s="9"/>
      <c r="H3" s="581"/>
      <c r="I3" s="581"/>
      <c r="J3" s="581"/>
      <c r="K3" s="581"/>
      <c r="L3" s="581">
        <f t="shared" ref="L3:L6" si="0">L2+1</f>
        <v>2</v>
      </c>
      <c r="M3" s="581"/>
      <c r="N3" s="581"/>
      <c r="O3" s="581"/>
      <c r="P3" s="581"/>
      <c r="Q3" s="581"/>
      <c r="R3" s="581"/>
      <c r="S3" s="581"/>
      <c r="T3" s="581"/>
      <c r="U3" s="9"/>
      <c r="V3" s="9"/>
      <c r="W3" s="9"/>
      <c r="X3" s="9"/>
      <c r="Y3" s="9"/>
      <c r="Z3" s="9"/>
      <c r="AA3" s="9"/>
      <c r="AB3" s="9"/>
      <c r="AC3" s="9"/>
    </row>
    <row r="4" spans="1:29" ht="12.75" customHeight="1" x14ac:dyDescent="0.25">
      <c r="A4" s="9"/>
      <c r="B4" s="9" t="s">
        <v>548</v>
      </c>
      <c r="C4" s="9"/>
      <c r="D4" s="9"/>
      <c r="E4" s="9"/>
      <c r="F4" s="9"/>
      <c r="G4" s="9"/>
      <c r="H4" s="581"/>
      <c r="I4" s="581"/>
      <c r="J4" s="581"/>
      <c r="K4" s="581"/>
      <c r="L4" s="581">
        <f t="shared" si="0"/>
        <v>3</v>
      </c>
      <c r="M4" s="581"/>
      <c r="N4" s="581"/>
      <c r="O4" s="581"/>
      <c r="P4" s="581"/>
      <c r="Q4" s="581"/>
      <c r="R4" s="581"/>
      <c r="S4" s="581"/>
      <c r="T4" s="581"/>
      <c r="U4" s="9"/>
      <c r="V4" s="9"/>
      <c r="W4" s="9"/>
      <c r="X4" s="9"/>
      <c r="Y4" s="9"/>
      <c r="Z4" s="9"/>
      <c r="AA4" s="9"/>
      <c r="AB4" s="9"/>
      <c r="AC4" s="9"/>
    </row>
    <row r="5" spans="1:29" ht="12.75" customHeight="1" x14ac:dyDescent="0.25">
      <c r="A5" s="9"/>
      <c r="B5" s="9" t="s">
        <v>549</v>
      </c>
      <c r="C5" s="9"/>
      <c r="D5" s="9"/>
      <c r="E5" s="9"/>
      <c r="F5" s="9"/>
      <c r="G5" s="9"/>
      <c r="H5" s="581"/>
      <c r="I5" s="581"/>
      <c r="J5" s="581"/>
      <c r="K5" s="581"/>
      <c r="L5" s="581">
        <f t="shared" si="0"/>
        <v>4</v>
      </c>
      <c r="M5" s="581"/>
      <c r="N5" s="581"/>
      <c r="O5" s="581"/>
      <c r="P5" s="581"/>
      <c r="Q5" s="581"/>
      <c r="R5" s="581"/>
      <c r="S5" s="581"/>
      <c r="T5" s="581"/>
      <c r="U5" s="9"/>
      <c r="V5" s="9"/>
      <c r="W5" s="9"/>
      <c r="X5" s="9"/>
      <c r="Y5" s="9"/>
      <c r="Z5" s="9"/>
      <c r="AA5" s="9"/>
      <c r="AB5" s="9"/>
      <c r="AC5" s="9"/>
    </row>
    <row r="6" spans="1:29" ht="12.75" customHeight="1" x14ac:dyDescent="0.25">
      <c r="A6" s="9"/>
      <c r="B6" s="9"/>
      <c r="C6" s="9"/>
      <c r="D6" s="9"/>
      <c r="E6" s="9"/>
      <c r="F6" s="9"/>
      <c r="G6" s="9"/>
      <c r="H6" s="581"/>
      <c r="I6" s="581"/>
      <c r="J6" s="581"/>
      <c r="K6" s="581"/>
      <c r="L6" s="581">
        <f t="shared" si="0"/>
        <v>5</v>
      </c>
      <c r="M6" s="581"/>
      <c r="N6" s="581"/>
      <c r="O6" s="581"/>
      <c r="P6" s="581"/>
      <c r="Q6" s="581"/>
      <c r="R6" s="581"/>
      <c r="S6" s="581"/>
      <c r="T6" s="581"/>
      <c r="U6" s="9"/>
      <c r="V6" s="9"/>
      <c r="W6" s="9"/>
      <c r="X6" s="9"/>
      <c r="Y6" s="9"/>
      <c r="Z6" s="9"/>
      <c r="AA6" s="9"/>
      <c r="AB6" s="9"/>
      <c r="AC6" s="9"/>
    </row>
    <row r="7" spans="1:29" ht="12.75" customHeight="1" x14ac:dyDescent="0.25">
      <c r="A7" s="9"/>
      <c r="B7" s="9" t="s">
        <v>550</v>
      </c>
      <c r="C7" s="9"/>
      <c r="D7" s="9"/>
      <c r="E7" s="9"/>
      <c r="F7" s="9"/>
      <c r="G7" s="9"/>
      <c r="H7" s="581"/>
      <c r="I7" s="581"/>
      <c r="J7" s="581"/>
      <c r="K7" s="581"/>
      <c r="L7" s="581"/>
      <c r="M7" s="581"/>
      <c r="N7" s="581"/>
      <c r="O7" s="581"/>
      <c r="P7" s="581"/>
      <c r="Q7" s="581"/>
      <c r="R7" s="581"/>
      <c r="S7" s="581"/>
      <c r="T7" s="581"/>
      <c r="U7" s="9"/>
      <c r="V7" s="9"/>
      <c r="W7" s="9"/>
      <c r="X7" s="9"/>
      <c r="Y7" s="9"/>
      <c r="Z7" s="9"/>
      <c r="AA7" s="9"/>
      <c r="AB7" s="9"/>
      <c r="AC7" s="9"/>
    </row>
    <row r="8" spans="1:29" ht="25.5" customHeight="1" x14ac:dyDescent="0.25">
      <c r="A8" s="9"/>
      <c r="B8" s="989" t="s">
        <v>551</v>
      </c>
      <c r="C8" s="944"/>
      <c r="D8" s="944"/>
      <c r="E8" s="944"/>
      <c r="F8" s="944"/>
      <c r="G8" s="944"/>
      <c r="H8" s="581"/>
      <c r="I8" s="581"/>
      <c r="J8" s="581"/>
      <c r="K8" s="581"/>
      <c r="L8" s="581"/>
      <c r="M8" s="581"/>
      <c r="N8" s="581"/>
      <c r="O8" s="581"/>
      <c r="P8" s="581"/>
      <c r="Q8" s="581"/>
      <c r="R8" s="581"/>
      <c r="S8" s="581"/>
      <c r="T8" s="581"/>
      <c r="U8" s="9"/>
      <c r="V8" s="9"/>
      <c r="W8" s="9"/>
      <c r="X8" s="9"/>
      <c r="Y8" s="9"/>
      <c r="Z8" s="9"/>
      <c r="AA8" s="9"/>
      <c r="AB8" s="9"/>
      <c r="AC8" s="9"/>
    </row>
    <row r="9" spans="1:29" ht="31.5" customHeight="1" x14ac:dyDescent="0.55000000000000004">
      <c r="A9" s="9"/>
      <c r="B9" s="583" t="s">
        <v>552</v>
      </c>
      <c r="C9" s="583"/>
      <c r="D9" s="584"/>
      <c r="E9" s="584"/>
      <c r="F9" s="584"/>
      <c r="G9" s="584"/>
      <c r="H9" s="581"/>
      <c r="I9" s="581"/>
      <c r="J9" s="9"/>
      <c r="K9" s="9"/>
      <c r="L9" s="9"/>
      <c r="M9" s="9"/>
      <c r="N9" s="9"/>
      <c r="O9" s="9"/>
      <c r="P9" s="9"/>
      <c r="Q9" s="9"/>
      <c r="R9" s="9"/>
      <c r="S9" s="9"/>
      <c r="T9" s="9"/>
      <c r="U9" s="9"/>
      <c r="V9" s="9"/>
      <c r="W9" s="9"/>
      <c r="X9" s="9"/>
      <c r="Y9" s="9"/>
      <c r="Z9" s="9"/>
      <c r="AA9" s="9"/>
      <c r="AB9" s="9"/>
      <c r="AC9" s="9"/>
    </row>
    <row r="10" spans="1:29" ht="12.75" customHeight="1" x14ac:dyDescent="0.25">
      <c r="A10" s="9"/>
      <c r="B10" s="9"/>
      <c r="C10" s="9"/>
      <c r="D10" s="9"/>
      <c r="E10" s="9"/>
      <c r="F10" s="9"/>
      <c r="G10" s="9"/>
      <c r="H10" s="581"/>
      <c r="I10" s="581"/>
      <c r="J10" s="9"/>
      <c r="K10" s="9"/>
      <c r="L10" s="9"/>
      <c r="M10" s="9"/>
      <c r="N10" s="9"/>
      <c r="O10" s="9"/>
      <c r="P10" s="9"/>
      <c r="Q10" s="9"/>
      <c r="R10" s="9"/>
      <c r="S10" s="9"/>
      <c r="T10" s="9"/>
      <c r="U10" s="9"/>
      <c r="V10" s="9"/>
      <c r="W10" s="9"/>
      <c r="X10" s="9"/>
      <c r="Y10" s="9"/>
      <c r="Z10" s="9"/>
      <c r="AA10" s="9"/>
      <c r="AB10" s="9"/>
      <c r="AC10" s="9"/>
    </row>
    <row r="11" spans="1:29" ht="12.75" customHeight="1" x14ac:dyDescent="0.25">
      <c r="A11" s="9"/>
      <c r="B11" s="585"/>
      <c r="C11" s="585" t="s">
        <v>553</v>
      </c>
      <c r="D11" s="585" t="s">
        <v>554</v>
      </c>
      <c r="E11" s="585"/>
      <c r="F11" s="585"/>
      <c r="G11" s="585"/>
      <c r="H11" s="581"/>
      <c r="I11" s="581"/>
      <c r="J11" s="9"/>
      <c r="K11" s="9"/>
      <c r="L11" s="9"/>
      <c r="M11" s="9"/>
      <c r="N11" s="9"/>
      <c r="O11" s="9"/>
      <c r="P11" s="9"/>
      <c r="Q11" s="9"/>
      <c r="R11" s="9"/>
      <c r="S11" s="9"/>
      <c r="T11" s="9"/>
      <c r="U11" s="9"/>
      <c r="V11" s="9"/>
      <c r="W11" s="9"/>
      <c r="X11" s="9"/>
      <c r="Y11" s="9"/>
      <c r="Z11" s="9"/>
      <c r="AA11" s="9"/>
      <c r="AB11" s="9"/>
      <c r="AC11" s="9"/>
    </row>
    <row r="12" spans="1:29" ht="12.75" customHeight="1" x14ac:dyDescent="0.25">
      <c r="A12" s="9"/>
      <c r="B12" s="586" t="s">
        <v>555</v>
      </c>
      <c r="C12" s="586" t="s">
        <v>556</v>
      </c>
      <c r="D12" s="586" t="s">
        <v>557</v>
      </c>
      <c r="E12" s="586" t="s">
        <v>558</v>
      </c>
      <c r="F12" s="586" t="s">
        <v>559</v>
      </c>
      <c r="G12" s="586" t="s">
        <v>22</v>
      </c>
      <c r="H12" s="581"/>
      <c r="I12" s="581"/>
      <c r="J12" s="9"/>
      <c r="K12" s="9">
        <f t="shared" ref="K12:O12" si="1">J12+1</f>
        <v>1</v>
      </c>
      <c r="L12" s="9">
        <f t="shared" si="1"/>
        <v>2</v>
      </c>
      <c r="M12" s="9">
        <f t="shared" si="1"/>
        <v>3</v>
      </c>
      <c r="N12" s="9">
        <f t="shared" si="1"/>
        <v>4</v>
      </c>
      <c r="O12" s="9">
        <f t="shared" si="1"/>
        <v>5</v>
      </c>
      <c r="P12" s="581"/>
      <c r="Q12" s="581">
        <f t="shared" ref="Q12:U12" si="2">P12+1</f>
        <v>1</v>
      </c>
      <c r="R12" s="581">
        <f t="shared" si="2"/>
        <v>2</v>
      </c>
      <c r="S12" s="581">
        <f t="shared" si="2"/>
        <v>3</v>
      </c>
      <c r="T12" s="581">
        <f t="shared" si="2"/>
        <v>4</v>
      </c>
      <c r="U12" s="581">
        <f t="shared" si="2"/>
        <v>5</v>
      </c>
      <c r="V12" s="9"/>
      <c r="W12" s="9"/>
      <c r="X12" s="9"/>
      <c r="Y12" s="9"/>
      <c r="Z12" s="9"/>
      <c r="AA12" s="9"/>
      <c r="AB12" s="9"/>
      <c r="AC12" s="9"/>
    </row>
    <row r="13" spans="1:29" ht="12.75" hidden="1" customHeight="1" outlineLevel="1" x14ac:dyDescent="0.25">
      <c r="A13" s="9"/>
      <c r="B13" s="573" t="s">
        <v>560</v>
      </c>
      <c r="C13" s="439" t="str">
        <f t="shared" ref="C13:C30" si="3">IF(J13="","",IFERROR(MATCH(B13,$K13:O13,0),"NO"))</f>
        <v>NO</v>
      </c>
      <c r="D13" s="573">
        <v>1</v>
      </c>
      <c r="E13" s="9" t="str">
        <f t="shared" ref="E13:E30" si="4">IF(INDEX($K13:$O13,,MATCH($D13,$K$12:$O$12,0))=0,"No Result",INDEX($K13:$O13,,MATCH($D13,$K$12:$O$12,0)))</f>
        <v>No Result</v>
      </c>
      <c r="F13" s="9" t="str">
        <f t="shared" ref="F13:F30" si="5">IF(INDEX($Q13:$U13,,MATCH($D13,$Q$12:$U$12,0))=0,"",INDEX($Q13:$U13,,MATCH($D13,$Q$12:$U$12,0)))</f>
        <v/>
      </c>
      <c r="G13" s="395" t="str">
        <f t="shared" ref="G13:G30" si="6">IF(OR(_xll.ciqfunctions.udf.CIQ($F13,"IQ_COMPANY_TICKER")=0,_xll.ciqfunctions.udf.CIQ($F13,"IQ_COMPANY_TICKER")="(Invalid Identifier)"),"-",_xll.ciqfunctions.udf.CIQ($F13,"IQ_COMPANY_TICKER"))</f>
        <v>-</v>
      </c>
      <c r="H13" s="581"/>
      <c r="I13" s="581"/>
      <c r="J13" s="9" t="str">
        <f t="shared" ref="J13:J30" si="7">_xll.ciqfunctions.udf.CIQRANGEA($B13,"IQ_COMPANY_NAME_QUICK_MATCH",1,5,,,,,,,"NAME")</f>
        <v>(Invalid Identifier)</v>
      </c>
      <c r="K13" s="9"/>
      <c r="L13" s="9"/>
      <c r="M13" s="9"/>
      <c r="N13" s="9"/>
      <c r="O13" s="581"/>
      <c r="P13" s="581" t="str">
        <f t="shared" ref="P13:P30" si="8">_xll.ciqfunctions.udf.CIQRANGEA($B13,"IQ_COMPANY_ID_QUICK_MATCH",1,5,,,,,,,"ID")</f>
        <v>(Invalid Identifier)</v>
      </c>
      <c r="Q13" s="581"/>
      <c r="R13" s="581"/>
      <c r="S13" s="581"/>
      <c r="T13" s="581"/>
      <c r="U13" s="581"/>
      <c r="V13" s="9"/>
      <c r="W13" s="9"/>
      <c r="X13" s="9"/>
      <c r="Y13" s="9"/>
      <c r="Z13" s="9"/>
      <c r="AA13" s="9"/>
      <c r="AB13" s="9"/>
      <c r="AC13" s="9"/>
    </row>
    <row r="14" spans="1:29" ht="12.75" customHeight="1" collapsed="1" x14ac:dyDescent="0.25">
      <c r="A14" s="9"/>
      <c r="B14" s="573" t="s">
        <v>817</v>
      </c>
      <c r="C14" s="439" t="str">
        <f t="shared" si="3"/>
        <v>NO</v>
      </c>
      <c r="D14" s="573">
        <v>1</v>
      </c>
      <c r="E14" s="9" t="str">
        <f t="shared" si="4"/>
        <v>American Express Company</v>
      </c>
      <c r="F14" s="9" t="str">
        <f t="shared" si="5"/>
        <v>IQ92001</v>
      </c>
      <c r="G14" s="395" t="str">
        <f t="shared" si="6"/>
        <v>NYSE:AXP</v>
      </c>
      <c r="H14" s="581"/>
      <c r="I14" s="581"/>
      <c r="J14" s="9" t="str">
        <f t="shared" si="7"/>
        <v>NAME</v>
      </c>
      <c r="K14" s="9" t="s">
        <v>853</v>
      </c>
      <c r="L14" s="9" t="s">
        <v>854</v>
      </c>
      <c r="M14" s="9" t="s">
        <v>855</v>
      </c>
      <c r="N14" s="9" t="s">
        <v>856</v>
      </c>
      <c r="O14" s="581" t="s">
        <v>857</v>
      </c>
      <c r="P14" s="581" t="str">
        <f t="shared" si="8"/>
        <v>ID</v>
      </c>
      <c r="Q14" s="581" t="s">
        <v>858</v>
      </c>
      <c r="R14" s="581" t="s">
        <v>859</v>
      </c>
      <c r="S14" s="581" t="s">
        <v>860</v>
      </c>
      <c r="T14" s="581" t="s">
        <v>861</v>
      </c>
      <c r="U14" s="581" t="s">
        <v>862</v>
      </c>
      <c r="V14" s="9"/>
      <c r="W14" s="9"/>
      <c r="X14" s="9"/>
      <c r="Y14" s="9"/>
      <c r="Z14" s="9"/>
      <c r="AA14" s="9"/>
      <c r="AB14" s="9"/>
      <c r="AC14" s="9"/>
    </row>
    <row r="15" spans="1:29" ht="12.75" customHeight="1" x14ac:dyDescent="0.25">
      <c r="A15" s="9"/>
      <c r="B15" s="573" t="s">
        <v>918</v>
      </c>
      <c r="C15" s="439" t="str">
        <f t="shared" si="3"/>
        <v>NO</v>
      </c>
      <c r="D15" s="573">
        <v>1</v>
      </c>
      <c r="E15" s="9" t="str">
        <f t="shared" si="4"/>
        <v>Visa Inc.</v>
      </c>
      <c r="F15" s="9" t="str">
        <f t="shared" si="5"/>
        <v>IQ38043467</v>
      </c>
      <c r="G15" s="395" t="str">
        <f t="shared" si="6"/>
        <v>NYSE:V</v>
      </c>
      <c r="H15" s="581"/>
      <c r="I15" s="581"/>
      <c r="J15" s="9" t="str">
        <f t="shared" si="7"/>
        <v>NAME</v>
      </c>
      <c r="K15" s="9" t="s">
        <v>919</v>
      </c>
      <c r="L15" s="9" t="s">
        <v>920</v>
      </c>
      <c r="M15" s="9" t="s">
        <v>921</v>
      </c>
      <c r="N15" s="9" t="s">
        <v>922</v>
      </c>
      <c r="O15" s="581" t="s">
        <v>923</v>
      </c>
      <c r="P15" s="581" t="str">
        <f t="shared" si="8"/>
        <v>ID</v>
      </c>
      <c r="Q15" s="581" t="s">
        <v>924</v>
      </c>
      <c r="R15" s="581" t="s">
        <v>925</v>
      </c>
      <c r="S15" s="581" t="s">
        <v>926</v>
      </c>
      <c r="T15" s="581" t="s">
        <v>927</v>
      </c>
      <c r="U15" s="581" t="s">
        <v>928</v>
      </c>
      <c r="V15" s="9"/>
      <c r="W15" s="9"/>
      <c r="X15" s="9"/>
      <c r="Y15" s="9"/>
      <c r="Z15" s="9"/>
      <c r="AA15" s="9"/>
      <c r="AB15" s="9"/>
      <c r="AC15" s="9"/>
    </row>
    <row r="16" spans="1:29" ht="12.75" customHeight="1" x14ac:dyDescent="0.25">
      <c r="A16" s="9"/>
      <c r="B16" s="573" t="s">
        <v>929</v>
      </c>
      <c r="C16" s="439" t="str">
        <f t="shared" si="3"/>
        <v>NO</v>
      </c>
      <c r="D16" s="573">
        <v>1</v>
      </c>
      <c r="E16" s="9" t="str">
        <f t="shared" si="4"/>
        <v>Mastercard Incorporated</v>
      </c>
      <c r="F16" s="9" t="str">
        <f t="shared" si="5"/>
        <v>IQ6477196</v>
      </c>
      <c r="G16" s="395" t="str">
        <f t="shared" si="6"/>
        <v>NYSE:MA</v>
      </c>
      <c r="H16" s="581"/>
      <c r="I16" s="581"/>
      <c r="J16" s="9" t="str">
        <f t="shared" si="7"/>
        <v>NAME</v>
      </c>
      <c r="K16" s="9" t="s">
        <v>930</v>
      </c>
      <c r="L16" s="9" t="s">
        <v>931</v>
      </c>
      <c r="M16" s="9" t="s">
        <v>932</v>
      </c>
      <c r="N16" s="9" t="s">
        <v>933</v>
      </c>
      <c r="O16" s="581" t="s">
        <v>934</v>
      </c>
      <c r="P16" s="581" t="str">
        <f t="shared" si="8"/>
        <v>ID</v>
      </c>
      <c r="Q16" s="581" t="s">
        <v>935</v>
      </c>
      <c r="R16" s="581" t="s">
        <v>936</v>
      </c>
      <c r="S16" s="581" t="s">
        <v>937</v>
      </c>
      <c r="T16" s="581" t="s">
        <v>938</v>
      </c>
      <c r="U16" s="581" t="s">
        <v>939</v>
      </c>
      <c r="V16" s="9"/>
      <c r="W16" s="9"/>
      <c r="X16" s="9"/>
      <c r="Y16" s="9"/>
      <c r="Z16" s="9"/>
      <c r="AA16" s="9"/>
      <c r="AB16" s="9"/>
      <c r="AC16" s="9"/>
    </row>
    <row r="17" spans="1:29" ht="12.75" customHeight="1" x14ac:dyDescent="0.25">
      <c r="A17" s="9"/>
      <c r="B17" s="573" t="s">
        <v>940</v>
      </c>
      <c r="C17" s="439">
        <f t="shared" si="3"/>
        <v>2</v>
      </c>
      <c r="D17" s="573">
        <v>1</v>
      </c>
      <c r="E17" s="9" t="str">
        <f t="shared" si="4"/>
        <v>Capital One Financial Corporation</v>
      </c>
      <c r="F17" s="9" t="str">
        <f t="shared" si="5"/>
        <v>IQ336241</v>
      </c>
      <c r="G17" s="395" t="str">
        <f t="shared" si="6"/>
        <v>NYSE:COF</v>
      </c>
      <c r="H17" s="581"/>
      <c r="I17" s="581"/>
      <c r="J17" s="9" t="str">
        <f t="shared" si="7"/>
        <v>NAME</v>
      </c>
      <c r="K17" s="9" t="s">
        <v>941</v>
      </c>
      <c r="L17" s="9" t="s">
        <v>942</v>
      </c>
      <c r="M17" s="9" t="s">
        <v>943</v>
      </c>
      <c r="N17" s="9" t="s">
        <v>944</v>
      </c>
      <c r="O17" s="581" t="s">
        <v>945</v>
      </c>
      <c r="P17" s="581" t="str">
        <f t="shared" si="8"/>
        <v>ID</v>
      </c>
      <c r="Q17" s="581" t="s">
        <v>946</v>
      </c>
      <c r="R17" s="581" t="s">
        <v>947</v>
      </c>
      <c r="S17" s="581" t="s">
        <v>948</v>
      </c>
      <c r="T17" s="581" t="s">
        <v>949</v>
      </c>
      <c r="U17" s="581" t="s">
        <v>950</v>
      </c>
      <c r="V17" s="9"/>
      <c r="W17" s="9"/>
      <c r="X17" s="9"/>
      <c r="Y17" s="9"/>
      <c r="Z17" s="9"/>
      <c r="AA17" s="9"/>
      <c r="AB17" s="9"/>
      <c r="AC17" s="9"/>
    </row>
    <row r="18" spans="1:29" ht="12.75" customHeight="1" x14ac:dyDescent="0.25">
      <c r="A18" s="9"/>
      <c r="B18" s="573" t="s">
        <v>951</v>
      </c>
      <c r="C18" s="439" t="str">
        <f t="shared" si="3"/>
        <v>NO</v>
      </c>
      <c r="D18" s="573">
        <v>1</v>
      </c>
      <c r="E18" s="9" t="str">
        <f t="shared" si="4"/>
        <v>JPMorgan Chase &amp; Co.</v>
      </c>
      <c r="F18" s="9" t="str">
        <f t="shared" si="5"/>
        <v>IQ658776</v>
      </c>
      <c r="G18" s="395" t="str">
        <f t="shared" si="6"/>
        <v>NYSE:JPM</v>
      </c>
      <c r="H18" s="581"/>
      <c r="I18" s="581"/>
      <c r="J18" s="9" t="str">
        <f t="shared" si="7"/>
        <v>NAME</v>
      </c>
      <c r="K18" s="9" t="s">
        <v>952</v>
      </c>
      <c r="L18" s="9" t="s">
        <v>953</v>
      </c>
      <c r="M18" s="9" t="s">
        <v>954</v>
      </c>
      <c r="N18" s="9" t="s">
        <v>955</v>
      </c>
      <c r="O18" s="581" t="s">
        <v>956</v>
      </c>
      <c r="P18" s="581" t="str">
        <f t="shared" si="8"/>
        <v>ID</v>
      </c>
      <c r="Q18" s="581" t="s">
        <v>957</v>
      </c>
      <c r="R18" s="581" t="s">
        <v>958</v>
      </c>
      <c r="S18" s="581" t="s">
        <v>959</v>
      </c>
      <c r="T18" s="581" t="s">
        <v>960</v>
      </c>
      <c r="U18" s="581" t="s">
        <v>961</v>
      </c>
      <c r="V18" s="9"/>
      <c r="W18" s="9"/>
      <c r="X18" s="9"/>
      <c r="Y18" s="9"/>
      <c r="Z18" s="9"/>
      <c r="AA18" s="9"/>
      <c r="AB18" s="9"/>
      <c r="AC18" s="9"/>
    </row>
    <row r="19" spans="1:29" ht="12.75" customHeight="1" x14ac:dyDescent="0.25">
      <c r="A19" s="9"/>
      <c r="B19" s="573" t="s">
        <v>561</v>
      </c>
      <c r="C19" s="439">
        <f t="shared" si="3"/>
        <v>1</v>
      </c>
      <c r="D19" s="573">
        <v>1</v>
      </c>
      <c r="E19" s="9" t="str">
        <f t="shared" si="4"/>
        <v>Emerson Electric Co.</v>
      </c>
      <c r="F19" s="9" t="str">
        <f t="shared" si="5"/>
        <v>IQ269231</v>
      </c>
      <c r="G19" s="395" t="str">
        <f t="shared" si="6"/>
        <v>NYSE:EMR</v>
      </c>
      <c r="H19" s="581"/>
      <c r="I19" s="581"/>
      <c r="J19" s="9" t="str">
        <f t="shared" si="7"/>
        <v>NAME</v>
      </c>
      <c r="K19" s="9" t="s">
        <v>561</v>
      </c>
      <c r="L19" s="9" t="s">
        <v>563</v>
      </c>
      <c r="M19" s="9" t="s">
        <v>863</v>
      </c>
      <c r="N19" s="9" t="s">
        <v>864</v>
      </c>
      <c r="O19" s="581" t="s">
        <v>562</v>
      </c>
      <c r="P19" s="581" t="str">
        <f t="shared" si="8"/>
        <v>ID</v>
      </c>
      <c r="Q19" s="581" t="s">
        <v>545</v>
      </c>
      <c r="R19" s="581" t="s">
        <v>565</v>
      </c>
      <c r="S19" s="581" t="s">
        <v>865</v>
      </c>
      <c r="T19" s="581" t="s">
        <v>866</v>
      </c>
      <c r="U19" s="581" t="s">
        <v>564</v>
      </c>
      <c r="V19" s="9"/>
      <c r="W19" s="9"/>
      <c r="X19" s="9"/>
      <c r="Y19" s="9"/>
      <c r="Z19" s="9"/>
      <c r="AA19" s="9"/>
      <c r="AB19" s="9"/>
      <c r="AC19" s="9"/>
    </row>
    <row r="20" spans="1:29" ht="12.75" customHeight="1" x14ac:dyDescent="0.25">
      <c r="A20" s="9"/>
      <c r="B20" s="573" t="s">
        <v>527</v>
      </c>
      <c r="C20" s="439">
        <f t="shared" si="3"/>
        <v>2</v>
      </c>
      <c r="D20" s="573">
        <v>1</v>
      </c>
      <c r="E20" s="9" t="str">
        <f t="shared" si="4"/>
        <v>Apple Inc.</v>
      </c>
      <c r="F20" s="9" t="str">
        <f t="shared" si="5"/>
        <v>IQ24937</v>
      </c>
      <c r="G20" s="395" t="str">
        <f t="shared" si="6"/>
        <v>NasdaqGS:AAPL</v>
      </c>
      <c r="H20" s="581"/>
      <c r="I20" s="581"/>
      <c r="J20" s="9" t="str">
        <f t="shared" si="7"/>
        <v>NAME</v>
      </c>
      <c r="K20" s="9" t="s">
        <v>566</v>
      </c>
      <c r="L20" s="9" t="s">
        <v>527</v>
      </c>
      <c r="M20" s="9" t="s">
        <v>568</v>
      </c>
      <c r="N20" s="9" t="s">
        <v>567</v>
      </c>
      <c r="O20" s="581" t="s">
        <v>566</v>
      </c>
      <c r="P20" s="581" t="str">
        <f t="shared" si="8"/>
        <v>ID</v>
      </c>
      <c r="Q20" s="581" t="s">
        <v>569</v>
      </c>
      <c r="R20" s="581" t="s">
        <v>570</v>
      </c>
      <c r="S20" s="581" t="s">
        <v>572</v>
      </c>
      <c r="T20" s="581" t="s">
        <v>571</v>
      </c>
      <c r="U20" s="581" t="s">
        <v>573</v>
      </c>
      <c r="V20" s="9"/>
      <c r="W20" s="9"/>
      <c r="X20" s="9"/>
      <c r="Y20" s="9"/>
      <c r="Z20" s="9"/>
      <c r="AA20" s="9"/>
      <c r="AB20" s="9"/>
      <c r="AC20" s="9"/>
    </row>
    <row r="21" spans="1:29" ht="12.75" customHeight="1" x14ac:dyDescent="0.25">
      <c r="A21" s="9"/>
      <c r="B21" s="573" t="s">
        <v>574</v>
      </c>
      <c r="C21" s="439" t="str">
        <f t="shared" si="3"/>
        <v>NO</v>
      </c>
      <c r="D21" s="573">
        <v>1</v>
      </c>
      <c r="E21" s="9" t="str">
        <f t="shared" si="4"/>
        <v>Oracle Corporation</v>
      </c>
      <c r="F21" s="9" t="str">
        <f t="shared" si="5"/>
        <v>IQ22247</v>
      </c>
      <c r="G21" s="395" t="str">
        <f t="shared" si="6"/>
        <v>NYSE:ORCL</v>
      </c>
      <c r="H21" s="581"/>
      <c r="I21" s="581"/>
      <c r="J21" s="9" t="str">
        <f t="shared" si="7"/>
        <v>NAME</v>
      </c>
      <c r="K21" s="9" t="s">
        <v>575</v>
      </c>
      <c r="L21" s="9" t="s">
        <v>576</v>
      </c>
      <c r="M21" s="9" t="s">
        <v>867</v>
      </c>
      <c r="N21" s="9" t="s">
        <v>577</v>
      </c>
      <c r="O21" s="581" t="s">
        <v>868</v>
      </c>
      <c r="P21" s="581" t="str">
        <f t="shared" si="8"/>
        <v>ID</v>
      </c>
      <c r="Q21" s="581" t="s">
        <v>578</v>
      </c>
      <c r="R21" s="581" t="s">
        <v>579</v>
      </c>
      <c r="S21" s="581" t="s">
        <v>869</v>
      </c>
      <c r="T21" s="581" t="s">
        <v>580</v>
      </c>
      <c r="U21" s="581" t="s">
        <v>870</v>
      </c>
      <c r="V21" s="9"/>
      <c r="W21" s="9"/>
      <c r="X21" s="9"/>
      <c r="Y21" s="9"/>
      <c r="Z21" s="9"/>
      <c r="AA21" s="9"/>
      <c r="AB21" s="9"/>
      <c r="AC21" s="9"/>
    </row>
    <row r="22" spans="1:29" ht="12.75" customHeight="1" x14ac:dyDescent="0.25">
      <c r="A22" s="9"/>
      <c r="B22" s="573" t="s">
        <v>581</v>
      </c>
      <c r="C22" s="439" t="str">
        <f t="shared" si="3"/>
        <v>NO</v>
      </c>
      <c r="D22" s="573">
        <v>1</v>
      </c>
      <c r="E22" s="9" t="str">
        <f t="shared" si="4"/>
        <v>Citrix Systems, Inc.</v>
      </c>
      <c r="F22" s="9" t="str">
        <f t="shared" si="5"/>
        <v>IQ26524</v>
      </c>
      <c r="G22" s="395" t="str">
        <f t="shared" si="6"/>
        <v>NasdaqGM:CTXS</v>
      </c>
      <c r="H22" s="581"/>
      <c r="I22" s="581"/>
      <c r="J22" s="9" t="str">
        <f t="shared" si="7"/>
        <v>NAME</v>
      </c>
      <c r="K22" s="9" t="s">
        <v>582</v>
      </c>
      <c r="L22" s="9" t="s">
        <v>583</v>
      </c>
      <c r="M22" s="9" t="s">
        <v>871</v>
      </c>
      <c r="N22" s="9" t="s">
        <v>872</v>
      </c>
      <c r="O22" s="581" t="s">
        <v>873</v>
      </c>
      <c r="P22" s="581" t="str">
        <f t="shared" si="8"/>
        <v>ID</v>
      </c>
      <c r="Q22" s="581" t="s">
        <v>584</v>
      </c>
      <c r="R22" s="581" t="s">
        <v>585</v>
      </c>
      <c r="S22" s="581" t="s">
        <v>874</v>
      </c>
      <c r="T22" s="581" t="s">
        <v>875</v>
      </c>
      <c r="U22" s="581" t="s">
        <v>876</v>
      </c>
      <c r="V22" s="9"/>
      <c r="W22" s="9"/>
      <c r="X22" s="9"/>
      <c r="Y22" s="9"/>
      <c r="Z22" s="9"/>
      <c r="AA22" s="9"/>
      <c r="AB22" s="9"/>
      <c r="AC22" s="9"/>
    </row>
    <row r="23" spans="1:29" ht="12.75" customHeight="1" x14ac:dyDescent="0.25">
      <c r="A23" s="9"/>
      <c r="B23" s="573" t="s">
        <v>586</v>
      </c>
      <c r="C23" s="439" t="str">
        <f t="shared" si="3"/>
        <v>NO</v>
      </c>
      <c r="D23" s="573">
        <v>1</v>
      </c>
      <c r="E23" s="9" t="str">
        <f t="shared" si="4"/>
        <v>Cyren Ltd.</v>
      </c>
      <c r="F23" s="9" t="str">
        <f t="shared" si="5"/>
        <v>IQ26767</v>
      </c>
      <c r="G23" s="395" t="str">
        <f t="shared" si="6"/>
        <v>OTCPK:CYRN.Q</v>
      </c>
      <c r="H23" s="581"/>
      <c r="I23" s="581"/>
      <c r="J23" s="9" t="str">
        <f t="shared" si="7"/>
        <v>NAME</v>
      </c>
      <c r="K23" s="9" t="s">
        <v>587</v>
      </c>
      <c r="L23" s="9" t="s">
        <v>588</v>
      </c>
      <c r="M23" s="9" t="s">
        <v>588</v>
      </c>
      <c r="N23" s="9" t="s">
        <v>588</v>
      </c>
      <c r="O23" s="581" t="s">
        <v>877</v>
      </c>
      <c r="P23" s="581" t="str">
        <f t="shared" si="8"/>
        <v>ID</v>
      </c>
      <c r="Q23" s="581" t="s">
        <v>589</v>
      </c>
      <c r="R23" s="581" t="s">
        <v>878</v>
      </c>
      <c r="S23" s="581" t="s">
        <v>879</v>
      </c>
      <c r="T23" s="581" t="s">
        <v>880</v>
      </c>
      <c r="U23" s="581" t="s">
        <v>881</v>
      </c>
      <c r="V23" s="9"/>
      <c r="W23" s="9"/>
      <c r="X23" s="9"/>
      <c r="Y23" s="9"/>
      <c r="Z23" s="9"/>
      <c r="AA23" s="9"/>
      <c r="AB23" s="9"/>
      <c r="AC23" s="9"/>
    </row>
    <row r="24" spans="1:29" ht="12.75" customHeight="1" x14ac:dyDescent="0.25">
      <c r="A24" s="9"/>
      <c r="B24" s="573" t="s">
        <v>590</v>
      </c>
      <c r="C24" s="439" t="str">
        <f t="shared" si="3"/>
        <v>NO</v>
      </c>
      <c r="D24" s="573">
        <v>1</v>
      </c>
      <c r="E24" s="9" t="str">
        <f t="shared" si="4"/>
        <v>Commvault Systems, Inc.</v>
      </c>
      <c r="F24" s="9" t="str">
        <f t="shared" si="5"/>
        <v>IQ26789</v>
      </c>
      <c r="G24" s="395" t="str">
        <f t="shared" si="6"/>
        <v>NasdaqGS:CVLT</v>
      </c>
      <c r="H24" s="581"/>
      <c r="I24" s="581"/>
      <c r="J24" s="9" t="str">
        <f t="shared" si="7"/>
        <v>NAME</v>
      </c>
      <c r="K24" s="9" t="s">
        <v>591</v>
      </c>
      <c r="L24" s="9" t="s">
        <v>593</v>
      </c>
      <c r="M24" s="9" t="s">
        <v>882</v>
      </c>
      <c r="N24" s="9" t="s">
        <v>592</v>
      </c>
      <c r="O24" s="581" t="s">
        <v>883</v>
      </c>
      <c r="P24" s="581" t="str">
        <f t="shared" si="8"/>
        <v>ID</v>
      </c>
      <c r="Q24" s="581" t="s">
        <v>594</v>
      </c>
      <c r="R24" s="581" t="s">
        <v>596</v>
      </c>
      <c r="S24" s="581" t="s">
        <v>884</v>
      </c>
      <c r="T24" s="581" t="s">
        <v>595</v>
      </c>
      <c r="U24" s="581" t="s">
        <v>885</v>
      </c>
      <c r="V24" s="9"/>
      <c r="W24" s="9"/>
      <c r="X24" s="9"/>
      <c r="Y24" s="9"/>
      <c r="Z24" s="9"/>
      <c r="AA24" s="9"/>
      <c r="AB24" s="9"/>
      <c r="AC24" s="9"/>
    </row>
    <row r="25" spans="1:29" ht="12.75" customHeight="1" x14ac:dyDescent="0.25">
      <c r="A25" s="9"/>
      <c r="B25" s="573" t="s">
        <v>597</v>
      </c>
      <c r="C25" s="439">
        <f t="shared" si="3"/>
        <v>1</v>
      </c>
      <c r="D25" s="573">
        <v>1</v>
      </c>
      <c r="E25" s="9" t="str">
        <f t="shared" si="4"/>
        <v>eGain Corporation</v>
      </c>
      <c r="F25" s="9" t="str">
        <f t="shared" si="5"/>
        <v>IQ27928</v>
      </c>
      <c r="G25" s="395" t="str">
        <f t="shared" si="6"/>
        <v>NasdaqCM:EGAN</v>
      </c>
      <c r="H25" s="581"/>
      <c r="I25" s="581"/>
      <c r="J25" s="9" t="str">
        <f t="shared" si="7"/>
        <v>NAME</v>
      </c>
      <c r="K25" s="9" t="s">
        <v>597</v>
      </c>
      <c r="L25" s="9" t="s">
        <v>886</v>
      </c>
      <c r="M25" s="9" t="s">
        <v>887</v>
      </c>
      <c r="N25" s="9" t="s">
        <v>888</v>
      </c>
      <c r="O25" s="581" t="s">
        <v>889</v>
      </c>
      <c r="P25" s="581" t="str">
        <f t="shared" si="8"/>
        <v>ID</v>
      </c>
      <c r="Q25" s="581" t="s">
        <v>598</v>
      </c>
      <c r="R25" s="581" t="s">
        <v>890</v>
      </c>
      <c r="S25" s="581" t="s">
        <v>891</v>
      </c>
      <c r="T25" s="581" t="s">
        <v>892</v>
      </c>
      <c r="U25" s="581" t="s">
        <v>893</v>
      </c>
      <c r="V25" s="9"/>
      <c r="W25" s="9"/>
      <c r="X25" s="9"/>
      <c r="Y25" s="9"/>
      <c r="Z25" s="9"/>
      <c r="AA25" s="9"/>
      <c r="AB25" s="9"/>
      <c r="AC25" s="9"/>
    </row>
    <row r="26" spans="1:29" ht="12.75" customHeight="1" x14ac:dyDescent="0.25">
      <c r="A26" s="9"/>
      <c r="B26" s="573" t="s">
        <v>599</v>
      </c>
      <c r="C26" s="439">
        <f t="shared" si="3"/>
        <v>4</v>
      </c>
      <c r="D26" s="573">
        <v>1</v>
      </c>
      <c r="E26" s="9" t="str">
        <f t="shared" si="4"/>
        <v>Harmonic Inc.</v>
      </c>
      <c r="F26" s="9" t="str">
        <f t="shared" si="5"/>
        <v>IQ29282</v>
      </c>
      <c r="G26" s="395" t="str">
        <f t="shared" si="6"/>
        <v>NasdaqGS:HLIT</v>
      </c>
      <c r="H26" s="581"/>
      <c r="I26" s="581"/>
      <c r="J26" s="9" t="str">
        <f t="shared" si="7"/>
        <v>NAME</v>
      </c>
      <c r="K26" s="9" t="s">
        <v>600</v>
      </c>
      <c r="L26" s="9" t="s">
        <v>601</v>
      </c>
      <c r="M26" s="9" t="s">
        <v>894</v>
      </c>
      <c r="N26" s="9" t="s">
        <v>599</v>
      </c>
      <c r="O26" s="581" t="s">
        <v>895</v>
      </c>
      <c r="P26" s="581" t="str">
        <f t="shared" si="8"/>
        <v>ID</v>
      </c>
      <c r="Q26" s="581" t="s">
        <v>602</v>
      </c>
      <c r="R26" s="581" t="s">
        <v>603</v>
      </c>
      <c r="S26" s="581" t="s">
        <v>896</v>
      </c>
      <c r="T26" s="581" t="s">
        <v>897</v>
      </c>
      <c r="U26" s="581" t="s">
        <v>898</v>
      </c>
      <c r="V26" s="9"/>
      <c r="W26" s="9"/>
      <c r="X26" s="9"/>
      <c r="Y26" s="9"/>
      <c r="Z26" s="9"/>
      <c r="AA26" s="9"/>
      <c r="AB26" s="9"/>
      <c r="AC26" s="9"/>
    </row>
    <row r="27" spans="1:29" ht="12.75" customHeight="1" x14ac:dyDescent="0.25">
      <c r="A27" s="9"/>
      <c r="B27" s="573" t="s">
        <v>604</v>
      </c>
      <c r="C27" s="439" t="str">
        <f t="shared" si="3"/>
        <v>NO</v>
      </c>
      <c r="D27" s="573">
        <v>1</v>
      </c>
      <c r="E27" s="9" t="str">
        <f t="shared" si="4"/>
        <v>NetApp, Inc.</v>
      </c>
      <c r="F27" s="9" t="str">
        <f t="shared" si="5"/>
        <v>IQ32052</v>
      </c>
      <c r="G27" s="395" t="str">
        <f t="shared" si="6"/>
        <v>NasdaqGS:NTAP</v>
      </c>
      <c r="H27" s="581"/>
      <c r="I27" s="581"/>
      <c r="J27" s="9" t="str">
        <f t="shared" si="7"/>
        <v>NAME</v>
      </c>
      <c r="K27" s="9" t="s">
        <v>605</v>
      </c>
      <c r="L27" s="9" t="s">
        <v>606</v>
      </c>
      <c r="M27" s="9" t="s">
        <v>899</v>
      </c>
      <c r="N27" s="9" t="s">
        <v>900</v>
      </c>
      <c r="O27" s="581" t="s">
        <v>901</v>
      </c>
      <c r="P27" s="581" t="str">
        <f t="shared" si="8"/>
        <v>ID</v>
      </c>
      <c r="Q27" s="581" t="s">
        <v>607</v>
      </c>
      <c r="R27" s="581" t="s">
        <v>608</v>
      </c>
      <c r="S27" s="581" t="s">
        <v>902</v>
      </c>
      <c r="T27" s="581" t="s">
        <v>903</v>
      </c>
      <c r="U27" s="581" t="s">
        <v>904</v>
      </c>
      <c r="V27" s="9"/>
      <c r="W27" s="9"/>
      <c r="X27" s="9"/>
      <c r="Y27" s="9"/>
      <c r="Z27" s="9"/>
      <c r="AA27" s="9"/>
      <c r="AB27" s="9"/>
      <c r="AC27" s="9"/>
    </row>
    <row r="28" spans="1:29" ht="12.75" customHeight="1" x14ac:dyDescent="0.25">
      <c r="A28" s="9"/>
      <c r="B28" s="573" t="s">
        <v>609</v>
      </c>
      <c r="C28" s="439" t="str">
        <f t="shared" si="3"/>
        <v>NO</v>
      </c>
      <c r="D28" s="573">
        <v>1</v>
      </c>
      <c r="E28" s="9" t="str">
        <f t="shared" si="4"/>
        <v>Inseego Corp.</v>
      </c>
      <c r="F28" s="9" t="str">
        <f t="shared" si="5"/>
        <v>IQ32261</v>
      </c>
      <c r="G28" s="395" t="str">
        <f t="shared" si="6"/>
        <v>NasdaqGS:INSG</v>
      </c>
      <c r="H28" s="581"/>
      <c r="I28" s="581"/>
      <c r="J28" s="9" t="str">
        <f t="shared" si="7"/>
        <v>NAME</v>
      </c>
      <c r="K28" s="9" t="s">
        <v>610</v>
      </c>
      <c r="L28" s="9" t="s">
        <v>905</v>
      </c>
      <c r="M28" s="9" t="s">
        <v>906</v>
      </c>
      <c r="N28" s="9" t="s">
        <v>907</v>
      </c>
      <c r="O28" s="581" t="s">
        <v>908</v>
      </c>
      <c r="P28" s="581" t="str">
        <f t="shared" si="8"/>
        <v>ID</v>
      </c>
      <c r="Q28" s="581" t="s">
        <v>611</v>
      </c>
      <c r="R28" s="581" t="s">
        <v>909</v>
      </c>
      <c r="S28" s="581" t="s">
        <v>910</v>
      </c>
      <c r="T28" s="581" t="s">
        <v>911</v>
      </c>
      <c r="U28" s="581" t="s">
        <v>912</v>
      </c>
      <c r="V28" s="9"/>
      <c r="W28" s="9"/>
      <c r="X28" s="9"/>
      <c r="Y28" s="9"/>
      <c r="Z28" s="9"/>
      <c r="AA28" s="9"/>
      <c r="AB28" s="9"/>
      <c r="AC28" s="9"/>
    </row>
    <row r="29" spans="1:29" ht="12.75" customHeight="1" x14ac:dyDescent="0.25">
      <c r="A29" s="9"/>
      <c r="B29" s="573" t="s">
        <v>612</v>
      </c>
      <c r="C29" s="439" t="str">
        <f t="shared" si="3"/>
        <v>NO</v>
      </c>
      <c r="D29" s="573">
        <v>1</v>
      </c>
      <c r="E29" s="9" t="str">
        <f t="shared" si="4"/>
        <v>Intouch Insight Ltd.</v>
      </c>
      <c r="F29" s="9" t="str">
        <f t="shared" si="5"/>
        <v>IQ3160034</v>
      </c>
      <c r="G29" s="395" t="str">
        <f t="shared" si="6"/>
        <v>TSXV:INX</v>
      </c>
      <c r="H29" s="581"/>
      <c r="I29" s="581"/>
      <c r="J29" s="9" t="str">
        <f t="shared" si="7"/>
        <v>NAME</v>
      </c>
      <c r="K29" s="9" t="s">
        <v>613</v>
      </c>
      <c r="L29" s="9" t="s">
        <v>614</v>
      </c>
      <c r="M29" s="9" t="s">
        <v>913</v>
      </c>
      <c r="N29" s="9"/>
      <c r="O29" s="581"/>
      <c r="P29" s="581" t="str">
        <f t="shared" si="8"/>
        <v>ID</v>
      </c>
      <c r="Q29" s="581" t="s">
        <v>615</v>
      </c>
      <c r="R29" s="581" t="s">
        <v>616</v>
      </c>
      <c r="S29" s="581" t="s">
        <v>914</v>
      </c>
      <c r="T29" s="581"/>
      <c r="U29" s="581"/>
      <c r="V29" s="9"/>
      <c r="W29" s="9"/>
      <c r="X29" s="9"/>
      <c r="Y29" s="9"/>
      <c r="Z29" s="9"/>
      <c r="AA29" s="9"/>
      <c r="AB29" s="9"/>
      <c r="AC29" s="9"/>
    </row>
    <row r="30" spans="1:29" ht="12.75" customHeight="1" x14ac:dyDescent="0.25">
      <c r="A30" s="9"/>
      <c r="B30" s="573" t="s">
        <v>617</v>
      </c>
      <c r="C30" s="439" t="str">
        <f t="shared" si="3"/>
        <v>NO</v>
      </c>
      <c r="D30" s="573">
        <v>1</v>
      </c>
      <c r="E30" s="9" t="str">
        <f t="shared" si="4"/>
        <v>Aegis Critical Energy Defence Corp.</v>
      </c>
      <c r="F30" s="9" t="str">
        <f t="shared" si="5"/>
        <v>IQ282167789</v>
      </c>
      <c r="G30" s="395" t="str">
        <f t="shared" si="6"/>
        <v>CNSX:QESS</v>
      </c>
      <c r="H30" s="581"/>
      <c r="I30" s="581"/>
      <c r="J30" s="9" t="str">
        <f t="shared" si="7"/>
        <v>NAME</v>
      </c>
      <c r="K30" s="9" t="s">
        <v>915</v>
      </c>
      <c r="L30" s="9" t="s">
        <v>916</v>
      </c>
      <c r="M30" s="9"/>
      <c r="N30" s="9"/>
      <c r="O30" s="581"/>
      <c r="P30" s="581" t="str">
        <f t="shared" si="8"/>
        <v>ID</v>
      </c>
      <c r="Q30" s="581" t="s">
        <v>618</v>
      </c>
      <c r="R30" s="581" t="s">
        <v>917</v>
      </c>
      <c r="S30" s="581"/>
      <c r="T30" s="581"/>
      <c r="U30" s="581"/>
      <c r="V30" s="9"/>
      <c r="W30" s="9"/>
      <c r="X30" s="9"/>
      <c r="Y30" s="9"/>
      <c r="Z30" s="9"/>
      <c r="AA30" s="9"/>
      <c r="AB30" s="9"/>
      <c r="AC30" s="9"/>
    </row>
    <row r="31" spans="1:29" ht="12.75" customHeight="1" x14ac:dyDescent="0.25">
      <c r="A31" s="9"/>
      <c r="B31" s="9"/>
      <c r="C31" s="9"/>
      <c r="D31" s="9"/>
      <c r="E31" s="9"/>
      <c r="F31" s="9"/>
      <c r="G31" s="9"/>
      <c r="H31" s="581"/>
      <c r="I31" s="581"/>
      <c r="J31" s="581"/>
      <c r="K31" s="581"/>
      <c r="L31" s="581"/>
      <c r="M31" s="581"/>
      <c r="N31" s="581"/>
      <c r="O31" s="581"/>
      <c r="P31" s="581"/>
      <c r="Q31" s="581"/>
      <c r="R31" s="581"/>
      <c r="S31" s="581"/>
      <c r="T31" s="581"/>
      <c r="U31" s="9"/>
      <c r="V31" s="9"/>
      <c r="W31" s="9"/>
      <c r="X31" s="9"/>
      <c r="Y31" s="9"/>
      <c r="Z31" s="9"/>
      <c r="AA31" s="9"/>
      <c r="AB31" s="9"/>
      <c r="AC31" s="9"/>
    </row>
    <row r="32" spans="1:29" ht="12.75" customHeight="1" x14ac:dyDescent="0.25">
      <c r="A32" s="9"/>
      <c r="B32" s="9"/>
      <c r="C32" s="9"/>
      <c r="D32" s="9"/>
      <c r="E32" s="9"/>
      <c r="F32" s="9"/>
      <c r="G32" s="9"/>
      <c r="H32" s="581"/>
      <c r="I32" s="581"/>
      <c r="J32" s="581"/>
      <c r="K32" s="581"/>
      <c r="L32" s="581"/>
      <c r="M32" s="581"/>
      <c r="N32" s="581"/>
      <c r="O32" s="581"/>
      <c r="P32" s="581"/>
      <c r="Q32" s="581"/>
      <c r="R32" s="581"/>
      <c r="S32" s="581"/>
      <c r="T32" s="581"/>
      <c r="U32" s="9"/>
      <c r="V32" s="9"/>
      <c r="W32" s="9"/>
      <c r="X32" s="9"/>
      <c r="Y32" s="9"/>
      <c r="Z32" s="9"/>
      <c r="AA32" s="9"/>
      <c r="AB32" s="9"/>
      <c r="AC32" s="9"/>
    </row>
    <row r="33" spans="1:29" ht="12.75" customHeight="1" x14ac:dyDescent="0.25">
      <c r="A33" s="9"/>
      <c r="B33" s="9"/>
      <c r="C33" s="9"/>
      <c r="D33" s="9"/>
      <c r="E33" s="9"/>
      <c r="F33" s="9"/>
      <c r="G33" s="9"/>
      <c r="H33" s="581"/>
      <c r="I33" s="581"/>
      <c r="J33" s="581"/>
      <c r="K33" s="581"/>
      <c r="L33" s="581"/>
      <c r="M33" s="581"/>
      <c r="N33" s="581"/>
      <c r="O33" s="581"/>
      <c r="P33" s="581"/>
      <c r="Q33" s="581"/>
      <c r="R33" s="581"/>
      <c r="S33" s="581"/>
      <c r="T33" s="581"/>
      <c r="U33" s="9"/>
      <c r="V33" s="9"/>
      <c r="W33" s="9"/>
      <c r="X33" s="9"/>
      <c r="Y33" s="9"/>
      <c r="Z33" s="9"/>
      <c r="AA33" s="9"/>
      <c r="AB33" s="9"/>
      <c r="AC33" s="9"/>
    </row>
    <row r="34" spans="1:29" ht="12.75" customHeight="1" x14ac:dyDescent="0.25">
      <c r="A34" s="9"/>
      <c r="B34" s="9"/>
      <c r="C34" s="9"/>
      <c r="D34" s="9"/>
      <c r="E34" s="9"/>
      <c r="F34" s="9"/>
      <c r="G34" s="9"/>
      <c r="H34" s="581"/>
      <c r="I34" s="581"/>
      <c r="J34" s="581"/>
      <c r="K34" s="581"/>
      <c r="L34" s="581"/>
      <c r="M34" s="581"/>
      <c r="N34" s="581"/>
      <c r="O34" s="581"/>
      <c r="P34" s="581"/>
      <c r="Q34" s="581"/>
      <c r="R34" s="581"/>
      <c r="S34" s="581"/>
      <c r="T34" s="581"/>
      <c r="U34" s="9"/>
      <c r="V34" s="9"/>
      <c r="W34" s="9"/>
      <c r="X34" s="9"/>
      <c r="Y34" s="9"/>
      <c r="Z34" s="9"/>
      <c r="AA34" s="9"/>
      <c r="AB34" s="9"/>
      <c r="AC34" s="9"/>
    </row>
    <row r="35" spans="1:29" ht="12.75" customHeight="1" x14ac:dyDescent="0.25">
      <c r="A35" s="9"/>
      <c r="B35" s="9"/>
      <c r="C35" s="9"/>
      <c r="D35" s="9"/>
      <c r="E35" s="9"/>
      <c r="F35" s="9"/>
      <c r="G35" s="9"/>
      <c r="H35" s="581"/>
      <c r="I35" s="581"/>
      <c r="J35" s="581"/>
      <c r="K35" s="581"/>
      <c r="L35" s="581"/>
      <c r="M35" s="581"/>
      <c r="N35" s="581"/>
      <c r="O35" s="581"/>
      <c r="P35" s="581"/>
      <c r="Q35" s="581"/>
      <c r="R35" s="581"/>
      <c r="S35" s="581"/>
      <c r="T35" s="581"/>
      <c r="U35" s="9"/>
      <c r="V35" s="9"/>
      <c r="W35" s="9"/>
      <c r="X35" s="9"/>
      <c r="Y35" s="9"/>
      <c r="Z35" s="9"/>
      <c r="AA35" s="9"/>
      <c r="AB35" s="9"/>
      <c r="AC35" s="9"/>
    </row>
    <row r="36" spans="1:29" ht="12.75" customHeight="1" x14ac:dyDescent="0.25">
      <c r="A36" s="9"/>
      <c r="B36" s="9"/>
      <c r="C36" s="9"/>
      <c r="D36" s="9"/>
      <c r="E36" s="9"/>
      <c r="F36" s="9"/>
      <c r="G36" s="9"/>
      <c r="H36" s="581"/>
      <c r="I36" s="581"/>
      <c r="J36" s="581"/>
      <c r="K36" s="581"/>
      <c r="L36" s="581"/>
      <c r="M36" s="581"/>
      <c r="N36" s="581"/>
      <c r="O36" s="581"/>
      <c r="P36" s="581"/>
      <c r="Q36" s="581"/>
      <c r="R36" s="581"/>
      <c r="S36" s="581"/>
      <c r="T36" s="581"/>
      <c r="U36" s="9"/>
      <c r="V36" s="9"/>
      <c r="W36" s="9"/>
      <c r="X36" s="9"/>
      <c r="Y36" s="9"/>
      <c r="Z36" s="9"/>
      <c r="AA36" s="9"/>
      <c r="AB36" s="9"/>
      <c r="AC36" s="9"/>
    </row>
    <row r="37" spans="1:29" ht="12.75" customHeight="1" x14ac:dyDescent="0.25">
      <c r="A37" s="9"/>
      <c r="B37" s="9"/>
      <c r="C37" s="9"/>
      <c r="D37" s="9"/>
      <c r="E37" s="9"/>
      <c r="F37" s="9"/>
      <c r="G37" s="9"/>
      <c r="H37" s="581"/>
      <c r="I37" s="581"/>
      <c r="J37" s="581"/>
      <c r="K37" s="581"/>
      <c r="L37" s="581"/>
      <c r="M37" s="581"/>
      <c r="N37" s="581"/>
      <c r="O37" s="581"/>
      <c r="P37" s="581"/>
      <c r="Q37" s="581"/>
      <c r="R37" s="581"/>
      <c r="S37" s="581"/>
      <c r="T37" s="581"/>
      <c r="U37" s="9"/>
      <c r="V37" s="9"/>
      <c r="W37" s="9"/>
      <c r="X37" s="9"/>
      <c r="Y37" s="9"/>
      <c r="Z37" s="9"/>
      <c r="AA37" s="9"/>
      <c r="AB37" s="9"/>
      <c r="AC37" s="9"/>
    </row>
    <row r="38" spans="1:29" ht="12.75" customHeight="1" x14ac:dyDescent="0.25">
      <c r="A38" s="9"/>
      <c r="B38" s="9"/>
      <c r="C38" s="9"/>
      <c r="D38" s="9"/>
      <c r="E38" s="9"/>
      <c r="F38" s="9"/>
      <c r="G38" s="9"/>
      <c r="H38" s="581"/>
      <c r="I38" s="581"/>
      <c r="J38" s="581"/>
      <c r="K38" s="581"/>
      <c r="L38" s="581"/>
      <c r="M38" s="581"/>
      <c r="N38" s="581"/>
      <c r="O38" s="581"/>
      <c r="P38" s="581"/>
      <c r="Q38" s="581"/>
      <c r="R38" s="581"/>
      <c r="S38" s="581"/>
      <c r="T38" s="581"/>
      <c r="U38" s="9"/>
      <c r="V38" s="9"/>
      <c r="W38" s="9"/>
      <c r="X38" s="9"/>
      <c r="Y38" s="9"/>
      <c r="Z38" s="9"/>
      <c r="AA38" s="9"/>
      <c r="AB38" s="9"/>
      <c r="AC38" s="9"/>
    </row>
    <row r="39" spans="1:29" ht="12.75" customHeight="1" x14ac:dyDescent="0.25">
      <c r="A39" s="9"/>
      <c r="B39" s="9"/>
      <c r="C39" s="9"/>
      <c r="D39" s="9"/>
      <c r="E39" s="9"/>
      <c r="F39" s="9"/>
      <c r="G39" s="9"/>
      <c r="H39" s="581"/>
      <c r="I39" s="581"/>
      <c r="J39" s="581"/>
      <c r="K39" s="581"/>
      <c r="L39" s="581"/>
      <c r="M39" s="581"/>
      <c r="N39" s="581"/>
      <c r="O39" s="581"/>
      <c r="P39" s="581"/>
      <c r="Q39" s="581"/>
      <c r="R39" s="581"/>
      <c r="S39" s="581"/>
      <c r="T39" s="581"/>
      <c r="U39" s="9"/>
      <c r="V39" s="9"/>
      <c r="W39" s="9"/>
      <c r="X39" s="9"/>
      <c r="Y39" s="9"/>
      <c r="Z39" s="9"/>
      <c r="AA39" s="9"/>
      <c r="AB39" s="9"/>
      <c r="AC39" s="9"/>
    </row>
    <row r="40" spans="1:29" ht="12.75" customHeight="1" x14ac:dyDescent="0.25">
      <c r="A40" s="9"/>
      <c r="B40" s="9"/>
      <c r="C40" s="9"/>
      <c r="D40" s="9"/>
      <c r="E40" s="9"/>
      <c r="F40" s="9"/>
      <c r="G40" s="9"/>
      <c r="H40" s="581"/>
      <c r="I40" s="581"/>
      <c r="J40" s="581"/>
      <c r="K40" s="581"/>
      <c r="L40" s="581"/>
      <c r="M40" s="581"/>
      <c r="N40" s="581"/>
      <c r="O40" s="581"/>
      <c r="P40" s="581"/>
      <c r="Q40" s="581"/>
      <c r="R40" s="581"/>
      <c r="S40" s="581"/>
      <c r="T40" s="581"/>
      <c r="U40" s="9"/>
      <c r="V40" s="9"/>
      <c r="W40" s="9"/>
      <c r="X40" s="9"/>
      <c r="Y40" s="9"/>
      <c r="Z40" s="9"/>
      <c r="AA40" s="9"/>
      <c r="AB40" s="9"/>
      <c r="AC40" s="9"/>
    </row>
    <row r="41" spans="1:29" ht="12.75" customHeight="1" x14ac:dyDescent="0.25">
      <c r="A41" s="9"/>
      <c r="B41" s="9"/>
      <c r="C41" s="9"/>
      <c r="D41" s="9"/>
      <c r="E41" s="9"/>
      <c r="F41" s="9"/>
      <c r="G41" s="9"/>
      <c r="H41" s="581"/>
      <c r="I41" s="581"/>
      <c r="J41" s="581"/>
      <c r="K41" s="581"/>
      <c r="L41" s="581"/>
      <c r="M41" s="581"/>
      <c r="N41" s="581"/>
      <c r="O41" s="581"/>
      <c r="P41" s="581"/>
      <c r="Q41" s="581"/>
      <c r="R41" s="581"/>
      <c r="S41" s="581"/>
      <c r="T41" s="581"/>
      <c r="U41" s="9"/>
      <c r="V41" s="9"/>
      <c r="W41" s="9"/>
      <c r="X41" s="9"/>
      <c r="Y41" s="9"/>
      <c r="Z41" s="9"/>
      <c r="AA41" s="9"/>
      <c r="AB41" s="9"/>
      <c r="AC41" s="9"/>
    </row>
    <row r="42" spans="1:29" ht="12.75" customHeight="1" x14ac:dyDescent="0.25">
      <c r="A42" s="9"/>
      <c r="B42" s="9"/>
      <c r="C42" s="9"/>
      <c r="D42" s="9"/>
      <c r="E42" s="9"/>
      <c r="F42" s="9"/>
      <c r="G42" s="9"/>
      <c r="H42" s="581"/>
      <c r="I42" s="581"/>
      <c r="J42" s="581"/>
      <c r="K42" s="581"/>
      <c r="L42" s="581"/>
      <c r="M42" s="581"/>
      <c r="N42" s="581"/>
      <c r="O42" s="581"/>
      <c r="P42" s="581"/>
      <c r="Q42" s="581"/>
      <c r="R42" s="581"/>
      <c r="S42" s="581"/>
      <c r="T42" s="581"/>
      <c r="U42" s="9"/>
      <c r="V42" s="9"/>
      <c r="W42" s="9"/>
      <c r="X42" s="9"/>
      <c r="Y42" s="9"/>
      <c r="Z42" s="9"/>
      <c r="AA42" s="9"/>
      <c r="AB42" s="9"/>
      <c r="AC42" s="9"/>
    </row>
    <row r="43" spans="1:29" ht="12.75" customHeight="1" x14ac:dyDescent="0.25">
      <c r="A43" s="9"/>
      <c r="B43" s="9"/>
      <c r="C43" s="9"/>
      <c r="D43" s="9"/>
      <c r="E43" s="9"/>
      <c r="F43" s="9"/>
      <c r="G43" s="9"/>
      <c r="H43" s="581"/>
      <c r="I43" s="581"/>
      <c r="J43" s="581"/>
      <c r="K43" s="581"/>
      <c r="L43" s="581"/>
      <c r="M43" s="581"/>
      <c r="N43" s="581"/>
      <c r="O43" s="581"/>
      <c r="P43" s="581"/>
      <c r="Q43" s="581"/>
      <c r="R43" s="581"/>
      <c r="S43" s="581"/>
      <c r="T43" s="581"/>
      <c r="U43" s="9"/>
      <c r="V43" s="9"/>
      <c r="W43" s="9"/>
      <c r="X43" s="9"/>
      <c r="Y43" s="9"/>
      <c r="Z43" s="9"/>
      <c r="AA43" s="9"/>
      <c r="AB43" s="9"/>
      <c r="AC43" s="9"/>
    </row>
    <row r="44" spans="1:29" ht="12.75" customHeight="1" x14ac:dyDescent="0.25">
      <c r="A44" s="9"/>
      <c r="B44" s="9"/>
      <c r="C44" s="9"/>
      <c r="D44" s="9"/>
      <c r="E44" s="9"/>
      <c r="F44" s="9"/>
      <c r="G44" s="9"/>
      <c r="H44" s="581"/>
      <c r="I44" s="581"/>
      <c r="J44" s="581"/>
      <c r="K44" s="581"/>
      <c r="L44" s="581"/>
      <c r="M44" s="581"/>
      <c r="N44" s="581"/>
      <c r="O44" s="581"/>
      <c r="P44" s="581"/>
      <c r="Q44" s="581"/>
      <c r="R44" s="581"/>
      <c r="S44" s="581"/>
      <c r="T44" s="581"/>
      <c r="U44" s="9"/>
      <c r="V44" s="9"/>
      <c r="W44" s="9"/>
      <c r="X44" s="9"/>
      <c r="Y44" s="9"/>
      <c r="Z44" s="9"/>
      <c r="AA44" s="9"/>
      <c r="AB44" s="9"/>
      <c r="AC44" s="9"/>
    </row>
    <row r="45" spans="1:29" ht="12.75" customHeight="1" x14ac:dyDescent="0.25">
      <c r="A45" s="9"/>
      <c r="B45" s="9"/>
      <c r="C45" s="9"/>
      <c r="D45" s="9"/>
      <c r="E45" s="9"/>
      <c r="F45" s="9"/>
      <c r="G45" s="9"/>
      <c r="H45" s="581"/>
      <c r="I45" s="581"/>
      <c r="J45" s="581"/>
      <c r="K45" s="581"/>
      <c r="L45" s="581"/>
      <c r="M45" s="581"/>
      <c r="N45" s="581"/>
      <c r="O45" s="581"/>
      <c r="P45" s="581"/>
      <c r="Q45" s="581"/>
      <c r="R45" s="581"/>
      <c r="S45" s="581"/>
      <c r="T45" s="581"/>
      <c r="U45" s="9"/>
      <c r="V45" s="9"/>
      <c r="W45" s="9"/>
      <c r="X45" s="9"/>
      <c r="Y45" s="9"/>
      <c r="Z45" s="9"/>
      <c r="AA45" s="9"/>
      <c r="AB45" s="9"/>
      <c r="AC45" s="9"/>
    </row>
    <row r="46" spans="1:29" ht="12.75" customHeight="1" x14ac:dyDescent="0.25">
      <c r="A46" s="9"/>
      <c r="B46" s="9"/>
      <c r="C46" s="9"/>
      <c r="D46" s="9"/>
      <c r="E46" s="9"/>
      <c r="F46" s="9"/>
      <c r="G46" s="9"/>
      <c r="H46" s="581"/>
      <c r="I46" s="581"/>
      <c r="J46" s="581"/>
      <c r="K46" s="581"/>
      <c r="L46" s="581"/>
      <c r="M46" s="581"/>
      <c r="N46" s="581"/>
      <c r="O46" s="581"/>
      <c r="P46" s="581"/>
      <c r="Q46" s="581"/>
      <c r="R46" s="581"/>
      <c r="S46" s="581"/>
      <c r="T46" s="581"/>
      <c r="U46" s="9"/>
      <c r="V46" s="9"/>
      <c r="W46" s="9"/>
      <c r="X46" s="9"/>
      <c r="Y46" s="9"/>
      <c r="Z46" s="9"/>
      <c r="AA46" s="9"/>
      <c r="AB46" s="9"/>
      <c r="AC46" s="9"/>
    </row>
    <row r="47" spans="1:29" ht="12.75" customHeight="1" x14ac:dyDescent="0.25">
      <c r="A47" s="9"/>
      <c r="B47" s="9"/>
      <c r="C47" s="9"/>
      <c r="D47" s="9"/>
      <c r="E47" s="9"/>
      <c r="F47" s="9"/>
      <c r="G47" s="9"/>
      <c r="H47" s="581"/>
      <c r="I47" s="581"/>
      <c r="J47" s="581"/>
      <c r="K47" s="581"/>
      <c r="L47" s="581"/>
      <c r="M47" s="581"/>
      <c r="N47" s="581"/>
      <c r="O47" s="581"/>
      <c r="P47" s="581"/>
      <c r="Q47" s="581"/>
      <c r="R47" s="581"/>
      <c r="S47" s="581"/>
      <c r="T47" s="581"/>
      <c r="U47" s="9"/>
      <c r="V47" s="9"/>
      <c r="W47" s="9"/>
      <c r="X47" s="9"/>
      <c r="Y47" s="9"/>
      <c r="Z47" s="9"/>
      <c r="AA47" s="9"/>
      <c r="AB47" s="9"/>
      <c r="AC47" s="9"/>
    </row>
    <row r="48" spans="1:29" ht="12.75" customHeight="1" x14ac:dyDescent="0.25">
      <c r="A48" s="9"/>
      <c r="B48" s="9"/>
      <c r="C48" s="9"/>
      <c r="D48" s="9"/>
      <c r="E48" s="9"/>
      <c r="F48" s="9"/>
      <c r="G48" s="9"/>
      <c r="H48" s="581"/>
      <c r="I48" s="581"/>
      <c r="J48" s="581"/>
      <c r="K48" s="581"/>
      <c r="L48" s="581"/>
      <c r="M48" s="581"/>
      <c r="N48" s="581"/>
      <c r="O48" s="581"/>
      <c r="P48" s="581"/>
      <c r="Q48" s="581"/>
      <c r="R48" s="581"/>
      <c r="S48" s="581"/>
      <c r="T48" s="581"/>
      <c r="U48" s="9"/>
      <c r="V48" s="9"/>
      <c r="W48" s="9"/>
      <c r="X48" s="9"/>
      <c r="Y48" s="9"/>
      <c r="Z48" s="9"/>
      <c r="AA48" s="9"/>
      <c r="AB48" s="9"/>
      <c r="AC48" s="9"/>
    </row>
    <row r="49" spans="1:29" ht="12.75" customHeight="1" x14ac:dyDescent="0.25">
      <c r="A49" s="9"/>
      <c r="B49" s="9"/>
      <c r="C49" s="9"/>
      <c r="D49" s="9"/>
      <c r="E49" s="9"/>
      <c r="F49" s="9"/>
      <c r="G49" s="9"/>
      <c r="H49" s="581"/>
      <c r="I49" s="581"/>
      <c r="J49" s="581"/>
      <c r="K49" s="581"/>
      <c r="L49" s="581"/>
      <c r="M49" s="581"/>
      <c r="N49" s="581"/>
      <c r="O49" s="581"/>
      <c r="P49" s="581"/>
      <c r="Q49" s="581"/>
      <c r="R49" s="581"/>
      <c r="S49" s="581"/>
      <c r="T49" s="581"/>
      <c r="U49" s="9"/>
      <c r="V49" s="9"/>
      <c r="W49" s="9"/>
      <c r="X49" s="9"/>
      <c r="Y49" s="9"/>
      <c r="Z49" s="9"/>
      <c r="AA49" s="9"/>
      <c r="AB49" s="9"/>
      <c r="AC49" s="9"/>
    </row>
    <row r="50" spans="1:29" ht="12.75" customHeight="1" x14ac:dyDescent="0.25">
      <c r="A50" s="9"/>
      <c r="B50" s="9"/>
      <c r="C50" s="9"/>
      <c r="D50" s="9"/>
      <c r="E50" s="9"/>
      <c r="F50" s="9"/>
      <c r="G50" s="9"/>
      <c r="H50" s="581"/>
      <c r="I50" s="581"/>
      <c r="J50" s="581"/>
      <c r="K50" s="581"/>
      <c r="L50" s="581"/>
      <c r="M50" s="581"/>
      <c r="N50" s="581"/>
      <c r="O50" s="581"/>
      <c r="P50" s="581"/>
      <c r="Q50" s="581"/>
      <c r="R50" s="581"/>
      <c r="S50" s="581"/>
      <c r="T50" s="581"/>
      <c r="U50" s="9"/>
      <c r="V50" s="9"/>
      <c r="W50" s="9"/>
      <c r="X50" s="9"/>
      <c r="Y50" s="9"/>
      <c r="Z50" s="9"/>
      <c r="AA50" s="9"/>
      <c r="AB50" s="9"/>
      <c r="AC50" s="9"/>
    </row>
    <row r="51" spans="1:29" ht="12.75" customHeight="1" x14ac:dyDescent="0.25">
      <c r="A51" s="9"/>
      <c r="B51" s="9"/>
      <c r="C51" s="9"/>
      <c r="D51" s="9"/>
      <c r="E51" s="9"/>
      <c r="F51" s="9"/>
      <c r="G51" s="9"/>
      <c r="H51" s="581"/>
      <c r="I51" s="581"/>
      <c r="J51" s="581"/>
      <c r="K51" s="581"/>
      <c r="L51" s="581"/>
      <c r="M51" s="581"/>
      <c r="N51" s="581"/>
      <c r="O51" s="581"/>
      <c r="P51" s="581"/>
      <c r="Q51" s="581"/>
      <c r="R51" s="581"/>
      <c r="S51" s="581"/>
      <c r="T51" s="581"/>
      <c r="U51" s="9"/>
      <c r="V51" s="9"/>
      <c r="W51" s="9"/>
      <c r="X51" s="9"/>
      <c r="Y51" s="9"/>
      <c r="Z51" s="9"/>
      <c r="AA51" s="9"/>
      <c r="AB51" s="9"/>
      <c r="AC51" s="9"/>
    </row>
    <row r="52" spans="1:29" ht="12.75" customHeight="1" x14ac:dyDescent="0.25">
      <c r="A52" s="9"/>
      <c r="B52" s="9"/>
      <c r="C52" s="9"/>
      <c r="D52" s="9"/>
      <c r="E52" s="9"/>
      <c r="F52" s="9"/>
      <c r="G52" s="9"/>
      <c r="H52" s="581"/>
      <c r="I52" s="581"/>
      <c r="J52" s="581"/>
      <c r="K52" s="581"/>
      <c r="L52" s="581"/>
      <c r="M52" s="581"/>
      <c r="N52" s="581"/>
      <c r="O52" s="581"/>
      <c r="P52" s="581"/>
      <c r="Q52" s="581"/>
      <c r="R52" s="581"/>
      <c r="S52" s="581"/>
      <c r="T52" s="581"/>
      <c r="U52" s="9"/>
      <c r="V52" s="9"/>
      <c r="W52" s="9"/>
      <c r="X52" s="9"/>
      <c r="Y52" s="9"/>
      <c r="Z52" s="9"/>
      <c r="AA52" s="9"/>
      <c r="AB52" s="9"/>
      <c r="AC52" s="9"/>
    </row>
    <row r="53" spans="1:29" ht="12.75" customHeight="1" x14ac:dyDescent="0.25">
      <c r="A53" s="9"/>
      <c r="B53" s="9"/>
      <c r="C53" s="9"/>
      <c r="D53" s="9"/>
      <c r="E53" s="9"/>
      <c r="F53" s="9"/>
      <c r="G53" s="9"/>
      <c r="H53" s="581"/>
      <c r="I53" s="581"/>
      <c r="J53" s="581"/>
      <c r="K53" s="581"/>
      <c r="L53" s="581"/>
      <c r="M53" s="581"/>
      <c r="N53" s="581"/>
      <c r="O53" s="581"/>
      <c r="P53" s="581"/>
      <c r="Q53" s="581"/>
      <c r="R53" s="581"/>
      <c r="S53" s="581"/>
      <c r="T53" s="581"/>
      <c r="U53" s="9"/>
      <c r="V53" s="9"/>
      <c r="W53" s="9"/>
      <c r="X53" s="9"/>
      <c r="Y53" s="9"/>
      <c r="Z53" s="9"/>
      <c r="AA53" s="9"/>
      <c r="AB53" s="9"/>
      <c r="AC53" s="9"/>
    </row>
    <row r="54" spans="1:29" ht="12.75" customHeight="1" x14ac:dyDescent="0.25">
      <c r="A54" s="9"/>
      <c r="B54" s="9"/>
      <c r="C54" s="9"/>
      <c r="D54" s="9"/>
      <c r="E54" s="9"/>
      <c r="F54" s="9"/>
      <c r="G54" s="9"/>
      <c r="H54" s="581"/>
      <c r="I54" s="581"/>
      <c r="J54" s="581"/>
      <c r="K54" s="581"/>
      <c r="L54" s="581"/>
      <c r="M54" s="581"/>
      <c r="N54" s="581"/>
      <c r="O54" s="581"/>
      <c r="P54" s="581"/>
      <c r="Q54" s="581"/>
      <c r="R54" s="581"/>
      <c r="S54" s="581"/>
      <c r="T54" s="581"/>
      <c r="U54" s="9"/>
      <c r="V54" s="9"/>
      <c r="W54" s="9"/>
      <c r="X54" s="9"/>
      <c r="Y54" s="9"/>
      <c r="Z54" s="9"/>
      <c r="AA54" s="9"/>
      <c r="AB54" s="9"/>
      <c r="AC54" s="9"/>
    </row>
    <row r="55" spans="1:29" ht="12.75" customHeight="1" x14ac:dyDescent="0.25">
      <c r="A55" s="9"/>
      <c r="B55" s="9"/>
      <c r="C55" s="9"/>
      <c r="D55" s="9"/>
      <c r="E55" s="9"/>
      <c r="F55" s="9"/>
      <c r="G55" s="9"/>
      <c r="H55" s="581"/>
      <c r="I55" s="581"/>
      <c r="J55" s="581"/>
      <c r="K55" s="581"/>
      <c r="L55" s="581"/>
      <c r="M55" s="581"/>
      <c r="N55" s="581"/>
      <c r="O55" s="581"/>
      <c r="P55" s="581"/>
      <c r="Q55" s="581"/>
      <c r="R55" s="581"/>
      <c r="S55" s="581"/>
      <c r="T55" s="581"/>
      <c r="U55" s="9"/>
      <c r="V55" s="9"/>
      <c r="W55" s="9"/>
      <c r="X55" s="9"/>
      <c r="Y55" s="9"/>
      <c r="Z55" s="9"/>
      <c r="AA55" s="9"/>
      <c r="AB55" s="9"/>
      <c r="AC55" s="9"/>
    </row>
    <row r="56" spans="1:29" ht="12.75" customHeight="1" x14ac:dyDescent="0.25">
      <c r="A56" s="9"/>
      <c r="B56" s="9"/>
      <c r="C56" s="9"/>
      <c r="D56" s="9"/>
      <c r="E56" s="9"/>
      <c r="F56" s="9"/>
      <c r="G56" s="9"/>
      <c r="H56" s="581"/>
      <c r="I56" s="581"/>
      <c r="J56" s="581"/>
      <c r="K56" s="581"/>
      <c r="L56" s="581"/>
      <c r="M56" s="581"/>
      <c r="N56" s="581"/>
      <c r="O56" s="581"/>
      <c r="P56" s="581"/>
      <c r="Q56" s="581"/>
      <c r="R56" s="581"/>
      <c r="S56" s="581"/>
      <c r="T56" s="581"/>
      <c r="U56" s="9"/>
      <c r="V56" s="9"/>
      <c r="W56" s="9"/>
      <c r="X56" s="9"/>
      <c r="Y56" s="9"/>
      <c r="Z56" s="9"/>
      <c r="AA56" s="9"/>
      <c r="AB56" s="9"/>
      <c r="AC56" s="9"/>
    </row>
    <row r="57" spans="1:29" ht="12.75" customHeight="1" x14ac:dyDescent="0.25">
      <c r="A57" s="9"/>
      <c r="B57" s="9"/>
      <c r="C57" s="9"/>
      <c r="D57" s="9"/>
      <c r="E57" s="9"/>
      <c r="F57" s="9"/>
      <c r="G57" s="9"/>
      <c r="H57" s="581"/>
      <c r="I57" s="581"/>
      <c r="J57" s="581"/>
      <c r="K57" s="581"/>
      <c r="L57" s="581"/>
      <c r="M57" s="581"/>
      <c r="N57" s="581"/>
      <c r="O57" s="581"/>
      <c r="P57" s="581"/>
      <c r="Q57" s="581"/>
      <c r="R57" s="581"/>
      <c r="S57" s="581"/>
      <c r="T57" s="581"/>
      <c r="U57" s="9"/>
      <c r="V57" s="9"/>
      <c r="W57" s="9"/>
      <c r="X57" s="9"/>
      <c r="Y57" s="9"/>
      <c r="Z57" s="9"/>
      <c r="AA57" s="9"/>
      <c r="AB57" s="9"/>
      <c r="AC57" s="9"/>
    </row>
    <row r="58" spans="1:29" ht="12.75" customHeight="1" x14ac:dyDescent="0.25">
      <c r="A58" s="9"/>
      <c r="B58" s="9"/>
      <c r="C58" s="9"/>
      <c r="D58" s="9"/>
      <c r="E58" s="9"/>
      <c r="F58" s="9"/>
      <c r="G58" s="9"/>
      <c r="H58" s="581"/>
      <c r="I58" s="581"/>
      <c r="J58" s="581"/>
      <c r="K58" s="581"/>
      <c r="L58" s="581"/>
      <c r="M58" s="581"/>
      <c r="N58" s="581"/>
      <c r="O58" s="581"/>
      <c r="P58" s="581"/>
      <c r="Q58" s="581"/>
      <c r="R58" s="581"/>
      <c r="S58" s="581"/>
      <c r="T58" s="581"/>
      <c r="U58" s="9"/>
      <c r="V58" s="9"/>
      <c r="W58" s="9"/>
      <c r="X58" s="9"/>
      <c r="Y58" s="9"/>
      <c r="Z58" s="9"/>
      <c r="AA58" s="9"/>
      <c r="AB58" s="9"/>
      <c r="AC58" s="9"/>
    </row>
    <row r="59" spans="1:29" ht="12.75" customHeight="1" x14ac:dyDescent="0.25">
      <c r="A59" s="9"/>
      <c r="B59" s="9"/>
      <c r="C59" s="9"/>
      <c r="D59" s="9"/>
      <c r="E59" s="9"/>
      <c r="F59" s="9"/>
      <c r="G59" s="9"/>
      <c r="H59" s="581"/>
      <c r="I59" s="581"/>
      <c r="J59" s="581"/>
      <c r="K59" s="581"/>
      <c r="L59" s="581"/>
      <c r="M59" s="581"/>
      <c r="N59" s="581"/>
      <c r="O59" s="581"/>
      <c r="P59" s="581"/>
      <c r="Q59" s="581"/>
      <c r="R59" s="581"/>
      <c r="S59" s="581"/>
      <c r="T59" s="581"/>
      <c r="U59" s="9"/>
      <c r="V59" s="9"/>
      <c r="W59" s="9"/>
      <c r="X59" s="9"/>
      <c r="Y59" s="9"/>
      <c r="Z59" s="9"/>
      <c r="AA59" s="9"/>
      <c r="AB59" s="9"/>
      <c r="AC59" s="9"/>
    </row>
    <row r="60" spans="1:29" ht="12.75" customHeight="1" x14ac:dyDescent="0.25">
      <c r="A60" s="9"/>
      <c r="B60" s="9"/>
      <c r="C60" s="9"/>
      <c r="D60" s="9"/>
      <c r="E60" s="9"/>
      <c r="F60" s="9"/>
      <c r="G60" s="9"/>
      <c r="H60" s="581"/>
      <c r="I60" s="581"/>
      <c r="J60" s="581"/>
      <c r="K60" s="581"/>
      <c r="L60" s="581"/>
      <c r="M60" s="581"/>
      <c r="N60" s="581"/>
      <c r="O60" s="581"/>
      <c r="P60" s="581"/>
      <c r="Q60" s="581"/>
      <c r="R60" s="581"/>
      <c r="S60" s="581"/>
      <c r="T60" s="581"/>
      <c r="U60" s="9"/>
      <c r="V60" s="9"/>
      <c r="W60" s="9"/>
      <c r="X60" s="9"/>
      <c r="Y60" s="9"/>
      <c r="Z60" s="9"/>
      <c r="AA60" s="9"/>
      <c r="AB60" s="9"/>
      <c r="AC60" s="9"/>
    </row>
    <row r="61" spans="1:29" ht="12.75" customHeight="1" x14ac:dyDescent="0.25">
      <c r="A61" s="9"/>
      <c r="B61" s="9"/>
      <c r="C61" s="9"/>
      <c r="D61" s="9"/>
      <c r="E61" s="9"/>
      <c r="F61" s="9"/>
      <c r="G61" s="9"/>
      <c r="H61" s="581"/>
      <c r="I61" s="581"/>
      <c r="J61" s="581"/>
      <c r="K61" s="581"/>
      <c r="L61" s="581"/>
      <c r="M61" s="581"/>
      <c r="N61" s="581"/>
      <c r="O61" s="581"/>
      <c r="P61" s="581"/>
      <c r="Q61" s="581"/>
      <c r="R61" s="581"/>
      <c r="S61" s="581"/>
      <c r="T61" s="581"/>
      <c r="U61" s="9"/>
      <c r="V61" s="9"/>
      <c r="W61" s="9"/>
      <c r="X61" s="9"/>
      <c r="Y61" s="9"/>
      <c r="Z61" s="9"/>
      <c r="AA61" s="9"/>
      <c r="AB61" s="9"/>
      <c r="AC61" s="9"/>
    </row>
    <row r="62" spans="1:29" ht="12.75" customHeight="1" x14ac:dyDescent="0.25">
      <c r="A62" s="9"/>
      <c r="B62" s="9"/>
      <c r="C62" s="9"/>
      <c r="D62" s="9"/>
      <c r="E62" s="9"/>
      <c r="F62" s="9"/>
      <c r="G62" s="9"/>
      <c r="H62" s="581"/>
      <c r="I62" s="581"/>
      <c r="J62" s="581"/>
      <c r="K62" s="581"/>
      <c r="L62" s="581"/>
      <c r="M62" s="581"/>
      <c r="N62" s="581"/>
      <c r="O62" s="581"/>
      <c r="P62" s="581"/>
      <c r="Q62" s="581"/>
      <c r="R62" s="581"/>
      <c r="S62" s="581"/>
      <c r="T62" s="581"/>
      <c r="U62" s="9"/>
      <c r="V62" s="9"/>
      <c r="W62" s="9"/>
      <c r="X62" s="9"/>
      <c r="Y62" s="9"/>
      <c r="Z62" s="9"/>
      <c r="AA62" s="9"/>
      <c r="AB62" s="9"/>
      <c r="AC62" s="9"/>
    </row>
    <row r="63" spans="1:29" ht="12.75" customHeight="1" x14ac:dyDescent="0.25">
      <c r="A63" s="9"/>
      <c r="B63" s="9"/>
      <c r="C63" s="9"/>
      <c r="D63" s="9"/>
      <c r="E63" s="9"/>
      <c r="F63" s="9"/>
      <c r="G63" s="9"/>
      <c r="H63" s="581"/>
      <c r="I63" s="581"/>
      <c r="J63" s="581"/>
      <c r="K63" s="581"/>
      <c r="L63" s="581"/>
      <c r="M63" s="581"/>
      <c r="N63" s="581"/>
      <c r="O63" s="581"/>
      <c r="P63" s="581"/>
      <c r="Q63" s="581"/>
      <c r="R63" s="581"/>
      <c r="S63" s="581"/>
      <c r="T63" s="581"/>
      <c r="U63" s="9"/>
      <c r="V63" s="9"/>
      <c r="W63" s="9"/>
      <c r="X63" s="9"/>
      <c r="Y63" s="9"/>
      <c r="Z63" s="9"/>
      <c r="AA63" s="9"/>
      <c r="AB63" s="9"/>
      <c r="AC63" s="9"/>
    </row>
    <row r="64" spans="1:29" ht="12.75" customHeight="1" x14ac:dyDescent="0.25">
      <c r="A64" s="9"/>
      <c r="B64" s="9"/>
      <c r="C64" s="9"/>
      <c r="D64" s="9"/>
      <c r="E64" s="9"/>
      <c r="F64" s="9"/>
      <c r="G64" s="9"/>
      <c r="H64" s="581"/>
      <c r="I64" s="581"/>
      <c r="J64" s="581"/>
      <c r="K64" s="581"/>
      <c r="L64" s="581"/>
      <c r="M64" s="581"/>
      <c r="N64" s="581"/>
      <c r="O64" s="581"/>
      <c r="P64" s="581"/>
      <c r="Q64" s="581"/>
      <c r="R64" s="581"/>
      <c r="S64" s="581"/>
      <c r="T64" s="581"/>
      <c r="U64" s="9"/>
      <c r="V64" s="9"/>
      <c r="W64" s="9"/>
      <c r="X64" s="9"/>
      <c r="Y64" s="9"/>
      <c r="Z64" s="9"/>
      <c r="AA64" s="9"/>
      <c r="AB64" s="9"/>
      <c r="AC64" s="9"/>
    </row>
    <row r="65" spans="1:29" ht="12.75" customHeight="1" x14ac:dyDescent="0.25">
      <c r="A65" s="9"/>
      <c r="B65" s="9"/>
      <c r="C65" s="9"/>
      <c r="D65" s="9"/>
      <c r="E65" s="9"/>
      <c r="F65" s="9"/>
      <c r="G65" s="9"/>
      <c r="H65" s="581"/>
      <c r="I65" s="581"/>
      <c r="J65" s="581"/>
      <c r="K65" s="581"/>
      <c r="L65" s="581"/>
      <c r="M65" s="581"/>
      <c r="N65" s="581"/>
      <c r="O65" s="581"/>
      <c r="P65" s="581"/>
      <c r="Q65" s="581"/>
      <c r="R65" s="581"/>
      <c r="S65" s="581"/>
      <c r="T65" s="581"/>
      <c r="U65" s="9"/>
      <c r="V65" s="9"/>
      <c r="W65" s="9"/>
      <c r="X65" s="9"/>
      <c r="Y65" s="9"/>
      <c r="Z65" s="9"/>
      <c r="AA65" s="9"/>
      <c r="AB65" s="9"/>
      <c r="AC65" s="9"/>
    </row>
    <row r="66" spans="1:29" ht="12.75" customHeight="1" x14ac:dyDescent="0.25">
      <c r="A66" s="9"/>
      <c r="B66" s="9"/>
      <c r="C66" s="9"/>
      <c r="D66" s="9"/>
      <c r="E66" s="9"/>
      <c r="F66" s="9"/>
      <c r="G66" s="9"/>
      <c r="H66" s="581"/>
      <c r="I66" s="581"/>
      <c r="J66" s="581"/>
      <c r="K66" s="581"/>
      <c r="L66" s="581"/>
      <c r="M66" s="581"/>
      <c r="N66" s="581"/>
      <c r="O66" s="581"/>
      <c r="P66" s="581"/>
      <c r="Q66" s="581"/>
      <c r="R66" s="581"/>
      <c r="S66" s="581"/>
      <c r="T66" s="581"/>
      <c r="U66" s="9"/>
      <c r="V66" s="9"/>
      <c r="W66" s="9"/>
      <c r="X66" s="9"/>
      <c r="Y66" s="9"/>
      <c r="Z66" s="9"/>
      <c r="AA66" s="9"/>
      <c r="AB66" s="9"/>
      <c r="AC66" s="9"/>
    </row>
    <row r="67" spans="1:29" ht="12.75" customHeight="1" x14ac:dyDescent="0.25">
      <c r="A67" s="9"/>
      <c r="B67" s="9"/>
      <c r="C67" s="9"/>
      <c r="D67" s="9"/>
      <c r="E67" s="9"/>
      <c r="F67" s="9"/>
      <c r="G67" s="9"/>
      <c r="H67" s="581"/>
      <c r="I67" s="581"/>
      <c r="J67" s="581"/>
      <c r="K67" s="581"/>
      <c r="L67" s="581"/>
      <c r="M67" s="581"/>
      <c r="N67" s="581"/>
      <c r="O67" s="581"/>
      <c r="P67" s="581"/>
      <c r="Q67" s="581"/>
      <c r="R67" s="581"/>
      <c r="S67" s="581"/>
      <c r="T67" s="581"/>
      <c r="U67" s="9"/>
      <c r="V67" s="9"/>
      <c r="W67" s="9"/>
      <c r="X67" s="9"/>
      <c r="Y67" s="9"/>
      <c r="Z67" s="9"/>
      <c r="AA67" s="9"/>
      <c r="AB67" s="9"/>
      <c r="AC67" s="9"/>
    </row>
    <row r="68" spans="1:29" ht="12.75" customHeight="1" x14ac:dyDescent="0.25">
      <c r="A68" s="9"/>
      <c r="B68" s="9"/>
      <c r="C68" s="9"/>
      <c r="D68" s="9"/>
      <c r="E68" s="9"/>
      <c r="F68" s="9"/>
      <c r="G68" s="9"/>
      <c r="H68" s="581"/>
      <c r="I68" s="581"/>
      <c r="J68" s="581"/>
      <c r="K68" s="581"/>
      <c r="L68" s="581"/>
      <c r="M68" s="581"/>
      <c r="N68" s="581"/>
      <c r="O68" s="581"/>
      <c r="P68" s="581"/>
      <c r="Q68" s="581"/>
      <c r="R68" s="581"/>
      <c r="S68" s="581"/>
      <c r="T68" s="581"/>
      <c r="U68" s="9"/>
      <c r="V68" s="9"/>
      <c r="W68" s="9"/>
      <c r="X68" s="9"/>
      <c r="Y68" s="9"/>
      <c r="Z68" s="9"/>
      <c r="AA68" s="9"/>
      <c r="AB68" s="9"/>
      <c r="AC68" s="9"/>
    </row>
    <row r="69" spans="1:29" ht="12.75" customHeight="1" x14ac:dyDescent="0.25">
      <c r="A69" s="9"/>
      <c r="B69" s="9"/>
      <c r="C69" s="9"/>
      <c r="D69" s="9"/>
      <c r="E69" s="9"/>
      <c r="F69" s="9"/>
      <c r="G69" s="9"/>
      <c r="H69" s="581"/>
      <c r="I69" s="581"/>
      <c r="J69" s="581"/>
      <c r="K69" s="581"/>
      <c r="L69" s="581"/>
      <c r="M69" s="581"/>
      <c r="N69" s="581"/>
      <c r="O69" s="581"/>
      <c r="P69" s="581"/>
      <c r="Q69" s="581"/>
      <c r="R69" s="581"/>
      <c r="S69" s="581"/>
      <c r="T69" s="581"/>
      <c r="U69" s="9"/>
      <c r="V69" s="9"/>
      <c r="W69" s="9"/>
      <c r="X69" s="9"/>
      <c r="Y69" s="9"/>
      <c r="Z69" s="9"/>
      <c r="AA69" s="9"/>
      <c r="AB69" s="9"/>
      <c r="AC69" s="9"/>
    </row>
    <row r="70" spans="1:29" ht="12.75" customHeight="1" x14ac:dyDescent="0.25">
      <c r="A70" s="9"/>
      <c r="B70" s="9"/>
      <c r="C70" s="9"/>
      <c r="D70" s="9"/>
      <c r="E70" s="9"/>
      <c r="F70" s="9"/>
      <c r="G70" s="9"/>
      <c r="H70" s="581"/>
      <c r="I70" s="581"/>
      <c r="J70" s="581"/>
      <c r="K70" s="581"/>
      <c r="L70" s="581"/>
      <c r="M70" s="581"/>
      <c r="N70" s="581"/>
      <c r="O70" s="581"/>
      <c r="P70" s="581"/>
      <c r="Q70" s="581"/>
      <c r="R70" s="581"/>
      <c r="S70" s="581"/>
      <c r="T70" s="581"/>
      <c r="U70" s="9"/>
      <c r="V70" s="9"/>
      <c r="W70" s="9"/>
      <c r="X70" s="9"/>
      <c r="Y70" s="9"/>
      <c r="Z70" s="9"/>
      <c r="AA70" s="9"/>
      <c r="AB70" s="9"/>
      <c r="AC70" s="9"/>
    </row>
    <row r="71" spans="1:29" ht="12.75" customHeight="1" x14ac:dyDescent="0.25">
      <c r="A71" s="9"/>
      <c r="B71" s="9"/>
      <c r="C71" s="9"/>
      <c r="D71" s="9"/>
      <c r="E71" s="9"/>
      <c r="F71" s="9"/>
      <c r="G71" s="9"/>
      <c r="H71" s="581"/>
      <c r="I71" s="581"/>
      <c r="J71" s="581"/>
      <c r="K71" s="581"/>
      <c r="L71" s="581"/>
      <c r="M71" s="581"/>
      <c r="N71" s="581"/>
      <c r="O71" s="581"/>
      <c r="P71" s="581"/>
      <c r="Q71" s="581"/>
      <c r="R71" s="581"/>
      <c r="S71" s="581"/>
      <c r="T71" s="581"/>
      <c r="U71" s="9"/>
      <c r="V71" s="9"/>
      <c r="W71" s="9"/>
      <c r="X71" s="9"/>
      <c r="Y71" s="9"/>
      <c r="Z71" s="9"/>
      <c r="AA71" s="9"/>
      <c r="AB71" s="9"/>
      <c r="AC71" s="9"/>
    </row>
    <row r="72" spans="1:29" ht="12.75" customHeight="1" x14ac:dyDescent="0.25">
      <c r="A72" s="9"/>
      <c r="B72" s="9"/>
      <c r="C72" s="9"/>
      <c r="D72" s="9"/>
      <c r="E72" s="9"/>
      <c r="F72" s="9"/>
      <c r="G72" s="9"/>
      <c r="H72" s="581"/>
      <c r="I72" s="581"/>
      <c r="J72" s="581"/>
      <c r="K72" s="581"/>
      <c r="L72" s="581"/>
      <c r="M72" s="581"/>
      <c r="N72" s="581"/>
      <c r="O72" s="581"/>
      <c r="P72" s="581"/>
      <c r="Q72" s="581"/>
      <c r="R72" s="581"/>
      <c r="S72" s="581"/>
      <c r="T72" s="581"/>
      <c r="U72" s="9"/>
      <c r="V72" s="9"/>
      <c r="W72" s="9"/>
      <c r="X72" s="9"/>
      <c r="Y72" s="9"/>
      <c r="Z72" s="9"/>
      <c r="AA72" s="9"/>
      <c r="AB72" s="9"/>
      <c r="AC72" s="9"/>
    </row>
    <row r="73" spans="1:29" ht="12.75" customHeight="1" x14ac:dyDescent="0.25">
      <c r="A73" s="9"/>
      <c r="B73" s="9"/>
      <c r="C73" s="9"/>
      <c r="D73" s="9"/>
      <c r="E73" s="9"/>
      <c r="F73" s="9"/>
      <c r="G73" s="9"/>
      <c r="H73" s="581"/>
      <c r="I73" s="581"/>
      <c r="J73" s="581"/>
      <c r="K73" s="581"/>
      <c r="L73" s="581"/>
      <c r="M73" s="581"/>
      <c r="N73" s="581"/>
      <c r="O73" s="581"/>
      <c r="P73" s="581"/>
      <c r="Q73" s="581"/>
      <c r="R73" s="581"/>
      <c r="S73" s="581"/>
      <c r="T73" s="581"/>
      <c r="U73" s="9"/>
      <c r="V73" s="9"/>
      <c r="W73" s="9"/>
      <c r="X73" s="9"/>
      <c r="Y73" s="9"/>
      <c r="Z73" s="9"/>
      <c r="AA73" s="9"/>
      <c r="AB73" s="9"/>
      <c r="AC73" s="9"/>
    </row>
    <row r="74" spans="1:29" ht="12.75" customHeight="1" x14ac:dyDescent="0.25">
      <c r="A74" s="9"/>
      <c r="B74" s="9"/>
      <c r="C74" s="9"/>
      <c r="D74" s="9"/>
      <c r="E74" s="9"/>
      <c r="F74" s="9"/>
      <c r="G74" s="9"/>
      <c r="H74" s="581"/>
      <c r="I74" s="581"/>
      <c r="J74" s="581"/>
      <c r="K74" s="581"/>
      <c r="L74" s="581"/>
      <c r="M74" s="581"/>
      <c r="N74" s="581"/>
      <c r="O74" s="581"/>
      <c r="P74" s="581"/>
      <c r="Q74" s="581"/>
      <c r="R74" s="581"/>
      <c r="S74" s="581"/>
      <c r="T74" s="581"/>
      <c r="U74" s="9"/>
      <c r="V74" s="9"/>
      <c r="W74" s="9"/>
      <c r="X74" s="9"/>
      <c r="Y74" s="9"/>
      <c r="Z74" s="9"/>
      <c r="AA74" s="9"/>
      <c r="AB74" s="9"/>
      <c r="AC74" s="9"/>
    </row>
    <row r="75" spans="1:29" ht="12.75" customHeight="1" x14ac:dyDescent="0.25">
      <c r="A75" s="9"/>
      <c r="B75" s="9"/>
      <c r="C75" s="9"/>
      <c r="D75" s="9"/>
      <c r="E75" s="9"/>
      <c r="F75" s="9"/>
      <c r="G75" s="9"/>
      <c r="H75" s="581"/>
      <c r="I75" s="581"/>
      <c r="J75" s="581"/>
      <c r="K75" s="581"/>
      <c r="L75" s="581"/>
      <c r="M75" s="581"/>
      <c r="N75" s="581"/>
      <c r="O75" s="581"/>
      <c r="P75" s="581"/>
      <c r="Q75" s="581"/>
      <c r="R75" s="581"/>
      <c r="S75" s="581"/>
      <c r="T75" s="581"/>
      <c r="U75" s="9"/>
      <c r="V75" s="9"/>
      <c r="W75" s="9"/>
      <c r="X75" s="9"/>
      <c r="Y75" s="9"/>
      <c r="Z75" s="9"/>
      <c r="AA75" s="9"/>
      <c r="AB75" s="9"/>
      <c r="AC75" s="9"/>
    </row>
    <row r="76" spans="1:29" ht="12.75" customHeight="1" x14ac:dyDescent="0.25">
      <c r="A76" s="9"/>
      <c r="B76" s="9"/>
      <c r="C76" s="9"/>
      <c r="D76" s="9"/>
      <c r="E76" s="9"/>
      <c r="F76" s="9"/>
      <c r="G76" s="9"/>
      <c r="H76" s="581"/>
      <c r="I76" s="581"/>
      <c r="J76" s="581"/>
      <c r="K76" s="581"/>
      <c r="L76" s="581"/>
      <c r="M76" s="581"/>
      <c r="N76" s="581"/>
      <c r="O76" s="581"/>
      <c r="P76" s="581"/>
      <c r="Q76" s="581"/>
      <c r="R76" s="581"/>
      <c r="S76" s="581"/>
      <c r="T76" s="581"/>
      <c r="U76" s="9"/>
      <c r="V76" s="9"/>
      <c r="W76" s="9"/>
      <c r="X76" s="9"/>
      <c r="Y76" s="9"/>
      <c r="Z76" s="9"/>
      <c r="AA76" s="9"/>
      <c r="AB76" s="9"/>
      <c r="AC76" s="9"/>
    </row>
    <row r="77" spans="1:29" ht="12.75" customHeight="1" x14ac:dyDescent="0.25">
      <c r="A77" s="9"/>
      <c r="B77" s="9"/>
      <c r="C77" s="9"/>
      <c r="D77" s="9"/>
      <c r="E77" s="9"/>
      <c r="F77" s="9"/>
      <c r="G77" s="9"/>
      <c r="H77" s="581"/>
      <c r="I77" s="581"/>
      <c r="J77" s="581"/>
      <c r="K77" s="581"/>
      <c r="L77" s="581"/>
      <c r="M77" s="581"/>
      <c r="N77" s="581"/>
      <c r="O77" s="581"/>
      <c r="P77" s="581"/>
      <c r="Q77" s="581"/>
      <c r="R77" s="581"/>
      <c r="S77" s="581"/>
      <c r="T77" s="581"/>
      <c r="U77" s="9"/>
      <c r="V77" s="9"/>
      <c r="W77" s="9"/>
      <c r="X77" s="9"/>
      <c r="Y77" s="9"/>
      <c r="Z77" s="9"/>
      <c r="AA77" s="9"/>
      <c r="AB77" s="9"/>
      <c r="AC77" s="9"/>
    </row>
    <row r="78" spans="1:29" ht="12.75" customHeight="1" x14ac:dyDescent="0.25">
      <c r="A78" s="9"/>
      <c r="B78" s="9"/>
      <c r="C78" s="9"/>
      <c r="D78" s="9"/>
      <c r="E78" s="9"/>
      <c r="F78" s="9"/>
      <c r="G78" s="9"/>
      <c r="H78" s="581"/>
      <c r="I78" s="581"/>
      <c r="J78" s="581"/>
      <c r="K78" s="581"/>
      <c r="L78" s="581"/>
      <c r="M78" s="581"/>
      <c r="N78" s="581"/>
      <c r="O78" s="581"/>
      <c r="P78" s="581"/>
      <c r="Q78" s="581"/>
      <c r="R78" s="581"/>
      <c r="S78" s="581"/>
      <c r="T78" s="581"/>
      <c r="U78" s="9"/>
      <c r="V78" s="9"/>
      <c r="W78" s="9"/>
      <c r="X78" s="9"/>
      <c r="Y78" s="9"/>
      <c r="Z78" s="9"/>
      <c r="AA78" s="9"/>
      <c r="AB78" s="9"/>
      <c r="AC78" s="9"/>
    </row>
    <row r="79" spans="1:29" ht="12.75" customHeight="1" x14ac:dyDescent="0.25">
      <c r="A79" s="9"/>
      <c r="B79" s="9"/>
      <c r="C79" s="9"/>
      <c r="D79" s="9"/>
      <c r="E79" s="9"/>
      <c r="F79" s="9"/>
      <c r="G79" s="9"/>
      <c r="H79" s="581"/>
      <c r="I79" s="581"/>
      <c r="J79" s="581"/>
      <c r="K79" s="581"/>
      <c r="L79" s="581"/>
      <c r="M79" s="581"/>
      <c r="N79" s="581"/>
      <c r="O79" s="581"/>
      <c r="P79" s="581"/>
      <c r="Q79" s="581"/>
      <c r="R79" s="581"/>
      <c r="S79" s="581"/>
      <c r="T79" s="581"/>
      <c r="U79" s="9"/>
      <c r="V79" s="9"/>
      <c r="W79" s="9"/>
      <c r="X79" s="9"/>
      <c r="Y79" s="9"/>
      <c r="Z79" s="9"/>
      <c r="AA79" s="9"/>
      <c r="AB79" s="9"/>
      <c r="AC79" s="9"/>
    </row>
    <row r="80" spans="1:29" ht="12.75" customHeight="1" x14ac:dyDescent="0.25">
      <c r="A80" s="9"/>
      <c r="B80" s="9"/>
      <c r="C80" s="9"/>
      <c r="D80" s="9"/>
      <c r="E80" s="9"/>
      <c r="F80" s="9"/>
      <c r="G80" s="9"/>
      <c r="H80" s="581"/>
      <c r="I80" s="581"/>
      <c r="J80" s="581"/>
      <c r="K80" s="581"/>
      <c r="L80" s="581"/>
      <c r="M80" s="581"/>
      <c r="N80" s="581"/>
      <c r="O80" s="581"/>
      <c r="P80" s="581"/>
      <c r="Q80" s="581"/>
      <c r="R80" s="581"/>
      <c r="S80" s="581"/>
      <c r="T80" s="581"/>
      <c r="U80" s="9"/>
      <c r="V80" s="9"/>
      <c r="W80" s="9"/>
      <c r="X80" s="9"/>
      <c r="Y80" s="9"/>
      <c r="Z80" s="9"/>
      <c r="AA80" s="9"/>
      <c r="AB80" s="9"/>
      <c r="AC80" s="9"/>
    </row>
    <row r="81" spans="1:29" ht="12.75" customHeight="1" x14ac:dyDescent="0.25">
      <c r="A81" s="9"/>
      <c r="B81" s="9"/>
      <c r="C81" s="9"/>
      <c r="D81" s="9"/>
      <c r="E81" s="9"/>
      <c r="F81" s="9"/>
      <c r="G81" s="9"/>
      <c r="H81" s="581"/>
      <c r="I81" s="581"/>
      <c r="J81" s="581"/>
      <c r="K81" s="581"/>
      <c r="L81" s="581"/>
      <c r="M81" s="581"/>
      <c r="N81" s="581"/>
      <c r="O81" s="581"/>
      <c r="P81" s="581"/>
      <c r="Q81" s="581"/>
      <c r="R81" s="581"/>
      <c r="S81" s="581"/>
      <c r="T81" s="581"/>
      <c r="U81" s="9"/>
      <c r="V81" s="9"/>
      <c r="W81" s="9"/>
      <c r="X81" s="9"/>
      <c r="Y81" s="9"/>
      <c r="Z81" s="9"/>
      <c r="AA81" s="9"/>
      <c r="AB81" s="9"/>
      <c r="AC81" s="9"/>
    </row>
    <row r="82" spans="1:29" ht="12.75" customHeight="1" x14ac:dyDescent="0.25">
      <c r="A82" s="9"/>
      <c r="B82" s="9"/>
      <c r="C82" s="9"/>
      <c r="D82" s="9"/>
      <c r="E82" s="9"/>
      <c r="F82" s="9"/>
      <c r="G82" s="9"/>
      <c r="H82" s="581"/>
      <c r="I82" s="581"/>
      <c r="J82" s="581"/>
      <c r="K82" s="581"/>
      <c r="L82" s="581"/>
      <c r="M82" s="581"/>
      <c r="N82" s="581"/>
      <c r="O82" s="581"/>
      <c r="P82" s="581"/>
      <c r="Q82" s="581"/>
      <c r="R82" s="581"/>
      <c r="S82" s="581"/>
      <c r="T82" s="581"/>
      <c r="U82" s="9"/>
      <c r="V82" s="9"/>
      <c r="W82" s="9"/>
      <c r="X82" s="9"/>
      <c r="Y82" s="9"/>
      <c r="Z82" s="9"/>
      <c r="AA82" s="9"/>
      <c r="AB82" s="9"/>
      <c r="AC82" s="9"/>
    </row>
    <row r="83" spans="1:29" ht="12.75" customHeight="1" x14ac:dyDescent="0.25">
      <c r="A83" s="9"/>
      <c r="B83" s="9"/>
      <c r="C83" s="9"/>
      <c r="D83" s="9"/>
      <c r="E83" s="9"/>
      <c r="F83" s="9"/>
      <c r="G83" s="9"/>
      <c r="H83" s="581"/>
      <c r="I83" s="581"/>
      <c r="J83" s="581"/>
      <c r="K83" s="581"/>
      <c r="L83" s="581"/>
      <c r="M83" s="581"/>
      <c r="N83" s="581"/>
      <c r="O83" s="581"/>
      <c r="P83" s="581"/>
      <c r="Q83" s="581"/>
      <c r="R83" s="581"/>
      <c r="S83" s="581"/>
      <c r="T83" s="581"/>
      <c r="U83" s="9"/>
      <c r="V83" s="9"/>
      <c r="W83" s="9"/>
      <c r="X83" s="9"/>
      <c r="Y83" s="9"/>
      <c r="Z83" s="9"/>
      <c r="AA83" s="9"/>
      <c r="AB83" s="9"/>
      <c r="AC83" s="9"/>
    </row>
    <row r="84" spans="1:29" ht="12.75" customHeight="1" x14ac:dyDescent="0.25">
      <c r="A84" s="9"/>
      <c r="B84" s="9"/>
      <c r="C84" s="9"/>
      <c r="D84" s="9"/>
      <c r="E84" s="9"/>
      <c r="F84" s="9"/>
      <c r="G84" s="9"/>
      <c r="H84" s="581"/>
      <c r="I84" s="581"/>
      <c r="J84" s="581"/>
      <c r="K84" s="581"/>
      <c r="L84" s="581"/>
      <c r="M84" s="581"/>
      <c r="N84" s="581"/>
      <c r="O84" s="581"/>
      <c r="P84" s="581"/>
      <c r="Q84" s="581"/>
      <c r="R84" s="581"/>
      <c r="S84" s="581"/>
      <c r="T84" s="581"/>
      <c r="U84" s="9"/>
      <c r="V84" s="9"/>
      <c r="W84" s="9"/>
      <c r="X84" s="9"/>
      <c r="Y84" s="9"/>
      <c r="Z84" s="9"/>
      <c r="AA84" s="9"/>
      <c r="AB84" s="9"/>
      <c r="AC84" s="9"/>
    </row>
    <row r="85" spans="1:29" ht="12.75" customHeight="1" x14ac:dyDescent="0.25">
      <c r="A85" s="9"/>
      <c r="B85" s="9"/>
      <c r="C85" s="9"/>
      <c r="D85" s="9"/>
      <c r="E85" s="9"/>
      <c r="F85" s="9"/>
      <c r="G85" s="9"/>
      <c r="H85" s="581"/>
      <c r="I85" s="581"/>
      <c r="J85" s="581"/>
      <c r="K85" s="581"/>
      <c r="L85" s="581"/>
      <c r="M85" s="581"/>
      <c r="N85" s="581"/>
      <c r="O85" s="581"/>
      <c r="P85" s="581"/>
      <c r="Q85" s="581"/>
      <c r="R85" s="581"/>
      <c r="S85" s="581"/>
      <c r="T85" s="581"/>
      <c r="U85" s="9"/>
      <c r="V85" s="9"/>
      <c r="W85" s="9"/>
      <c r="X85" s="9"/>
      <c r="Y85" s="9"/>
      <c r="Z85" s="9"/>
      <c r="AA85" s="9"/>
      <c r="AB85" s="9"/>
      <c r="AC85" s="9"/>
    </row>
    <row r="86" spans="1:29" ht="12.75" customHeight="1" x14ac:dyDescent="0.25">
      <c r="A86" s="9"/>
      <c r="B86" s="9"/>
      <c r="C86" s="9"/>
      <c r="D86" s="9"/>
      <c r="E86" s="9"/>
      <c r="F86" s="9"/>
      <c r="G86" s="9"/>
      <c r="H86" s="581"/>
      <c r="I86" s="581"/>
      <c r="J86" s="581"/>
      <c r="K86" s="581"/>
      <c r="L86" s="581"/>
      <c r="M86" s="581"/>
      <c r="N86" s="581"/>
      <c r="O86" s="581"/>
      <c r="P86" s="581"/>
      <c r="Q86" s="581"/>
      <c r="R86" s="581"/>
      <c r="S86" s="581"/>
      <c r="T86" s="581"/>
      <c r="U86" s="9"/>
      <c r="V86" s="9"/>
      <c r="W86" s="9"/>
      <c r="X86" s="9"/>
      <c r="Y86" s="9"/>
      <c r="Z86" s="9"/>
      <c r="AA86" s="9"/>
      <c r="AB86" s="9"/>
      <c r="AC86" s="9"/>
    </row>
    <row r="87" spans="1:29" ht="12.75" customHeight="1" x14ac:dyDescent="0.25">
      <c r="A87" s="9"/>
      <c r="B87" s="9"/>
      <c r="C87" s="9"/>
      <c r="D87" s="9"/>
      <c r="E87" s="9"/>
      <c r="F87" s="9"/>
      <c r="G87" s="9"/>
      <c r="H87" s="581"/>
      <c r="I87" s="581"/>
      <c r="J87" s="581"/>
      <c r="K87" s="581"/>
      <c r="L87" s="581"/>
      <c r="M87" s="581"/>
      <c r="N87" s="581"/>
      <c r="O87" s="581"/>
      <c r="P87" s="581"/>
      <c r="Q87" s="581"/>
      <c r="R87" s="581"/>
      <c r="S87" s="581"/>
      <c r="T87" s="581"/>
      <c r="U87" s="9"/>
      <c r="V87" s="9"/>
      <c r="W87" s="9"/>
      <c r="X87" s="9"/>
      <c r="Y87" s="9"/>
      <c r="Z87" s="9"/>
      <c r="AA87" s="9"/>
      <c r="AB87" s="9"/>
      <c r="AC87" s="9"/>
    </row>
    <row r="88" spans="1:29" ht="12.75" customHeight="1" x14ac:dyDescent="0.25">
      <c r="A88" s="9"/>
      <c r="B88" s="9"/>
      <c r="C88" s="9"/>
      <c r="D88" s="9"/>
      <c r="E88" s="9"/>
      <c r="F88" s="9"/>
      <c r="G88" s="9"/>
      <c r="H88" s="581"/>
      <c r="I88" s="581"/>
      <c r="J88" s="581"/>
      <c r="K88" s="581"/>
      <c r="L88" s="581"/>
      <c r="M88" s="581"/>
      <c r="N88" s="581"/>
      <c r="O88" s="581"/>
      <c r="P88" s="581"/>
      <c r="Q88" s="581"/>
      <c r="R88" s="581"/>
      <c r="S88" s="581"/>
      <c r="T88" s="581"/>
      <c r="U88" s="9"/>
      <c r="V88" s="9"/>
      <c r="W88" s="9"/>
      <c r="X88" s="9"/>
      <c r="Y88" s="9"/>
      <c r="Z88" s="9"/>
      <c r="AA88" s="9"/>
      <c r="AB88" s="9"/>
      <c r="AC88" s="9"/>
    </row>
    <row r="89" spans="1:29" ht="12.75" customHeight="1" x14ac:dyDescent="0.25">
      <c r="A89" s="9"/>
      <c r="B89" s="9"/>
      <c r="C89" s="9"/>
      <c r="D89" s="9"/>
      <c r="E89" s="9"/>
      <c r="F89" s="9"/>
      <c r="G89" s="9"/>
      <c r="H89" s="581"/>
      <c r="I89" s="581"/>
      <c r="J89" s="581"/>
      <c r="K89" s="581"/>
      <c r="L89" s="581"/>
      <c r="M89" s="581"/>
      <c r="N89" s="581"/>
      <c r="O89" s="581"/>
      <c r="P89" s="581"/>
      <c r="Q89" s="581"/>
      <c r="R89" s="581"/>
      <c r="S89" s="581"/>
      <c r="T89" s="581"/>
      <c r="U89" s="9"/>
      <c r="V89" s="9"/>
      <c r="W89" s="9"/>
      <c r="X89" s="9"/>
      <c r="Y89" s="9"/>
      <c r="Z89" s="9"/>
      <c r="AA89" s="9"/>
      <c r="AB89" s="9"/>
      <c r="AC89" s="9"/>
    </row>
    <row r="90" spans="1:29" ht="12.75" customHeight="1" x14ac:dyDescent="0.25">
      <c r="A90" s="9"/>
      <c r="B90" s="9"/>
      <c r="C90" s="9"/>
      <c r="D90" s="9"/>
      <c r="E90" s="9"/>
      <c r="F90" s="9"/>
      <c r="G90" s="9"/>
      <c r="H90" s="581"/>
      <c r="I90" s="581"/>
      <c r="J90" s="581"/>
      <c r="K90" s="581"/>
      <c r="L90" s="581"/>
      <c r="M90" s="581"/>
      <c r="N90" s="581"/>
      <c r="O90" s="581"/>
      <c r="P90" s="581"/>
      <c r="Q90" s="581"/>
      <c r="R90" s="581"/>
      <c r="S90" s="581"/>
      <c r="T90" s="581"/>
      <c r="U90" s="9"/>
      <c r="V90" s="9"/>
      <c r="W90" s="9"/>
      <c r="X90" s="9"/>
      <c r="Y90" s="9"/>
      <c r="Z90" s="9"/>
      <c r="AA90" s="9"/>
      <c r="AB90" s="9"/>
      <c r="AC90" s="9"/>
    </row>
    <row r="91" spans="1:29" ht="12.75" customHeight="1" x14ac:dyDescent="0.25">
      <c r="A91" s="9"/>
      <c r="B91" s="9"/>
      <c r="C91" s="9"/>
      <c r="D91" s="9"/>
      <c r="E91" s="9"/>
      <c r="F91" s="9"/>
      <c r="G91" s="9"/>
      <c r="H91" s="581"/>
      <c r="I91" s="581"/>
      <c r="J91" s="581"/>
      <c r="K91" s="581"/>
      <c r="L91" s="581"/>
      <c r="M91" s="581"/>
      <c r="N91" s="581"/>
      <c r="O91" s="581"/>
      <c r="P91" s="581"/>
      <c r="Q91" s="581"/>
      <c r="R91" s="581"/>
      <c r="S91" s="581"/>
      <c r="T91" s="581"/>
      <c r="U91" s="9"/>
      <c r="V91" s="9"/>
      <c r="W91" s="9"/>
      <c r="X91" s="9"/>
      <c r="Y91" s="9"/>
      <c r="Z91" s="9"/>
      <c r="AA91" s="9"/>
      <c r="AB91" s="9"/>
      <c r="AC91" s="9"/>
    </row>
    <row r="92" spans="1:29" ht="12.75" customHeight="1" x14ac:dyDescent="0.25">
      <c r="A92" s="9"/>
      <c r="B92" s="9"/>
      <c r="C92" s="9"/>
      <c r="D92" s="9"/>
      <c r="E92" s="9"/>
      <c r="F92" s="9"/>
      <c r="G92" s="9"/>
      <c r="H92" s="581"/>
      <c r="I92" s="581"/>
      <c r="J92" s="581"/>
      <c r="K92" s="581"/>
      <c r="L92" s="581"/>
      <c r="M92" s="581"/>
      <c r="N92" s="581"/>
      <c r="O92" s="581"/>
      <c r="P92" s="581"/>
      <c r="Q92" s="581"/>
      <c r="R92" s="581"/>
      <c r="S92" s="581"/>
      <c r="T92" s="581"/>
      <c r="U92" s="9"/>
      <c r="V92" s="9"/>
      <c r="W92" s="9"/>
      <c r="X92" s="9"/>
      <c r="Y92" s="9"/>
      <c r="Z92" s="9"/>
      <c r="AA92" s="9"/>
      <c r="AB92" s="9"/>
      <c r="AC92" s="9"/>
    </row>
    <row r="93" spans="1:29" ht="12.75" customHeight="1" x14ac:dyDescent="0.25">
      <c r="A93" s="9"/>
      <c r="B93" s="9"/>
      <c r="C93" s="9"/>
      <c r="D93" s="9"/>
      <c r="E93" s="9"/>
      <c r="F93" s="9"/>
      <c r="G93" s="9"/>
      <c r="H93" s="581"/>
      <c r="I93" s="581"/>
      <c r="J93" s="581"/>
      <c r="K93" s="581"/>
      <c r="L93" s="581"/>
      <c r="M93" s="581"/>
      <c r="N93" s="581"/>
      <c r="O93" s="581"/>
      <c r="P93" s="581"/>
      <c r="Q93" s="581"/>
      <c r="R93" s="581"/>
      <c r="S93" s="581"/>
      <c r="T93" s="581"/>
      <c r="U93" s="9"/>
      <c r="V93" s="9"/>
      <c r="W93" s="9"/>
      <c r="X93" s="9"/>
      <c r="Y93" s="9"/>
      <c r="Z93" s="9"/>
      <c r="AA93" s="9"/>
      <c r="AB93" s="9"/>
      <c r="AC93" s="9"/>
    </row>
    <row r="94" spans="1:29" ht="12.75" customHeight="1" x14ac:dyDescent="0.25">
      <c r="A94" s="9"/>
      <c r="B94" s="9"/>
      <c r="C94" s="9"/>
      <c r="D94" s="9"/>
      <c r="E94" s="9"/>
      <c r="F94" s="9"/>
      <c r="G94" s="9"/>
      <c r="H94" s="581"/>
      <c r="I94" s="581"/>
      <c r="J94" s="581"/>
      <c r="K94" s="581"/>
      <c r="L94" s="581"/>
      <c r="M94" s="581"/>
      <c r="N94" s="581"/>
      <c r="O94" s="581"/>
      <c r="P94" s="581"/>
      <c r="Q94" s="581"/>
      <c r="R94" s="581"/>
      <c r="S94" s="581"/>
      <c r="T94" s="581"/>
      <c r="U94" s="9"/>
      <c r="V94" s="9"/>
      <c r="W94" s="9"/>
      <c r="X94" s="9"/>
      <c r="Y94" s="9"/>
      <c r="Z94" s="9"/>
      <c r="AA94" s="9"/>
      <c r="AB94" s="9"/>
      <c r="AC94" s="9"/>
    </row>
    <row r="95" spans="1:29" ht="12.75" customHeight="1" x14ac:dyDescent="0.25">
      <c r="A95" s="9"/>
      <c r="B95" s="9"/>
      <c r="C95" s="9"/>
      <c r="D95" s="9"/>
      <c r="E95" s="9"/>
      <c r="F95" s="9"/>
      <c r="G95" s="9"/>
      <c r="H95" s="581"/>
      <c r="I95" s="581"/>
      <c r="J95" s="581"/>
      <c r="K95" s="581"/>
      <c r="L95" s="581"/>
      <c r="M95" s="581"/>
      <c r="N95" s="581"/>
      <c r="O95" s="581"/>
      <c r="P95" s="581"/>
      <c r="Q95" s="581"/>
      <c r="R95" s="581"/>
      <c r="S95" s="581"/>
      <c r="T95" s="581"/>
      <c r="U95" s="9"/>
      <c r="V95" s="9"/>
      <c r="W95" s="9"/>
      <c r="X95" s="9"/>
      <c r="Y95" s="9"/>
      <c r="Z95" s="9"/>
      <c r="AA95" s="9"/>
      <c r="AB95" s="9"/>
      <c r="AC95" s="9"/>
    </row>
    <row r="96" spans="1:29" ht="12.75" customHeight="1" x14ac:dyDescent="0.25">
      <c r="A96" s="9"/>
      <c r="B96" s="9"/>
      <c r="C96" s="9"/>
      <c r="D96" s="9"/>
      <c r="E96" s="9"/>
      <c r="F96" s="9"/>
      <c r="G96" s="9"/>
      <c r="H96" s="581"/>
      <c r="I96" s="581"/>
      <c r="J96" s="581"/>
      <c r="K96" s="581"/>
      <c r="L96" s="581"/>
      <c r="M96" s="581"/>
      <c r="N96" s="581"/>
      <c r="O96" s="581"/>
      <c r="P96" s="581"/>
      <c r="Q96" s="581"/>
      <c r="R96" s="581"/>
      <c r="S96" s="581"/>
      <c r="T96" s="581"/>
      <c r="U96" s="9"/>
      <c r="V96" s="9"/>
      <c r="W96" s="9"/>
      <c r="X96" s="9"/>
      <c r="Y96" s="9"/>
      <c r="Z96" s="9"/>
      <c r="AA96" s="9"/>
      <c r="AB96" s="9"/>
      <c r="AC96" s="9"/>
    </row>
    <row r="97" spans="1:29" ht="12.75" customHeight="1" x14ac:dyDescent="0.25">
      <c r="A97" s="9"/>
      <c r="B97" s="9"/>
      <c r="C97" s="9"/>
      <c r="D97" s="9"/>
      <c r="E97" s="9"/>
      <c r="F97" s="9"/>
      <c r="G97" s="9"/>
      <c r="H97" s="581"/>
      <c r="I97" s="581"/>
      <c r="J97" s="581"/>
      <c r="K97" s="581"/>
      <c r="L97" s="581"/>
      <c r="M97" s="581"/>
      <c r="N97" s="581"/>
      <c r="O97" s="581"/>
      <c r="P97" s="581"/>
      <c r="Q97" s="581"/>
      <c r="R97" s="581"/>
      <c r="S97" s="581"/>
      <c r="T97" s="581"/>
      <c r="U97" s="9"/>
      <c r="V97" s="9"/>
      <c r="W97" s="9"/>
      <c r="X97" s="9"/>
      <c r="Y97" s="9"/>
      <c r="Z97" s="9"/>
      <c r="AA97" s="9"/>
      <c r="AB97" s="9"/>
      <c r="AC97" s="9"/>
    </row>
    <row r="98" spans="1:29" ht="12.75" customHeight="1" x14ac:dyDescent="0.25">
      <c r="A98" s="9"/>
      <c r="B98" s="9"/>
      <c r="C98" s="9"/>
      <c r="D98" s="9"/>
      <c r="E98" s="9"/>
      <c r="F98" s="9"/>
      <c r="G98" s="9"/>
      <c r="H98" s="581"/>
      <c r="I98" s="581"/>
      <c r="J98" s="581"/>
      <c r="K98" s="581"/>
      <c r="L98" s="581"/>
      <c r="M98" s="581"/>
      <c r="N98" s="581"/>
      <c r="O98" s="581"/>
      <c r="P98" s="581"/>
      <c r="Q98" s="581"/>
      <c r="R98" s="581"/>
      <c r="S98" s="581"/>
      <c r="T98" s="581"/>
      <c r="U98" s="9"/>
      <c r="V98" s="9"/>
      <c r="W98" s="9"/>
      <c r="X98" s="9"/>
      <c r="Y98" s="9"/>
      <c r="Z98" s="9"/>
      <c r="AA98" s="9"/>
      <c r="AB98" s="9"/>
      <c r="AC98" s="9"/>
    </row>
    <row r="99" spans="1:29" ht="12.75" customHeight="1" x14ac:dyDescent="0.25">
      <c r="A99" s="9"/>
      <c r="B99" s="9"/>
      <c r="C99" s="9"/>
      <c r="D99" s="9"/>
      <c r="E99" s="9"/>
      <c r="F99" s="9"/>
      <c r="G99" s="9"/>
      <c r="H99" s="581"/>
      <c r="I99" s="581"/>
      <c r="J99" s="581"/>
      <c r="K99" s="581"/>
      <c r="L99" s="581"/>
      <c r="M99" s="581"/>
      <c r="N99" s="581"/>
      <c r="O99" s="581"/>
      <c r="P99" s="581"/>
      <c r="Q99" s="581"/>
      <c r="R99" s="581"/>
      <c r="S99" s="581"/>
      <c r="T99" s="581"/>
      <c r="U99" s="9"/>
      <c r="V99" s="9"/>
      <c r="W99" s="9"/>
      <c r="X99" s="9"/>
      <c r="Y99" s="9"/>
      <c r="Z99" s="9"/>
      <c r="AA99" s="9"/>
      <c r="AB99" s="9"/>
      <c r="AC99" s="9"/>
    </row>
    <row r="100" spans="1:29" ht="12.75" customHeight="1" x14ac:dyDescent="0.25">
      <c r="A100" s="9"/>
      <c r="B100" s="9"/>
      <c r="C100" s="9"/>
      <c r="D100" s="9"/>
      <c r="E100" s="9"/>
      <c r="F100" s="9"/>
      <c r="G100" s="9"/>
      <c r="H100" s="581"/>
      <c r="I100" s="581"/>
      <c r="J100" s="581"/>
      <c r="K100" s="581"/>
      <c r="L100" s="581"/>
      <c r="M100" s="581"/>
      <c r="N100" s="581"/>
      <c r="O100" s="581"/>
      <c r="P100" s="581"/>
      <c r="Q100" s="581"/>
      <c r="R100" s="581"/>
      <c r="S100" s="581"/>
      <c r="T100" s="581"/>
      <c r="U100" s="9"/>
      <c r="V100" s="9"/>
      <c r="W100" s="9"/>
      <c r="X100" s="9"/>
      <c r="Y100" s="9"/>
      <c r="Z100" s="9"/>
      <c r="AA100" s="9"/>
      <c r="AB100" s="9"/>
      <c r="AC100" s="9"/>
    </row>
    <row r="101" spans="1:29" ht="12.75" customHeight="1" x14ac:dyDescent="0.25">
      <c r="A101" s="9"/>
      <c r="B101" s="9"/>
      <c r="C101" s="9"/>
      <c r="D101" s="9"/>
      <c r="E101" s="9"/>
      <c r="F101" s="9"/>
      <c r="G101" s="9"/>
      <c r="H101" s="581"/>
      <c r="I101" s="581"/>
      <c r="J101" s="581"/>
      <c r="K101" s="581"/>
      <c r="L101" s="581"/>
      <c r="M101" s="581"/>
      <c r="N101" s="581"/>
      <c r="O101" s="581"/>
      <c r="P101" s="581"/>
      <c r="Q101" s="581"/>
      <c r="R101" s="581"/>
      <c r="S101" s="581"/>
      <c r="T101" s="581"/>
      <c r="U101" s="9"/>
      <c r="V101" s="9"/>
      <c r="W101" s="9"/>
      <c r="X101" s="9"/>
      <c r="Y101" s="9"/>
      <c r="Z101" s="9"/>
      <c r="AA101" s="9"/>
      <c r="AB101" s="9"/>
      <c r="AC101" s="9"/>
    </row>
    <row r="102" spans="1:29" ht="12.75" customHeight="1" x14ac:dyDescent="0.25">
      <c r="A102" s="9"/>
      <c r="B102" s="9"/>
      <c r="C102" s="9"/>
      <c r="D102" s="9"/>
      <c r="E102" s="9"/>
      <c r="F102" s="9"/>
      <c r="G102" s="9"/>
      <c r="H102" s="581"/>
      <c r="I102" s="581"/>
      <c r="J102" s="581"/>
      <c r="K102" s="581"/>
      <c r="L102" s="581"/>
      <c r="M102" s="581"/>
      <c r="N102" s="581"/>
      <c r="O102" s="581"/>
      <c r="P102" s="581"/>
      <c r="Q102" s="581"/>
      <c r="R102" s="581"/>
      <c r="S102" s="581"/>
      <c r="T102" s="581"/>
      <c r="U102" s="9"/>
      <c r="V102" s="9"/>
      <c r="W102" s="9"/>
      <c r="X102" s="9"/>
      <c r="Y102" s="9"/>
      <c r="Z102" s="9"/>
      <c r="AA102" s="9"/>
      <c r="AB102" s="9"/>
      <c r="AC102" s="9"/>
    </row>
    <row r="103" spans="1:29" ht="12.75" customHeight="1" x14ac:dyDescent="0.25">
      <c r="A103" s="9"/>
      <c r="B103" s="9"/>
      <c r="C103" s="9"/>
      <c r="D103" s="9"/>
      <c r="E103" s="9"/>
      <c r="F103" s="9"/>
      <c r="G103" s="9"/>
      <c r="H103" s="581"/>
      <c r="I103" s="581"/>
      <c r="J103" s="581"/>
      <c r="K103" s="581"/>
      <c r="L103" s="581"/>
      <c r="M103" s="581"/>
      <c r="N103" s="581"/>
      <c r="O103" s="581"/>
      <c r="P103" s="581"/>
      <c r="Q103" s="581"/>
      <c r="R103" s="581"/>
      <c r="S103" s="581"/>
      <c r="T103" s="581"/>
      <c r="U103" s="9"/>
      <c r="V103" s="9"/>
      <c r="W103" s="9"/>
      <c r="X103" s="9"/>
      <c r="Y103" s="9"/>
      <c r="Z103" s="9"/>
      <c r="AA103" s="9"/>
      <c r="AB103" s="9"/>
      <c r="AC103" s="9"/>
    </row>
    <row r="104" spans="1:29" ht="12.75" customHeight="1" x14ac:dyDescent="0.25">
      <c r="A104" s="9"/>
      <c r="B104" s="9"/>
      <c r="C104" s="9"/>
      <c r="D104" s="9"/>
      <c r="E104" s="9"/>
      <c r="F104" s="9"/>
      <c r="G104" s="9"/>
      <c r="H104" s="581"/>
      <c r="I104" s="581"/>
      <c r="J104" s="581"/>
      <c r="K104" s="581"/>
      <c r="L104" s="581"/>
      <c r="M104" s="581"/>
      <c r="N104" s="581"/>
      <c r="O104" s="581"/>
      <c r="P104" s="581"/>
      <c r="Q104" s="581"/>
      <c r="R104" s="581"/>
      <c r="S104" s="581"/>
      <c r="T104" s="581"/>
      <c r="U104" s="9"/>
      <c r="V104" s="9"/>
      <c r="W104" s="9"/>
      <c r="X104" s="9"/>
      <c r="Y104" s="9"/>
      <c r="Z104" s="9"/>
      <c r="AA104" s="9"/>
      <c r="AB104" s="9"/>
      <c r="AC104" s="9"/>
    </row>
    <row r="105" spans="1:29" ht="12.75" customHeight="1" x14ac:dyDescent="0.25">
      <c r="A105" s="9"/>
      <c r="B105" s="9"/>
      <c r="C105" s="9"/>
      <c r="D105" s="9"/>
      <c r="E105" s="9"/>
      <c r="F105" s="9"/>
      <c r="G105" s="9"/>
      <c r="H105" s="581"/>
      <c r="I105" s="581"/>
      <c r="J105" s="581"/>
      <c r="K105" s="581"/>
      <c r="L105" s="581"/>
      <c r="M105" s="581"/>
      <c r="N105" s="581"/>
      <c r="O105" s="581"/>
      <c r="P105" s="581"/>
      <c r="Q105" s="581"/>
      <c r="R105" s="581"/>
      <c r="S105" s="581"/>
      <c r="T105" s="581"/>
      <c r="U105" s="9"/>
      <c r="V105" s="9"/>
      <c r="W105" s="9"/>
      <c r="X105" s="9"/>
      <c r="Y105" s="9"/>
      <c r="Z105" s="9"/>
      <c r="AA105" s="9"/>
      <c r="AB105" s="9"/>
      <c r="AC105" s="9"/>
    </row>
    <row r="106" spans="1:29" ht="12.75" customHeight="1" x14ac:dyDescent="0.25">
      <c r="A106" s="9"/>
      <c r="B106" s="9"/>
      <c r="C106" s="9"/>
      <c r="D106" s="9"/>
      <c r="E106" s="9"/>
      <c r="F106" s="9"/>
      <c r="G106" s="9"/>
      <c r="H106" s="581"/>
      <c r="I106" s="581"/>
      <c r="J106" s="581"/>
      <c r="K106" s="581"/>
      <c r="L106" s="581"/>
      <c r="M106" s="581"/>
      <c r="N106" s="581"/>
      <c r="O106" s="581"/>
      <c r="P106" s="581"/>
      <c r="Q106" s="581"/>
      <c r="R106" s="581"/>
      <c r="S106" s="581"/>
      <c r="T106" s="581"/>
      <c r="U106" s="9"/>
      <c r="V106" s="9"/>
      <c r="W106" s="9"/>
      <c r="X106" s="9"/>
      <c r="Y106" s="9"/>
      <c r="Z106" s="9"/>
      <c r="AA106" s="9"/>
      <c r="AB106" s="9"/>
      <c r="AC106" s="9"/>
    </row>
    <row r="107" spans="1:29" ht="12.75" customHeight="1" x14ac:dyDescent="0.25">
      <c r="A107" s="9"/>
      <c r="B107" s="9"/>
      <c r="C107" s="9"/>
      <c r="D107" s="9"/>
      <c r="E107" s="9"/>
      <c r="F107" s="9"/>
      <c r="G107" s="9"/>
      <c r="H107" s="581"/>
      <c r="I107" s="581"/>
      <c r="J107" s="581"/>
      <c r="K107" s="581"/>
      <c r="L107" s="581"/>
      <c r="M107" s="581"/>
      <c r="N107" s="581"/>
      <c r="O107" s="581"/>
      <c r="P107" s="581"/>
      <c r="Q107" s="581"/>
      <c r="R107" s="581"/>
      <c r="S107" s="581"/>
      <c r="T107" s="581"/>
      <c r="U107" s="9"/>
      <c r="V107" s="9"/>
      <c r="W107" s="9"/>
      <c r="X107" s="9"/>
      <c r="Y107" s="9"/>
      <c r="Z107" s="9"/>
      <c r="AA107" s="9"/>
      <c r="AB107" s="9"/>
      <c r="AC107" s="9"/>
    </row>
    <row r="108" spans="1:29" ht="12.75" customHeight="1" x14ac:dyDescent="0.25">
      <c r="A108" s="9"/>
      <c r="B108" s="9"/>
      <c r="C108" s="9"/>
      <c r="D108" s="9"/>
      <c r="E108" s="9"/>
      <c r="F108" s="9"/>
      <c r="G108" s="9"/>
      <c r="H108" s="581"/>
      <c r="I108" s="581"/>
      <c r="J108" s="581"/>
      <c r="K108" s="581"/>
      <c r="L108" s="581"/>
      <c r="M108" s="581"/>
      <c r="N108" s="581"/>
      <c r="O108" s="581"/>
      <c r="P108" s="581"/>
      <c r="Q108" s="581"/>
      <c r="R108" s="581"/>
      <c r="S108" s="581"/>
      <c r="T108" s="581"/>
      <c r="U108" s="9"/>
      <c r="V108" s="9"/>
      <c r="W108" s="9"/>
      <c r="X108" s="9"/>
      <c r="Y108" s="9"/>
      <c r="Z108" s="9"/>
      <c r="AA108" s="9"/>
      <c r="AB108" s="9"/>
      <c r="AC108" s="9"/>
    </row>
    <row r="109" spans="1:29" ht="12.75" customHeight="1" x14ac:dyDescent="0.25">
      <c r="A109" s="9"/>
      <c r="B109" s="9"/>
      <c r="C109" s="9"/>
      <c r="D109" s="9"/>
      <c r="E109" s="9"/>
      <c r="F109" s="9"/>
      <c r="G109" s="9"/>
      <c r="H109" s="581"/>
      <c r="I109" s="581"/>
      <c r="J109" s="581"/>
      <c r="K109" s="581"/>
      <c r="L109" s="581"/>
      <c r="M109" s="581"/>
      <c r="N109" s="581"/>
      <c r="O109" s="581"/>
      <c r="P109" s="581"/>
      <c r="Q109" s="581"/>
      <c r="R109" s="581"/>
      <c r="S109" s="581"/>
      <c r="T109" s="581"/>
      <c r="U109" s="9"/>
      <c r="V109" s="9"/>
      <c r="W109" s="9"/>
      <c r="X109" s="9"/>
      <c r="Y109" s="9"/>
      <c r="Z109" s="9"/>
      <c r="AA109" s="9"/>
      <c r="AB109" s="9"/>
      <c r="AC109" s="9"/>
    </row>
    <row r="110" spans="1:29" ht="12.75" customHeight="1" x14ac:dyDescent="0.25">
      <c r="A110" s="9"/>
      <c r="B110" s="9"/>
      <c r="C110" s="9"/>
      <c r="D110" s="9"/>
      <c r="E110" s="9"/>
      <c r="F110" s="9"/>
      <c r="G110" s="9"/>
      <c r="H110" s="581"/>
      <c r="I110" s="581"/>
      <c r="J110" s="581"/>
      <c r="K110" s="581"/>
      <c r="L110" s="581"/>
      <c r="M110" s="581"/>
      <c r="N110" s="581"/>
      <c r="O110" s="581"/>
      <c r="P110" s="581"/>
      <c r="Q110" s="581"/>
      <c r="R110" s="581"/>
      <c r="S110" s="581"/>
      <c r="T110" s="581"/>
      <c r="U110" s="9"/>
      <c r="V110" s="9"/>
      <c r="W110" s="9"/>
      <c r="X110" s="9"/>
      <c r="Y110" s="9"/>
      <c r="Z110" s="9"/>
      <c r="AA110" s="9"/>
      <c r="AB110" s="9"/>
      <c r="AC110" s="9"/>
    </row>
    <row r="111" spans="1:29" ht="12.75" customHeight="1" x14ac:dyDescent="0.25">
      <c r="A111" s="9"/>
      <c r="B111" s="9"/>
      <c r="C111" s="9"/>
      <c r="D111" s="9"/>
      <c r="E111" s="9"/>
      <c r="F111" s="9"/>
      <c r="G111" s="9"/>
      <c r="H111" s="581"/>
      <c r="I111" s="581"/>
      <c r="J111" s="581"/>
      <c r="K111" s="581"/>
      <c r="L111" s="581"/>
      <c r="M111" s="581"/>
      <c r="N111" s="581"/>
      <c r="O111" s="581"/>
      <c r="P111" s="581"/>
      <c r="Q111" s="581"/>
      <c r="R111" s="581"/>
      <c r="S111" s="581"/>
      <c r="T111" s="581"/>
      <c r="U111" s="9"/>
      <c r="V111" s="9"/>
      <c r="W111" s="9"/>
      <c r="X111" s="9"/>
      <c r="Y111" s="9"/>
      <c r="Z111" s="9"/>
      <c r="AA111" s="9"/>
      <c r="AB111" s="9"/>
      <c r="AC111" s="9"/>
    </row>
    <row r="112" spans="1:29" ht="12.75" customHeight="1" x14ac:dyDescent="0.25">
      <c r="A112" s="9"/>
      <c r="B112" s="9"/>
      <c r="C112" s="9"/>
      <c r="D112" s="9"/>
      <c r="E112" s="9"/>
      <c r="F112" s="9"/>
      <c r="G112" s="9"/>
      <c r="H112" s="581"/>
      <c r="I112" s="581"/>
      <c r="J112" s="581"/>
      <c r="K112" s="581"/>
      <c r="L112" s="581"/>
      <c r="M112" s="581"/>
      <c r="N112" s="581"/>
      <c r="O112" s="581"/>
      <c r="P112" s="581"/>
      <c r="Q112" s="581"/>
      <c r="R112" s="581"/>
      <c r="S112" s="581"/>
      <c r="T112" s="581"/>
      <c r="U112" s="9"/>
      <c r="V112" s="9"/>
      <c r="W112" s="9"/>
      <c r="X112" s="9"/>
      <c r="Y112" s="9"/>
      <c r="Z112" s="9"/>
      <c r="AA112" s="9"/>
      <c r="AB112" s="9"/>
      <c r="AC112" s="9"/>
    </row>
    <row r="113" spans="1:29" ht="12.75" customHeight="1" x14ac:dyDescent="0.25">
      <c r="A113" s="9"/>
      <c r="B113" s="9"/>
      <c r="C113" s="9"/>
      <c r="D113" s="9"/>
      <c r="E113" s="9"/>
      <c r="F113" s="9"/>
      <c r="G113" s="9"/>
      <c r="H113" s="581"/>
      <c r="I113" s="581"/>
      <c r="J113" s="581"/>
      <c r="K113" s="581"/>
      <c r="L113" s="581"/>
      <c r="M113" s="581"/>
      <c r="N113" s="581"/>
      <c r="O113" s="581"/>
      <c r="P113" s="581"/>
      <c r="Q113" s="581"/>
      <c r="R113" s="581"/>
      <c r="S113" s="581"/>
      <c r="T113" s="581"/>
      <c r="U113" s="9"/>
      <c r="V113" s="9"/>
      <c r="W113" s="9"/>
      <c r="X113" s="9"/>
      <c r="Y113" s="9"/>
      <c r="Z113" s="9"/>
      <c r="AA113" s="9"/>
      <c r="AB113" s="9"/>
      <c r="AC113" s="9"/>
    </row>
    <row r="114" spans="1:29" ht="12.75" customHeight="1" x14ac:dyDescent="0.25">
      <c r="A114" s="9"/>
      <c r="B114" s="9"/>
      <c r="C114" s="9"/>
      <c r="D114" s="9"/>
      <c r="E114" s="9"/>
      <c r="F114" s="9"/>
      <c r="G114" s="9"/>
      <c r="H114" s="581"/>
      <c r="I114" s="581"/>
      <c r="J114" s="581"/>
      <c r="K114" s="581"/>
      <c r="L114" s="581"/>
      <c r="M114" s="581"/>
      <c r="N114" s="581"/>
      <c r="O114" s="581"/>
      <c r="P114" s="581"/>
      <c r="Q114" s="581"/>
      <c r="R114" s="581"/>
      <c r="S114" s="581"/>
      <c r="T114" s="581"/>
      <c r="U114" s="9"/>
      <c r="V114" s="9"/>
      <c r="W114" s="9"/>
      <c r="X114" s="9"/>
      <c r="Y114" s="9"/>
      <c r="Z114" s="9"/>
      <c r="AA114" s="9"/>
      <c r="AB114" s="9"/>
      <c r="AC114" s="9"/>
    </row>
    <row r="115" spans="1:29" ht="12.75" customHeight="1" x14ac:dyDescent="0.25">
      <c r="A115" s="9"/>
      <c r="B115" s="9"/>
      <c r="C115" s="9"/>
      <c r="D115" s="9"/>
      <c r="E115" s="9"/>
      <c r="F115" s="9"/>
      <c r="G115" s="9"/>
      <c r="H115" s="581"/>
      <c r="I115" s="581"/>
      <c r="J115" s="581"/>
      <c r="K115" s="581"/>
      <c r="L115" s="581"/>
      <c r="M115" s="581"/>
      <c r="N115" s="581"/>
      <c r="O115" s="581"/>
      <c r="P115" s="581"/>
      <c r="Q115" s="581"/>
      <c r="R115" s="581"/>
      <c r="S115" s="581"/>
      <c r="T115" s="581"/>
      <c r="U115" s="9"/>
      <c r="V115" s="9"/>
      <c r="W115" s="9"/>
      <c r="X115" s="9"/>
      <c r="Y115" s="9"/>
      <c r="Z115" s="9"/>
      <c r="AA115" s="9"/>
      <c r="AB115" s="9"/>
      <c r="AC115" s="9"/>
    </row>
    <row r="116" spans="1:29" ht="12.75" customHeight="1" x14ac:dyDescent="0.25">
      <c r="A116" s="9"/>
      <c r="B116" s="9"/>
      <c r="C116" s="9"/>
      <c r="D116" s="9"/>
      <c r="E116" s="9"/>
      <c r="F116" s="9"/>
      <c r="G116" s="9"/>
      <c r="H116" s="581"/>
      <c r="I116" s="581"/>
      <c r="J116" s="581"/>
      <c r="K116" s="581"/>
      <c r="L116" s="581"/>
      <c r="M116" s="581"/>
      <c r="N116" s="581"/>
      <c r="O116" s="581"/>
      <c r="P116" s="581"/>
      <c r="Q116" s="581"/>
      <c r="R116" s="581"/>
      <c r="S116" s="581"/>
      <c r="T116" s="581"/>
      <c r="U116" s="9"/>
      <c r="V116" s="9"/>
      <c r="W116" s="9"/>
      <c r="X116" s="9"/>
      <c r="Y116" s="9"/>
      <c r="Z116" s="9"/>
      <c r="AA116" s="9"/>
      <c r="AB116" s="9"/>
      <c r="AC116" s="9"/>
    </row>
    <row r="117" spans="1:29" ht="12.75" customHeight="1" x14ac:dyDescent="0.25">
      <c r="A117" s="9"/>
      <c r="B117" s="9"/>
      <c r="C117" s="9"/>
      <c r="D117" s="9"/>
      <c r="E117" s="9"/>
      <c r="F117" s="9"/>
      <c r="G117" s="9"/>
      <c r="H117" s="581"/>
      <c r="I117" s="581"/>
      <c r="J117" s="581"/>
      <c r="K117" s="581"/>
      <c r="L117" s="581"/>
      <c r="M117" s="581"/>
      <c r="N117" s="581"/>
      <c r="O117" s="581"/>
      <c r="P117" s="581"/>
      <c r="Q117" s="581"/>
      <c r="R117" s="581"/>
      <c r="S117" s="581"/>
      <c r="T117" s="581"/>
      <c r="U117" s="9"/>
      <c r="V117" s="9"/>
      <c r="W117" s="9"/>
      <c r="X117" s="9"/>
      <c r="Y117" s="9"/>
      <c r="Z117" s="9"/>
      <c r="AA117" s="9"/>
      <c r="AB117" s="9"/>
      <c r="AC117" s="9"/>
    </row>
    <row r="118" spans="1:29" ht="12.75" customHeight="1" x14ac:dyDescent="0.25">
      <c r="A118" s="9"/>
      <c r="B118" s="9"/>
      <c r="C118" s="9"/>
      <c r="D118" s="9"/>
      <c r="E118" s="9"/>
      <c r="F118" s="9"/>
      <c r="G118" s="9"/>
      <c r="H118" s="581"/>
      <c r="I118" s="581"/>
      <c r="J118" s="581"/>
      <c r="K118" s="581"/>
      <c r="L118" s="581"/>
      <c r="M118" s="581"/>
      <c r="N118" s="581"/>
      <c r="O118" s="581"/>
      <c r="P118" s="581"/>
      <c r="Q118" s="581"/>
      <c r="R118" s="581"/>
      <c r="S118" s="581"/>
      <c r="T118" s="581"/>
      <c r="U118" s="9"/>
      <c r="V118" s="9"/>
      <c r="W118" s="9"/>
      <c r="X118" s="9"/>
      <c r="Y118" s="9"/>
      <c r="Z118" s="9"/>
      <c r="AA118" s="9"/>
      <c r="AB118" s="9"/>
      <c r="AC118" s="9"/>
    </row>
    <row r="119" spans="1:29" ht="12.75" customHeight="1" x14ac:dyDescent="0.25">
      <c r="A119" s="9"/>
      <c r="B119" s="9"/>
      <c r="C119" s="9"/>
      <c r="D119" s="9"/>
      <c r="E119" s="9"/>
      <c r="F119" s="9"/>
      <c r="G119" s="9"/>
      <c r="H119" s="581"/>
      <c r="I119" s="581"/>
      <c r="J119" s="581"/>
      <c r="K119" s="581"/>
      <c r="L119" s="581"/>
      <c r="M119" s="581"/>
      <c r="N119" s="581"/>
      <c r="O119" s="581"/>
      <c r="P119" s="581"/>
      <c r="Q119" s="581"/>
      <c r="R119" s="581"/>
      <c r="S119" s="581"/>
      <c r="T119" s="581"/>
      <c r="U119" s="9"/>
      <c r="V119" s="9"/>
      <c r="W119" s="9"/>
      <c r="X119" s="9"/>
      <c r="Y119" s="9"/>
      <c r="Z119" s="9"/>
      <c r="AA119" s="9"/>
      <c r="AB119" s="9"/>
      <c r="AC119" s="9"/>
    </row>
    <row r="120" spans="1:29" ht="12.75" customHeight="1" x14ac:dyDescent="0.25">
      <c r="A120" s="9"/>
      <c r="B120" s="9"/>
      <c r="C120" s="9"/>
      <c r="D120" s="9"/>
      <c r="E120" s="9"/>
      <c r="F120" s="9"/>
      <c r="G120" s="9"/>
      <c r="H120" s="581"/>
      <c r="I120" s="581"/>
      <c r="J120" s="581"/>
      <c r="K120" s="581"/>
      <c r="L120" s="581"/>
      <c r="M120" s="581"/>
      <c r="N120" s="581"/>
      <c r="O120" s="581"/>
      <c r="P120" s="581"/>
      <c r="Q120" s="581"/>
      <c r="R120" s="581"/>
      <c r="S120" s="581"/>
      <c r="T120" s="581"/>
      <c r="U120" s="9"/>
      <c r="V120" s="9"/>
      <c r="W120" s="9"/>
      <c r="X120" s="9"/>
      <c r="Y120" s="9"/>
      <c r="Z120" s="9"/>
      <c r="AA120" s="9"/>
      <c r="AB120" s="9"/>
      <c r="AC120" s="9"/>
    </row>
    <row r="121" spans="1:29" ht="12.75" customHeight="1" x14ac:dyDescent="0.25">
      <c r="A121" s="9"/>
      <c r="B121" s="9"/>
      <c r="C121" s="9"/>
      <c r="D121" s="9"/>
      <c r="E121" s="9"/>
      <c r="F121" s="9"/>
      <c r="G121" s="9"/>
      <c r="H121" s="581"/>
      <c r="I121" s="581"/>
      <c r="J121" s="581"/>
      <c r="K121" s="581"/>
      <c r="L121" s="581"/>
      <c r="M121" s="581"/>
      <c r="N121" s="581"/>
      <c r="O121" s="581"/>
      <c r="P121" s="581"/>
      <c r="Q121" s="581"/>
      <c r="R121" s="581"/>
      <c r="S121" s="581"/>
      <c r="T121" s="581"/>
      <c r="U121" s="9"/>
      <c r="V121" s="9"/>
      <c r="W121" s="9"/>
      <c r="X121" s="9"/>
      <c r="Y121" s="9"/>
      <c r="Z121" s="9"/>
      <c r="AA121" s="9"/>
      <c r="AB121" s="9"/>
      <c r="AC121" s="9"/>
    </row>
    <row r="122" spans="1:29" ht="12.75" customHeight="1" x14ac:dyDescent="0.25">
      <c r="A122" s="9"/>
      <c r="B122" s="9"/>
      <c r="C122" s="9"/>
      <c r="D122" s="9"/>
      <c r="E122" s="9"/>
      <c r="F122" s="9"/>
      <c r="G122" s="9"/>
      <c r="H122" s="581"/>
      <c r="I122" s="581"/>
      <c r="J122" s="581"/>
      <c r="K122" s="581"/>
      <c r="L122" s="581"/>
      <c r="M122" s="581"/>
      <c r="N122" s="581"/>
      <c r="O122" s="581"/>
      <c r="P122" s="581"/>
      <c r="Q122" s="581"/>
      <c r="R122" s="581"/>
      <c r="S122" s="581"/>
      <c r="T122" s="581"/>
      <c r="U122" s="9"/>
      <c r="V122" s="9"/>
      <c r="W122" s="9"/>
      <c r="X122" s="9"/>
      <c r="Y122" s="9"/>
      <c r="Z122" s="9"/>
      <c r="AA122" s="9"/>
      <c r="AB122" s="9"/>
      <c r="AC122" s="9"/>
    </row>
    <row r="123" spans="1:29" ht="12.75" customHeight="1" x14ac:dyDescent="0.25">
      <c r="A123" s="9"/>
      <c r="B123" s="9"/>
      <c r="C123" s="9"/>
      <c r="D123" s="9"/>
      <c r="E123" s="9"/>
      <c r="F123" s="9"/>
      <c r="G123" s="9"/>
      <c r="H123" s="581"/>
      <c r="I123" s="581"/>
      <c r="J123" s="581"/>
      <c r="K123" s="581"/>
      <c r="L123" s="581"/>
      <c r="M123" s="581"/>
      <c r="N123" s="581"/>
      <c r="O123" s="581"/>
      <c r="P123" s="581"/>
      <c r="Q123" s="581"/>
      <c r="R123" s="581"/>
      <c r="S123" s="581"/>
      <c r="T123" s="581"/>
      <c r="U123" s="9"/>
      <c r="V123" s="9"/>
      <c r="W123" s="9"/>
      <c r="X123" s="9"/>
      <c r="Y123" s="9"/>
      <c r="Z123" s="9"/>
      <c r="AA123" s="9"/>
      <c r="AB123" s="9"/>
      <c r="AC123" s="9"/>
    </row>
    <row r="124" spans="1:29" ht="12.75" customHeight="1" x14ac:dyDescent="0.25">
      <c r="A124" s="9"/>
      <c r="B124" s="9"/>
      <c r="C124" s="9"/>
      <c r="D124" s="9"/>
      <c r="E124" s="9"/>
      <c r="F124" s="9"/>
      <c r="G124" s="9"/>
      <c r="H124" s="581"/>
      <c r="I124" s="581"/>
      <c r="J124" s="581"/>
      <c r="K124" s="581"/>
      <c r="L124" s="581"/>
      <c r="M124" s="581"/>
      <c r="N124" s="581"/>
      <c r="O124" s="581"/>
      <c r="P124" s="581"/>
      <c r="Q124" s="581"/>
      <c r="R124" s="581"/>
      <c r="S124" s="581"/>
      <c r="T124" s="581"/>
      <c r="U124" s="9"/>
      <c r="V124" s="9"/>
      <c r="W124" s="9"/>
      <c r="X124" s="9"/>
      <c r="Y124" s="9"/>
      <c r="Z124" s="9"/>
      <c r="AA124" s="9"/>
      <c r="AB124" s="9"/>
      <c r="AC124" s="9"/>
    </row>
    <row r="125" spans="1:29" ht="12.75" customHeight="1" x14ac:dyDescent="0.25">
      <c r="A125" s="9"/>
      <c r="B125" s="9"/>
      <c r="C125" s="9"/>
      <c r="D125" s="9"/>
      <c r="E125" s="9"/>
      <c r="F125" s="9"/>
      <c r="G125" s="9"/>
      <c r="H125" s="581"/>
      <c r="I125" s="581"/>
      <c r="J125" s="581"/>
      <c r="K125" s="581"/>
      <c r="L125" s="581"/>
      <c r="M125" s="581"/>
      <c r="N125" s="581"/>
      <c r="O125" s="581"/>
      <c r="P125" s="581"/>
      <c r="Q125" s="581"/>
      <c r="R125" s="581"/>
      <c r="S125" s="581"/>
      <c r="T125" s="581"/>
      <c r="U125" s="9"/>
      <c r="V125" s="9"/>
      <c r="W125" s="9"/>
      <c r="X125" s="9"/>
      <c r="Y125" s="9"/>
      <c r="Z125" s="9"/>
      <c r="AA125" s="9"/>
      <c r="AB125" s="9"/>
      <c r="AC125" s="9"/>
    </row>
    <row r="126" spans="1:29" ht="12.75" customHeight="1" x14ac:dyDescent="0.25">
      <c r="A126" s="9"/>
      <c r="B126" s="9"/>
      <c r="C126" s="9"/>
      <c r="D126" s="9"/>
      <c r="E126" s="9"/>
      <c r="F126" s="9"/>
      <c r="G126" s="9"/>
      <c r="H126" s="581"/>
      <c r="I126" s="581"/>
      <c r="J126" s="581"/>
      <c r="K126" s="581"/>
      <c r="L126" s="581"/>
      <c r="M126" s="581"/>
      <c r="N126" s="581"/>
      <c r="O126" s="581"/>
      <c r="P126" s="581"/>
      <c r="Q126" s="581"/>
      <c r="R126" s="581"/>
      <c r="S126" s="581"/>
      <c r="T126" s="581"/>
      <c r="U126" s="9"/>
      <c r="V126" s="9"/>
      <c r="W126" s="9"/>
      <c r="X126" s="9"/>
      <c r="Y126" s="9"/>
      <c r="Z126" s="9"/>
      <c r="AA126" s="9"/>
      <c r="AB126" s="9"/>
      <c r="AC126" s="9"/>
    </row>
    <row r="127" spans="1:29" ht="12.75" customHeight="1" x14ac:dyDescent="0.25">
      <c r="A127" s="9"/>
      <c r="B127" s="9"/>
      <c r="C127" s="9"/>
      <c r="D127" s="9"/>
      <c r="E127" s="9"/>
      <c r="F127" s="9"/>
      <c r="G127" s="9"/>
      <c r="H127" s="581"/>
      <c r="I127" s="581"/>
      <c r="J127" s="581"/>
      <c r="K127" s="581"/>
      <c r="L127" s="581"/>
      <c r="M127" s="581"/>
      <c r="N127" s="581"/>
      <c r="O127" s="581"/>
      <c r="P127" s="581"/>
      <c r="Q127" s="581"/>
      <c r="R127" s="581"/>
      <c r="S127" s="581"/>
      <c r="T127" s="581"/>
      <c r="U127" s="9"/>
      <c r="V127" s="9"/>
      <c r="W127" s="9"/>
      <c r="X127" s="9"/>
      <c r="Y127" s="9"/>
      <c r="Z127" s="9"/>
      <c r="AA127" s="9"/>
      <c r="AB127" s="9"/>
      <c r="AC127" s="9"/>
    </row>
    <row r="128" spans="1:29" ht="12.75" customHeight="1" x14ac:dyDescent="0.25">
      <c r="A128" s="9"/>
      <c r="B128" s="9"/>
      <c r="C128" s="9"/>
      <c r="D128" s="9"/>
      <c r="E128" s="9"/>
      <c r="F128" s="9"/>
      <c r="G128" s="9"/>
      <c r="H128" s="581"/>
      <c r="I128" s="581"/>
      <c r="J128" s="581"/>
      <c r="K128" s="581"/>
      <c r="L128" s="581"/>
      <c r="M128" s="581"/>
      <c r="N128" s="581"/>
      <c r="O128" s="581"/>
      <c r="P128" s="581"/>
      <c r="Q128" s="581"/>
      <c r="R128" s="581"/>
      <c r="S128" s="581"/>
      <c r="T128" s="581"/>
      <c r="U128" s="9"/>
      <c r="V128" s="9"/>
      <c r="W128" s="9"/>
      <c r="X128" s="9"/>
      <c r="Y128" s="9"/>
      <c r="Z128" s="9"/>
      <c r="AA128" s="9"/>
      <c r="AB128" s="9"/>
      <c r="AC128" s="9"/>
    </row>
    <row r="129" spans="1:29" ht="12.75" customHeight="1" x14ac:dyDescent="0.25">
      <c r="A129" s="9"/>
      <c r="B129" s="9"/>
      <c r="C129" s="9"/>
      <c r="D129" s="9"/>
      <c r="E129" s="9"/>
      <c r="F129" s="9"/>
      <c r="G129" s="9"/>
      <c r="H129" s="581"/>
      <c r="I129" s="581"/>
      <c r="J129" s="581"/>
      <c r="K129" s="581"/>
      <c r="L129" s="581"/>
      <c r="M129" s="581"/>
      <c r="N129" s="581"/>
      <c r="O129" s="581"/>
      <c r="P129" s="581"/>
      <c r="Q129" s="581"/>
      <c r="R129" s="581"/>
      <c r="S129" s="581"/>
      <c r="T129" s="581"/>
      <c r="U129" s="9"/>
      <c r="V129" s="9"/>
      <c r="W129" s="9"/>
      <c r="X129" s="9"/>
      <c r="Y129" s="9"/>
      <c r="Z129" s="9"/>
      <c r="AA129" s="9"/>
      <c r="AB129" s="9"/>
      <c r="AC129" s="9"/>
    </row>
    <row r="130" spans="1:29" ht="12.75" customHeight="1" x14ac:dyDescent="0.25">
      <c r="A130" s="9"/>
      <c r="B130" s="9"/>
      <c r="C130" s="9"/>
      <c r="D130" s="9"/>
      <c r="E130" s="9"/>
      <c r="F130" s="9"/>
      <c r="G130" s="9"/>
      <c r="H130" s="581"/>
      <c r="I130" s="581"/>
      <c r="J130" s="581"/>
      <c r="K130" s="581"/>
      <c r="L130" s="581"/>
      <c r="M130" s="581"/>
      <c r="N130" s="581"/>
      <c r="O130" s="581"/>
      <c r="P130" s="581"/>
      <c r="Q130" s="581"/>
      <c r="R130" s="581"/>
      <c r="S130" s="581"/>
      <c r="T130" s="581"/>
      <c r="U130" s="9"/>
      <c r="V130" s="9"/>
      <c r="W130" s="9"/>
      <c r="X130" s="9"/>
      <c r="Y130" s="9"/>
      <c r="Z130" s="9"/>
      <c r="AA130" s="9"/>
      <c r="AB130" s="9"/>
      <c r="AC130" s="9"/>
    </row>
    <row r="131" spans="1:29" ht="12.75" customHeight="1" x14ac:dyDescent="0.25">
      <c r="A131" s="9"/>
      <c r="B131" s="9"/>
      <c r="C131" s="9"/>
      <c r="D131" s="9"/>
      <c r="E131" s="9"/>
      <c r="F131" s="9"/>
      <c r="G131" s="9"/>
      <c r="H131" s="581"/>
      <c r="I131" s="581"/>
      <c r="J131" s="581"/>
      <c r="K131" s="581"/>
      <c r="L131" s="581"/>
      <c r="M131" s="581"/>
      <c r="N131" s="581"/>
      <c r="O131" s="581"/>
      <c r="P131" s="581"/>
      <c r="Q131" s="581"/>
      <c r="R131" s="581"/>
      <c r="S131" s="581"/>
      <c r="T131" s="581"/>
      <c r="U131" s="9"/>
      <c r="V131" s="9"/>
      <c r="W131" s="9"/>
      <c r="X131" s="9"/>
      <c r="Y131" s="9"/>
      <c r="Z131" s="9"/>
      <c r="AA131" s="9"/>
      <c r="AB131" s="9"/>
      <c r="AC131" s="9"/>
    </row>
    <row r="132" spans="1:29" ht="12.75" customHeight="1" x14ac:dyDescent="0.25">
      <c r="A132" s="9"/>
      <c r="B132" s="9"/>
      <c r="C132" s="9"/>
      <c r="D132" s="9"/>
      <c r="E132" s="9"/>
      <c r="F132" s="9"/>
      <c r="G132" s="9"/>
      <c r="H132" s="581"/>
      <c r="I132" s="581"/>
      <c r="J132" s="581"/>
      <c r="K132" s="581"/>
      <c r="L132" s="581"/>
      <c r="M132" s="581"/>
      <c r="N132" s="581"/>
      <c r="O132" s="581"/>
      <c r="P132" s="581"/>
      <c r="Q132" s="581"/>
      <c r="R132" s="581"/>
      <c r="S132" s="581"/>
      <c r="T132" s="581"/>
      <c r="U132" s="9"/>
      <c r="V132" s="9"/>
      <c r="W132" s="9"/>
      <c r="X132" s="9"/>
      <c r="Y132" s="9"/>
      <c r="Z132" s="9"/>
      <c r="AA132" s="9"/>
      <c r="AB132" s="9"/>
      <c r="AC132" s="9"/>
    </row>
    <row r="133" spans="1:29" ht="12.75" customHeight="1" x14ac:dyDescent="0.25">
      <c r="A133" s="9"/>
      <c r="B133" s="9"/>
      <c r="C133" s="9"/>
      <c r="D133" s="9"/>
      <c r="E133" s="9"/>
      <c r="F133" s="9"/>
      <c r="G133" s="9"/>
      <c r="H133" s="581"/>
      <c r="I133" s="581"/>
      <c r="J133" s="581"/>
      <c r="K133" s="581"/>
      <c r="L133" s="581"/>
      <c r="M133" s="581"/>
      <c r="N133" s="581"/>
      <c r="O133" s="581"/>
      <c r="P133" s="581"/>
      <c r="Q133" s="581"/>
      <c r="R133" s="581"/>
      <c r="S133" s="581"/>
      <c r="T133" s="581"/>
      <c r="U133" s="9"/>
      <c r="V133" s="9"/>
      <c r="W133" s="9"/>
      <c r="X133" s="9"/>
      <c r="Y133" s="9"/>
      <c r="Z133" s="9"/>
      <c r="AA133" s="9"/>
      <c r="AB133" s="9"/>
      <c r="AC133" s="9"/>
    </row>
    <row r="134" spans="1:29" ht="12.75" customHeight="1" x14ac:dyDescent="0.25">
      <c r="A134" s="9"/>
      <c r="B134" s="9"/>
      <c r="C134" s="9"/>
      <c r="D134" s="9"/>
      <c r="E134" s="9"/>
      <c r="F134" s="9"/>
      <c r="G134" s="9"/>
      <c r="H134" s="581"/>
      <c r="I134" s="581"/>
      <c r="J134" s="581"/>
      <c r="K134" s="581"/>
      <c r="L134" s="581"/>
      <c r="M134" s="581"/>
      <c r="N134" s="581"/>
      <c r="O134" s="581"/>
      <c r="P134" s="581"/>
      <c r="Q134" s="581"/>
      <c r="R134" s="581"/>
      <c r="S134" s="581"/>
      <c r="T134" s="581"/>
      <c r="U134" s="9"/>
      <c r="V134" s="9"/>
      <c r="W134" s="9"/>
      <c r="X134" s="9"/>
      <c r="Y134" s="9"/>
      <c r="Z134" s="9"/>
      <c r="AA134" s="9"/>
      <c r="AB134" s="9"/>
      <c r="AC134" s="9"/>
    </row>
    <row r="135" spans="1:29" ht="12.75" customHeight="1" x14ac:dyDescent="0.25">
      <c r="A135" s="9"/>
      <c r="B135" s="9"/>
      <c r="C135" s="9"/>
      <c r="D135" s="9"/>
      <c r="E135" s="9"/>
      <c r="F135" s="9"/>
      <c r="G135" s="9"/>
      <c r="H135" s="581"/>
      <c r="I135" s="581"/>
      <c r="J135" s="581"/>
      <c r="K135" s="581"/>
      <c r="L135" s="581"/>
      <c r="M135" s="581"/>
      <c r="N135" s="581"/>
      <c r="O135" s="581"/>
      <c r="P135" s="581"/>
      <c r="Q135" s="581"/>
      <c r="R135" s="581"/>
      <c r="S135" s="581"/>
      <c r="T135" s="581"/>
      <c r="U135" s="9"/>
      <c r="V135" s="9"/>
      <c r="W135" s="9"/>
      <c r="X135" s="9"/>
      <c r="Y135" s="9"/>
      <c r="Z135" s="9"/>
      <c r="AA135" s="9"/>
      <c r="AB135" s="9"/>
      <c r="AC135" s="9"/>
    </row>
    <row r="136" spans="1:29" ht="12.75" customHeight="1" x14ac:dyDescent="0.25">
      <c r="A136" s="9"/>
      <c r="B136" s="9"/>
      <c r="C136" s="9"/>
      <c r="D136" s="9"/>
      <c r="E136" s="9"/>
      <c r="F136" s="9"/>
      <c r="G136" s="9"/>
      <c r="H136" s="581"/>
      <c r="I136" s="581"/>
      <c r="J136" s="581"/>
      <c r="K136" s="581"/>
      <c r="L136" s="581"/>
      <c r="M136" s="581"/>
      <c r="N136" s="581"/>
      <c r="O136" s="581"/>
      <c r="P136" s="581"/>
      <c r="Q136" s="581"/>
      <c r="R136" s="581"/>
      <c r="S136" s="581"/>
      <c r="T136" s="581"/>
      <c r="U136" s="9"/>
      <c r="V136" s="9"/>
      <c r="W136" s="9"/>
      <c r="X136" s="9"/>
      <c r="Y136" s="9"/>
      <c r="Z136" s="9"/>
      <c r="AA136" s="9"/>
      <c r="AB136" s="9"/>
      <c r="AC136" s="9"/>
    </row>
    <row r="137" spans="1:29" ht="12.75" customHeight="1" x14ac:dyDescent="0.25">
      <c r="A137" s="9"/>
      <c r="B137" s="9"/>
      <c r="C137" s="9"/>
      <c r="D137" s="9"/>
      <c r="E137" s="9"/>
      <c r="F137" s="9"/>
      <c r="G137" s="9"/>
      <c r="H137" s="581"/>
      <c r="I137" s="581"/>
      <c r="J137" s="581"/>
      <c r="K137" s="581"/>
      <c r="L137" s="581"/>
      <c r="M137" s="581"/>
      <c r="N137" s="581"/>
      <c r="O137" s="581"/>
      <c r="P137" s="581"/>
      <c r="Q137" s="581"/>
      <c r="R137" s="581"/>
      <c r="S137" s="581"/>
      <c r="T137" s="581"/>
      <c r="U137" s="9"/>
      <c r="V137" s="9"/>
      <c r="W137" s="9"/>
      <c r="X137" s="9"/>
      <c r="Y137" s="9"/>
      <c r="Z137" s="9"/>
      <c r="AA137" s="9"/>
      <c r="AB137" s="9"/>
      <c r="AC137" s="9"/>
    </row>
    <row r="138" spans="1:29" ht="12.75" customHeight="1" x14ac:dyDescent="0.25">
      <c r="A138" s="9"/>
      <c r="B138" s="9"/>
      <c r="C138" s="9"/>
      <c r="D138" s="9"/>
      <c r="E138" s="9"/>
      <c r="F138" s="9"/>
      <c r="G138" s="9"/>
      <c r="H138" s="581"/>
      <c r="I138" s="581"/>
      <c r="J138" s="581"/>
      <c r="K138" s="581"/>
      <c r="L138" s="581"/>
      <c r="M138" s="581"/>
      <c r="N138" s="581"/>
      <c r="O138" s="581"/>
      <c r="P138" s="581"/>
      <c r="Q138" s="581"/>
      <c r="R138" s="581"/>
      <c r="S138" s="581"/>
      <c r="T138" s="581"/>
      <c r="U138" s="9"/>
      <c r="V138" s="9"/>
      <c r="W138" s="9"/>
      <c r="X138" s="9"/>
      <c r="Y138" s="9"/>
      <c r="Z138" s="9"/>
      <c r="AA138" s="9"/>
      <c r="AB138" s="9"/>
      <c r="AC138" s="9"/>
    </row>
    <row r="139" spans="1:29" ht="12.75" customHeight="1" x14ac:dyDescent="0.25">
      <c r="A139" s="9"/>
      <c r="B139" s="9"/>
      <c r="C139" s="9"/>
      <c r="D139" s="9"/>
      <c r="E139" s="9"/>
      <c r="F139" s="9"/>
      <c r="G139" s="9"/>
      <c r="H139" s="581"/>
      <c r="I139" s="581"/>
      <c r="J139" s="581"/>
      <c r="K139" s="581"/>
      <c r="L139" s="581"/>
      <c r="M139" s="581"/>
      <c r="N139" s="581"/>
      <c r="O139" s="581"/>
      <c r="P139" s="581"/>
      <c r="Q139" s="581"/>
      <c r="R139" s="581"/>
      <c r="S139" s="581"/>
      <c r="T139" s="581"/>
      <c r="U139" s="9"/>
      <c r="V139" s="9"/>
      <c r="W139" s="9"/>
      <c r="X139" s="9"/>
      <c r="Y139" s="9"/>
      <c r="Z139" s="9"/>
      <c r="AA139" s="9"/>
      <c r="AB139" s="9"/>
      <c r="AC139" s="9"/>
    </row>
    <row r="140" spans="1:29" ht="12.75" customHeight="1" x14ac:dyDescent="0.25">
      <c r="A140" s="9"/>
      <c r="B140" s="9"/>
      <c r="C140" s="9"/>
      <c r="D140" s="9"/>
      <c r="E140" s="9"/>
      <c r="F140" s="9"/>
      <c r="G140" s="9"/>
      <c r="H140" s="581"/>
      <c r="I140" s="581"/>
      <c r="J140" s="581"/>
      <c r="K140" s="581"/>
      <c r="L140" s="581"/>
      <c r="M140" s="581"/>
      <c r="N140" s="581"/>
      <c r="O140" s="581"/>
      <c r="P140" s="581"/>
      <c r="Q140" s="581"/>
      <c r="R140" s="581"/>
      <c r="S140" s="581"/>
      <c r="T140" s="581"/>
      <c r="U140" s="9"/>
      <c r="V140" s="9"/>
      <c r="W140" s="9"/>
      <c r="X140" s="9"/>
      <c r="Y140" s="9"/>
      <c r="Z140" s="9"/>
      <c r="AA140" s="9"/>
      <c r="AB140" s="9"/>
      <c r="AC140" s="9"/>
    </row>
    <row r="141" spans="1:29" ht="12.75" customHeight="1" x14ac:dyDescent="0.25">
      <c r="A141" s="9"/>
      <c r="B141" s="9"/>
      <c r="C141" s="9"/>
      <c r="D141" s="9"/>
      <c r="E141" s="9"/>
      <c r="F141" s="9"/>
      <c r="G141" s="9"/>
      <c r="H141" s="581"/>
      <c r="I141" s="581"/>
      <c r="J141" s="581"/>
      <c r="K141" s="581"/>
      <c r="L141" s="581"/>
      <c r="M141" s="581"/>
      <c r="N141" s="581"/>
      <c r="O141" s="581"/>
      <c r="P141" s="581"/>
      <c r="Q141" s="581"/>
      <c r="R141" s="581"/>
      <c r="S141" s="581"/>
      <c r="T141" s="581"/>
      <c r="U141" s="9"/>
      <c r="V141" s="9"/>
      <c r="W141" s="9"/>
      <c r="X141" s="9"/>
      <c r="Y141" s="9"/>
      <c r="Z141" s="9"/>
      <c r="AA141" s="9"/>
      <c r="AB141" s="9"/>
      <c r="AC141" s="9"/>
    </row>
    <row r="142" spans="1:29" ht="12.75" customHeight="1" x14ac:dyDescent="0.25">
      <c r="A142" s="9"/>
      <c r="B142" s="9"/>
      <c r="C142" s="9"/>
      <c r="D142" s="9"/>
      <c r="E142" s="9"/>
      <c r="F142" s="9"/>
      <c r="G142" s="9"/>
      <c r="H142" s="581"/>
      <c r="I142" s="581"/>
      <c r="J142" s="581"/>
      <c r="K142" s="581"/>
      <c r="L142" s="581"/>
      <c r="M142" s="581"/>
      <c r="N142" s="581"/>
      <c r="O142" s="581"/>
      <c r="P142" s="581"/>
      <c r="Q142" s="581"/>
      <c r="R142" s="581"/>
      <c r="S142" s="581"/>
      <c r="T142" s="581"/>
      <c r="U142" s="9"/>
      <c r="V142" s="9"/>
      <c r="W142" s="9"/>
      <c r="X142" s="9"/>
      <c r="Y142" s="9"/>
      <c r="Z142" s="9"/>
      <c r="AA142" s="9"/>
      <c r="AB142" s="9"/>
      <c r="AC142" s="9"/>
    </row>
    <row r="143" spans="1:29" ht="12.75" customHeight="1" x14ac:dyDescent="0.25">
      <c r="A143" s="9"/>
      <c r="B143" s="9"/>
      <c r="C143" s="9"/>
      <c r="D143" s="9"/>
      <c r="E143" s="9"/>
      <c r="F143" s="9"/>
      <c r="G143" s="9"/>
      <c r="H143" s="581"/>
      <c r="I143" s="581"/>
      <c r="J143" s="581"/>
      <c r="K143" s="581"/>
      <c r="L143" s="581"/>
      <c r="M143" s="581"/>
      <c r="N143" s="581"/>
      <c r="O143" s="581"/>
      <c r="P143" s="581"/>
      <c r="Q143" s="581"/>
      <c r="R143" s="581"/>
      <c r="S143" s="581"/>
      <c r="T143" s="581"/>
      <c r="U143" s="9"/>
      <c r="V143" s="9"/>
      <c r="W143" s="9"/>
      <c r="X143" s="9"/>
      <c r="Y143" s="9"/>
      <c r="Z143" s="9"/>
      <c r="AA143" s="9"/>
      <c r="AB143" s="9"/>
      <c r="AC143" s="9"/>
    </row>
    <row r="144" spans="1:29" ht="12.75" customHeight="1" x14ac:dyDescent="0.25">
      <c r="A144" s="9"/>
      <c r="B144" s="9"/>
      <c r="C144" s="9"/>
      <c r="D144" s="9"/>
      <c r="E144" s="9"/>
      <c r="F144" s="9"/>
      <c r="G144" s="9"/>
      <c r="H144" s="581"/>
      <c r="I144" s="581"/>
      <c r="J144" s="581"/>
      <c r="K144" s="581"/>
      <c r="L144" s="581"/>
      <c r="M144" s="581"/>
      <c r="N144" s="581"/>
      <c r="O144" s="581"/>
      <c r="P144" s="581"/>
      <c r="Q144" s="581"/>
      <c r="R144" s="581"/>
      <c r="S144" s="581"/>
      <c r="T144" s="581"/>
      <c r="U144" s="9"/>
      <c r="V144" s="9"/>
      <c r="W144" s="9"/>
      <c r="X144" s="9"/>
      <c r="Y144" s="9"/>
      <c r="Z144" s="9"/>
      <c r="AA144" s="9"/>
      <c r="AB144" s="9"/>
      <c r="AC144" s="9"/>
    </row>
    <row r="145" spans="1:29" ht="12.75" customHeight="1" x14ac:dyDescent="0.25">
      <c r="A145" s="9"/>
      <c r="B145" s="9"/>
      <c r="C145" s="9"/>
      <c r="D145" s="9"/>
      <c r="E145" s="9"/>
      <c r="F145" s="9"/>
      <c r="G145" s="9"/>
      <c r="H145" s="581"/>
      <c r="I145" s="581"/>
      <c r="J145" s="581"/>
      <c r="K145" s="581"/>
      <c r="L145" s="581"/>
      <c r="M145" s="581"/>
      <c r="N145" s="581"/>
      <c r="O145" s="581"/>
      <c r="P145" s="581"/>
      <c r="Q145" s="581"/>
      <c r="R145" s="581"/>
      <c r="S145" s="581"/>
      <c r="T145" s="581"/>
      <c r="U145" s="9"/>
      <c r="V145" s="9"/>
      <c r="W145" s="9"/>
      <c r="X145" s="9"/>
      <c r="Y145" s="9"/>
      <c r="Z145" s="9"/>
      <c r="AA145" s="9"/>
      <c r="AB145" s="9"/>
      <c r="AC145" s="9"/>
    </row>
    <row r="146" spans="1:29" ht="12.75" customHeight="1" x14ac:dyDescent="0.25">
      <c r="A146" s="9"/>
      <c r="B146" s="9"/>
      <c r="C146" s="9"/>
      <c r="D146" s="9"/>
      <c r="E146" s="9"/>
      <c r="F146" s="9"/>
      <c r="G146" s="9"/>
      <c r="H146" s="581"/>
      <c r="I146" s="581"/>
      <c r="J146" s="581"/>
      <c r="K146" s="581"/>
      <c r="L146" s="581"/>
      <c r="M146" s="581"/>
      <c r="N146" s="581"/>
      <c r="O146" s="581"/>
      <c r="P146" s="581"/>
      <c r="Q146" s="581"/>
      <c r="R146" s="581"/>
      <c r="S146" s="581"/>
      <c r="T146" s="581"/>
      <c r="U146" s="9"/>
      <c r="V146" s="9"/>
      <c r="W146" s="9"/>
      <c r="X146" s="9"/>
      <c r="Y146" s="9"/>
      <c r="Z146" s="9"/>
      <c r="AA146" s="9"/>
      <c r="AB146" s="9"/>
      <c r="AC146" s="9"/>
    </row>
    <row r="147" spans="1:29" ht="12.75" customHeight="1" x14ac:dyDescent="0.25">
      <c r="A147" s="9"/>
      <c r="B147" s="9"/>
      <c r="C147" s="9"/>
      <c r="D147" s="9"/>
      <c r="E147" s="9"/>
      <c r="F147" s="9"/>
      <c r="G147" s="9"/>
      <c r="H147" s="581"/>
      <c r="I147" s="581"/>
      <c r="J147" s="581"/>
      <c r="K147" s="581"/>
      <c r="L147" s="581"/>
      <c r="M147" s="581"/>
      <c r="N147" s="581"/>
      <c r="O147" s="581"/>
      <c r="P147" s="581"/>
      <c r="Q147" s="581"/>
      <c r="R147" s="581"/>
      <c r="S147" s="581"/>
      <c r="T147" s="581"/>
      <c r="U147" s="9"/>
      <c r="V147" s="9"/>
      <c r="W147" s="9"/>
      <c r="X147" s="9"/>
      <c r="Y147" s="9"/>
      <c r="Z147" s="9"/>
      <c r="AA147" s="9"/>
      <c r="AB147" s="9"/>
      <c r="AC147" s="9"/>
    </row>
    <row r="148" spans="1:29" ht="12.75" customHeight="1" x14ac:dyDescent="0.25">
      <c r="A148" s="9"/>
      <c r="B148" s="9"/>
      <c r="C148" s="9"/>
      <c r="D148" s="9"/>
      <c r="E148" s="9"/>
      <c r="F148" s="9"/>
      <c r="G148" s="9"/>
      <c r="H148" s="581"/>
      <c r="I148" s="581"/>
      <c r="J148" s="581"/>
      <c r="K148" s="581"/>
      <c r="L148" s="581"/>
      <c r="M148" s="581"/>
      <c r="N148" s="581"/>
      <c r="O148" s="581"/>
      <c r="P148" s="581"/>
      <c r="Q148" s="581"/>
      <c r="R148" s="581"/>
      <c r="S148" s="581"/>
      <c r="T148" s="581"/>
      <c r="U148" s="9"/>
      <c r="V148" s="9"/>
      <c r="W148" s="9"/>
      <c r="X148" s="9"/>
      <c r="Y148" s="9"/>
      <c r="Z148" s="9"/>
      <c r="AA148" s="9"/>
      <c r="AB148" s="9"/>
      <c r="AC148" s="9"/>
    </row>
    <row r="149" spans="1:29" ht="12.75" customHeight="1" x14ac:dyDescent="0.25">
      <c r="A149" s="9"/>
      <c r="B149" s="9"/>
      <c r="C149" s="9"/>
      <c r="D149" s="9"/>
      <c r="E149" s="9"/>
      <c r="F149" s="9"/>
      <c r="G149" s="9"/>
      <c r="H149" s="581"/>
      <c r="I149" s="581"/>
      <c r="J149" s="581"/>
      <c r="K149" s="581"/>
      <c r="L149" s="581"/>
      <c r="M149" s="581"/>
      <c r="N149" s="581"/>
      <c r="O149" s="581"/>
      <c r="P149" s="581"/>
      <c r="Q149" s="581"/>
      <c r="R149" s="581"/>
      <c r="S149" s="581"/>
      <c r="T149" s="581"/>
      <c r="U149" s="9"/>
      <c r="V149" s="9"/>
      <c r="W149" s="9"/>
      <c r="X149" s="9"/>
      <c r="Y149" s="9"/>
      <c r="Z149" s="9"/>
      <c r="AA149" s="9"/>
      <c r="AB149" s="9"/>
      <c r="AC149" s="9"/>
    </row>
    <row r="150" spans="1:29" ht="12.75" customHeight="1" x14ac:dyDescent="0.25">
      <c r="A150" s="9"/>
      <c r="B150" s="9"/>
      <c r="C150" s="9"/>
      <c r="D150" s="9"/>
      <c r="E150" s="9"/>
      <c r="F150" s="9"/>
      <c r="G150" s="9"/>
      <c r="H150" s="581"/>
      <c r="I150" s="581"/>
      <c r="J150" s="581"/>
      <c r="K150" s="581"/>
      <c r="L150" s="581"/>
      <c r="M150" s="581"/>
      <c r="N150" s="581"/>
      <c r="O150" s="581"/>
      <c r="P150" s="581"/>
      <c r="Q150" s="581"/>
      <c r="R150" s="581"/>
      <c r="S150" s="581"/>
      <c r="T150" s="581"/>
      <c r="U150" s="9"/>
      <c r="V150" s="9"/>
      <c r="W150" s="9"/>
      <c r="X150" s="9"/>
      <c r="Y150" s="9"/>
      <c r="Z150" s="9"/>
      <c r="AA150" s="9"/>
      <c r="AB150" s="9"/>
      <c r="AC150" s="9"/>
    </row>
    <row r="151" spans="1:29" ht="12.75" customHeight="1" x14ac:dyDescent="0.25">
      <c r="A151" s="9"/>
      <c r="B151" s="9"/>
      <c r="C151" s="9"/>
      <c r="D151" s="9"/>
      <c r="E151" s="9"/>
      <c r="F151" s="9"/>
      <c r="G151" s="9"/>
      <c r="H151" s="581"/>
      <c r="I151" s="581"/>
      <c r="J151" s="581"/>
      <c r="K151" s="581"/>
      <c r="L151" s="581"/>
      <c r="M151" s="581"/>
      <c r="N151" s="581"/>
      <c r="O151" s="581"/>
      <c r="P151" s="581"/>
      <c r="Q151" s="581"/>
      <c r="R151" s="581"/>
      <c r="S151" s="581"/>
      <c r="T151" s="581"/>
      <c r="U151" s="9"/>
      <c r="V151" s="9"/>
      <c r="W151" s="9"/>
      <c r="X151" s="9"/>
      <c r="Y151" s="9"/>
      <c r="Z151" s="9"/>
      <c r="AA151" s="9"/>
      <c r="AB151" s="9"/>
      <c r="AC151" s="9"/>
    </row>
    <row r="152" spans="1:29" ht="12.75" customHeight="1" x14ac:dyDescent="0.25">
      <c r="A152" s="9"/>
      <c r="B152" s="9"/>
      <c r="C152" s="9"/>
      <c r="D152" s="9"/>
      <c r="E152" s="9"/>
      <c r="F152" s="9"/>
      <c r="G152" s="9"/>
      <c r="H152" s="581"/>
      <c r="I152" s="581"/>
      <c r="J152" s="581"/>
      <c r="K152" s="581"/>
      <c r="L152" s="581"/>
      <c r="M152" s="581"/>
      <c r="N152" s="581"/>
      <c r="O152" s="581"/>
      <c r="P152" s="581"/>
      <c r="Q152" s="581"/>
      <c r="R152" s="581"/>
      <c r="S152" s="581"/>
      <c r="T152" s="581"/>
      <c r="U152" s="9"/>
      <c r="V152" s="9"/>
      <c r="W152" s="9"/>
      <c r="X152" s="9"/>
      <c r="Y152" s="9"/>
      <c r="Z152" s="9"/>
      <c r="AA152" s="9"/>
      <c r="AB152" s="9"/>
      <c r="AC152" s="9"/>
    </row>
    <row r="153" spans="1:29" ht="12.75" customHeight="1" x14ac:dyDescent="0.25">
      <c r="A153" s="9"/>
      <c r="B153" s="9"/>
      <c r="C153" s="9"/>
      <c r="D153" s="9"/>
      <c r="E153" s="9"/>
      <c r="F153" s="9"/>
      <c r="G153" s="9"/>
      <c r="H153" s="581"/>
      <c r="I153" s="581"/>
      <c r="J153" s="581"/>
      <c r="K153" s="581"/>
      <c r="L153" s="581"/>
      <c r="M153" s="581"/>
      <c r="N153" s="581"/>
      <c r="O153" s="581"/>
      <c r="P153" s="581"/>
      <c r="Q153" s="581"/>
      <c r="R153" s="581"/>
      <c r="S153" s="581"/>
      <c r="T153" s="581"/>
      <c r="U153" s="9"/>
      <c r="V153" s="9"/>
      <c r="W153" s="9"/>
      <c r="X153" s="9"/>
      <c r="Y153" s="9"/>
      <c r="Z153" s="9"/>
      <c r="AA153" s="9"/>
      <c r="AB153" s="9"/>
      <c r="AC153" s="9"/>
    </row>
    <row r="154" spans="1:29" ht="12.75" customHeight="1" x14ac:dyDescent="0.25">
      <c r="A154" s="9"/>
      <c r="B154" s="9"/>
      <c r="C154" s="9"/>
      <c r="D154" s="9"/>
      <c r="E154" s="9"/>
      <c r="F154" s="9"/>
      <c r="G154" s="9"/>
      <c r="H154" s="581"/>
      <c r="I154" s="581"/>
      <c r="J154" s="581"/>
      <c r="K154" s="581"/>
      <c r="L154" s="581"/>
      <c r="M154" s="581"/>
      <c r="N154" s="581"/>
      <c r="O154" s="581"/>
      <c r="P154" s="581"/>
      <c r="Q154" s="581"/>
      <c r="R154" s="581"/>
      <c r="S154" s="581"/>
      <c r="T154" s="581"/>
      <c r="U154" s="9"/>
      <c r="V154" s="9"/>
      <c r="W154" s="9"/>
      <c r="X154" s="9"/>
      <c r="Y154" s="9"/>
      <c r="Z154" s="9"/>
      <c r="AA154" s="9"/>
      <c r="AB154" s="9"/>
      <c r="AC154" s="9"/>
    </row>
    <row r="155" spans="1:29" ht="12.75" customHeight="1" x14ac:dyDescent="0.25">
      <c r="A155" s="9"/>
      <c r="B155" s="9"/>
      <c r="C155" s="9"/>
      <c r="D155" s="9"/>
      <c r="E155" s="9"/>
      <c r="F155" s="9"/>
      <c r="G155" s="9"/>
      <c r="H155" s="581"/>
      <c r="I155" s="581"/>
      <c r="J155" s="581"/>
      <c r="K155" s="581"/>
      <c r="L155" s="581"/>
      <c r="M155" s="581"/>
      <c r="N155" s="581"/>
      <c r="O155" s="581"/>
      <c r="P155" s="581"/>
      <c r="Q155" s="581"/>
      <c r="R155" s="581"/>
      <c r="S155" s="581"/>
      <c r="T155" s="581"/>
      <c r="U155" s="9"/>
      <c r="V155" s="9"/>
      <c r="W155" s="9"/>
      <c r="X155" s="9"/>
      <c r="Y155" s="9"/>
      <c r="Z155" s="9"/>
      <c r="AA155" s="9"/>
      <c r="AB155" s="9"/>
      <c r="AC155" s="9"/>
    </row>
    <row r="156" spans="1:29" ht="12.75" customHeight="1" x14ac:dyDescent="0.25">
      <c r="A156" s="9"/>
      <c r="B156" s="9"/>
      <c r="C156" s="9"/>
      <c r="D156" s="9"/>
      <c r="E156" s="9"/>
      <c r="F156" s="9"/>
      <c r="G156" s="9"/>
      <c r="H156" s="581"/>
      <c r="I156" s="581"/>
      <c r="J156" s="581"/>
      <c r="K156" s="581"/>
      <c r="L156" s="581"/>
      <c r="M156" s="581"/>
      <c r="N156" s="581"/>
      <c r="O156" s="581"/>
      <c r="P156" s="581"/>
      <c r="Q156" s="581"/>
      <c r="R156" s="581"/>
      <c r="S156" s="581"/>
      <c r="T156" s="581"/>
      <c r="U156" s="9"/>
      <c r="V156" s="9"/>
      <c r="W156" s="9"/>
      <c r="X156" s="9"/>
      <c r="Y156" s="9"/>
      <c r="Z156" s="9"/>
      <c r="AA156" s="9"/>
      <c r="AB156" s="9"/>
      <c r="AC156" s="9"/>
    </row>
    <row r="157" spans="1:29" ht="12.75" customHeight="1" x14ac:dyDescent="0.25">
      <c r="A157" s="9"/>
      <c r="B157" s="9"/>
      <c r="C157" s="9"/>
      <c r="D157" s="9"/>
      <c r="E157" s="9"/>
      <c r="F157" s="9"/>
      <c r="G157" s="9"/>
      <c r="H157" s="581"/>
      <c r="I157" s="581"/>
      <c r="J157" s="581"/>
      <c r="K157" s="581"/>
      <c r="L157" s="581"/>
      <c r="M157" s="581"/>
      <c r="N157" s="581"/>
      <c r="O157" s="581"/>
      <c r="P157" s="581"/>
      <c r="Q157" s="581"/>
      <c r="R157" s="581"/>
      <c r="S157" s="581"/>
      <c r="T157" s="581"/>
      <c r="U157" s="9"/>
      <c r="V157" s="9"/>
      <c r="W157" s="9"/>
      <c r="X157" s="9"/>
      <c r="Y157" s="9"/>
      <c r="Z157" s="9"/>
      <c r="AA157" s="9"/>
      <c r="AB157" s="9"/>
      <c r="AC157" s="9"/>
    </row>
    <row r="158" spans="1:29" ht="12.75" customHeight="1" x14ac:dyDescent="0.25">
      <c r="A158" s="9"/>
      <c r="B158" s="9"/>
      <c r="C158" s="9"/>
      <c r="D158" s="9"/>
      <c r="E158" s="9"/>
      <c r="F158" s="9"/>
      <c r="G158" s="9"/>
      <c r="H158" s="581"/>
      <c r="I158" s="581"/>
      <c r="J158" s="581"/>
      <c r="K158" s="581"/>
      <c r="L158" s="581"/>
      <c r="M158" s="581"/>
      <c r="N158" s="581"/>
      <c r="O158" s="581"/>
      <c r="P158" s="581"/>
      <c r="Q158" s="581"/>
      <c r="R158" s="581"/>
      <c r="S158" s="581"/>
      <c r="T158" s="581"/>
      <c r="U158" s="9"/>
      <c r="V158" s="9"/>
      <c r="W158" s="9"/>
      <c r="X158" s="9"/>
      <c r="Y158" s="9"/>
      <c r="Z158" s="9"/>
      <c r="AA158" s="9"/>
      <c r="AB158" s="9"/>
      <c r="AC158" s="9"/>
    </row>
    <row r="159" spans="1:29" ht="12.75" customHeight="1" x14ac:dyDescent="0.25">
      <c r="A159" s="9"/>
      <c r="B159" s="9"/>
      <c r="C159" s="9"/>
      <c r="D159" s="9"/>
      <c r="E159" s="9"/>
      <c r="F159" s="9"/>
      <c r="G159" s="9"/>
      <c r="H159" s="581"/>
      <c r="I159" s="581"/>
      <c r="J159" s="581"/>
      <c r="K159" s="581"/>
      <c r="L159" s="581"/>
      <c r="M159" s="581"/>
      <c r="N159" s="581"/>
      <c r="O159" s="581"/>
      <c r="P159" s="581"/>
      <c r="Q159" s="581"/>
      <c r="R159" s="581"/>
      <c r="S159" s="581"/>
      <c r="T159" s="581"/>
      <c r="U159" s="9"/>
      <c r="V159" s="9"/>
      <c r="W159" s="9"/>
      <c r="X159" s="9"/>
      <c r="Y159" s="9"/>
      <c r="Z159" s="9"/>
      <c r="AA159" s="9"/>
      <c r="AB159" s="9"/>
      <c r="AC159" s="9"/>
    </row>
    <row r="160" spans="1:29" ht="12.75" customHeight="1" x14ac:dyDescent="0.25">
      <c r="A160" s="9"/>
      <c r="B160" s="9"/>
      <c r="C160" s="9"/>
      <c r="D160" s="9"/>
      <c r="E160" s="9"/>
      <c r="F160" s="9"/>
      <c r="G160" s="9"/>
      <c r="H160" s="581"/>
      <c r="I160" s="581"/>
      <c r="J160" s="581"/>
      <c r="K160" s="581"/>
      <c r="L160" s="581"/>
      <c r="M160" s="581"/>
      <c r="N160" s="581"/>
      <c r="O160" s="581"/>
      <c r="P160" s="581"/>
      <c r="Q160" s="581"/>
      <c r="R160" s="581"/>
      <c r="S160" s="581"/>
      <c r="T160" s="581"/>
      <c r="U160" s="9"/>
      <c r="V160" s="9"/>
      <c r="W160" s="9"/>
      <c r="X160" s="9"/>
      <c r="Y160" s="9"/>
      <c r="Z160" s="9"/>
      <c r="AA160" s="9"/>
      <c r="AB160" s="9"/>
      <c r="AC160" s="9"/>
    </row>
    <row r="161" spans="1:29" ht="12.75" customHeight="1" x14ac:dyDescent="0.25">
      <c r="A161" s="9"/>
      <c r="B161" s="9"/>
      <c r="C161" s="9"/>
      <c r="D161" s="9"/>
      <c r="E161" s="9"/>
      <c r="F161" s="9"/>
      <c r="G161" s="9"/>
      <c r="H161" s="581"/>
      <c r="I161" s="581"/>
      <c r="J161" s="581"/>
      <c r="K161" s="581"/>
      <c r="L161" s="581"/>
      <c r="M161" s="581"/>
      <c r="N161" s="581"/>
      <c r="O161" s="581"/>
      <c r="P161" s="581"/>
      <c r="Q161" s="581"/>
      <c r="R161" s="581"/>
      <c r="S161" s="581"/>
      <c r="T161" s="581"/>
      <c r="U161" s="9"/>
      <c r="V161" s="9"/>
      <c r="W161" s="9"/>
      <c r="X161" s="9"/>
      <c r="Y161" s="9"/>
      <c r="Z161" s="9"/>
      <c r="AA161" s="9"/>
      <c r="AB161" s="9"/>
      <c r="AC161" s="9"/>
    </row>
    <row r="162" spans="1:29" ht="12.75" customHeight="1" x14ac:dyDescent="0.25">
      <c r="A162" s="9"/>
      <c r="B162" s="9"/>
      <c r="C162" s="9"/>
      <c r="D162" s="9"/>
      <c r="E162" s="9"/>
      <c r="F162" s="9"/>
      <c r="G162" s="9"/>
      <c r="H162" s="581"/>
      <c r="I162" s="581"/>
      <c r="J162" s="581"/>
      <c r="K162" s="581"/>
      <c r="L162" s="581"/>
      <c r="M162" s="581"/>
      <c r="N162" s="581"/>
      <c r="O162" s="581"/>
      <c r="P162" s="581"/>
      <c r="Q162" s="581"/>
      <c r="R162" s="581"/>
      <c r="S162" s="581"/>
      <c r="T162" s="581"/>
      <c r="U162" s="9"/>
      <c r="V162" s="9"/>
      <c r="W162" s="9"/>
      <c r="X162" s="9"/>
      <c r="Y162" s="9"/>
      <c r="Z162" s="9"/>
      <c r="AA162" s="9"/>
      <c r="AB162" s="9"/>
      <c r="AC162" s="9"/>
    </row>
    <row r="163" spans="1:29" ht="12.75" customHeight="1" x14ac:dyDescent="0.25">
      <c r="A163" s="9"/>
      <c r="B163" s="9"/>
      <c r="C163" s="9"/>
      <c r="D163" s="9"/>
      <c r="E163" s="9"/>
      <c r="F163" s="9"/>
      <c r="G163" s="9"/>
      <c r="H163" s="581"/>
      <c r="I163" s="581"/>
      <c r="J163" s="581"/>
      <c r="K163" s="581"/>
      <c r="L163" s="581"/>
      <c r="M163" s="581"/>
      <c r="N163" s="581"/>
      <c r="O163" s="581"/>
      <c r="P163" s="581"/>
      <c r="Q163" s="581"/>
      <c r="R163" s="581"/>
      <c r="S163" s="581"/>
      <c r="T163" s="581"/>
      <c r="U163" s="9"/>
      <c r="V163" s="9"/>
      <c r="W163" s="9"/>
      <c r="X163" s="9"/>
      <c r="Y163" s="9"/>
      <c r="Z163" s="9"/>
      <c r="AA163" s="9"/>
      <c r="AB163" s="9"/>
      <c r="AC163" s="9"/>
    </row>
    <row r="164" spans="1:29" ht="12.75" customHeight="1" x14ac:dyDescent="0.25">
      <c r="A164" s="9"/>
      <c r="B164" s="9"/>
      <c r="C164" s="9"/>
      <c r="D164" s="9"/>
      <c r="E164" s="9"/>
      <c r="F164" s="9"/>
      <c r="G164" s="9"/>
      <c r="H164" s="581"/>
      <c r="I164" s="581"/>
      <c r="J164" s="581"/>
      <c r="K164" s="581"/>
      <c r="L164" s="581"/>
      <c r="M164" s="581"/>
      <c r="N164" s="581"/>
      <c r="O164" s="581"/>
      <c r="P164" s="581"/>
      <c r="Q164" s="581"/>
      <c r="R164" s="581"/>
      <c r="S164" s="581"/>
      <c r="T164" s="581"/>
      <c r="U164" s="9"/>
      <c r="V164" s="9"/>
      <c r="W164" s="9"/>
      <c r="X164" s="9"/>
      <c r="Y164" s="9"/>
      <c r="Z164" s="9"/>
      <c r="AA164" s="9"/>
      <c r="AB164" s="9"/>
      <c r="AC164" s="9"/>
    </row>
    <row r="165" spans="1:29" ht="12.75" customHeight="1" x14ac:dyDescent="0.25">
      <c r="A165" s="9"/>
      <c r="B165" s="9"/>
      <c r="C165" s="9"/>
      <c r="D165" s="9"/>
      <c r="E165" s="9"/>
      <c r="F165" s="9"/>
      <c r="G165" s="9"/>
      <c r="H165" s="581"/>
      <c r="I165" s="581"/>
      <c r="J165" s="581"/>
      <c r="K165" s="581"/>
      <c r="L165" s="581"/>
      <c r="M165" s="581"/>
      <c r="N165" s="581"/>
      <c r="O165" s="581"/>
      <c r="P165" s="581"/>
      <c r="Q165" s="581"/>
      <c r="R165" s="581"/>
      <c r="S165" s="581"/>
      <c r="T165" s="581"/>
      <c r="U165" s="9"/>
      <c r="V165" s="9"/>
      <c r="W165" s="9"/>
      <c r="X165" s="9"/>
      <c r="Y165" s="9"/>
      <c r="Z165" s="9"/>
      <c r="AA165" s="9"/>
      <c r="AB165" s="9"/>
      <c r="AC165" s="9"/>
    </row>
    <row r="166" spans="1:29" ht="12.75" customHeight="1" x14ac:dyDescent="0.25">
      <c r="A166" s="9"/>
      <c r="B166" s="9"/>
      <c r="C166" s="9"/>
      <c r="D166" s="9"/>
      <c r="E166" s="9"/>
      <c r="F166" s="9"/>
      <c r="G166" s="9"/>
      <c r="H166" s="581"/>
      <c r="I166" s="581"/>
      <c r="J166" s="581"/>
      <c r="K166" s="581"/>
      <c r="L166" s="581"/>
      <c r="M166" s="581"/>
      <c r="N166" s="581"/>
      <c r="O166" s="581"/>
      <c r="P166" s="581"/>
      <c r="Q166" s="581"/>
      <c r="R166" s="581"/>
      <c r="S166" s="581"/>
      <c r="T166" s="581"/>
      <c r="U166" s="9"/>
      <c r="V166" s="9"/>
      <c r="W166" s="9"/>
      <c r="X166" s="9"/>
      <c r="Y166" s="9"/>
      <c r="Z166" s="9"/>
      <c r="AA166" s="9"/>
      <c r="AB166" s="9"/>
      <c r="AC166" s="9"/>
    </row>
    <row r="167" spans="1:29" ht="12.75" customHeight="1" x14ac:dyDescent="0.25">
      <c r="A167" s="9"/>
      <c r="B167" s="9"/>
      <c r="C167" s="9"/>
      <c r="D167" s="9"/>
      <c r="E167" s="9"/>
      <c r="F167" s="9"/>
      <c r="G167" s="9"/>
      <c r="H167" s="581"/>
      <c r="I167" s="581"/>
      <c r="J167" s="581"/>
      <c r="K167" s="581"/>
      <c r="L167" s="581"/>
      <c r="M167" s="581"/>
      <c r="N167" s="581"/>
      <c r="O167" s="581"/>
      <c r="P167" s="581"/>
      <c r="Q167" s="581"/>
      <c r="R167" s="581"/>
      <c r="S167" s="581"/>
      <c r="T167" s="581"/>
      <c r="U167" s="9"/>
      <c r="V167" s="9"/>
      <c r="W167" s="9"/>
      <c r="X167" s="9"/>
      <c r="Y167" s="9"/>
      <c r="Z167" s="9"/>
      <c r="AA167" s="9"/>
      <c r="AB167" s="9"/>
      <c r="AC167" s="9"/>
    </row>
    <row r="168" spans="1:29" ht="12.75" customHeight="1" x14ac:dyDescent="0.25">
      <c r="A168" s="9"/>
      <c r="B168" s="9"/>
      <c r="C168" s="9"/>
      <c r="D168" s="9"/>
      <c r="E168" s="9"/>
      <c r="F168" s="9"/>
      <c r="G168" s="9"/>
      <c r="H168" s="581"/>
      <c r="I168" s="581"/>
      <c r="J168" s="581"/>
      <c r="K168" s="581"/>
      <c r="L168" s="581"/>
      <c r="M168" s="581"/>
      <c r="N168" s="581"/>
      <c r="O168" s="581"/>
      <c r="P168" s="581"/>
      <c r="Q168" s="581"/>
      <c r="R168" s="581"/>
      <c r="S168" s="581"/>
      <c r="T168" s="581"/>
      <c r="U168" s="9"/>
      <c r="V168" s="9"/>
      <c r="W168" s="9"/>
      <c r="X168" s="9"/>
      <c r="Y168" s="9"/>
      <c r="Z168" s="9"/>
      <c r="AA168" s="9"/>
      <c r="AB168" s="9"/>
      <c r="AC168" s="9"/>
    </row>
    <row r="169" spans="1:29" ht="12.75" customHeight="1" x14ac:dyDescent="0.25">
      <c r="A169" s="9"/>
      <c r="B169" s="9"/>
      <c r="C169" s="9"/>
      <c r="D169" s="9"/>
      <c r="E169" s="9"/>
      <c r="F169" s="9"/>
      <c r="G169" s="9"/>
      <c r="H169" s="581"/>
      <c r="I169" s="581"/>
      <c r="J169" s="581"/>
      <c r="K169" s="581"/>
      <c r="L169" s="581"/>
      <c r="M169" s="581"/>
      <c r="N169" s="581"/>
      <c r="O169" s="581"/>
      <c r="P169" s="581"/>
      <c r="Q169" s="581"/>
      <c r="R169" s="581"/>
      <c r="S169" s="581"/>
      <c r="T169" s="581"/>
      <c r="U169" s="9"/>
      <c r="V169" s="9"/>
      <c r="W169" s="9"/>
      <c r="X169" s="9"/>
      <c r="Y169" s="9"/>
      <c r="Z169" s="9"/>
      <c r="AA169" s="9"/>
      <c r="AB169" s="9"/>
      <c r="AC169" s="9"/>
    </row>
    <row r="170" spans="1:29" ht="12.75" customHeight="1" x14ac:dyDescent="0.25">
      <c r="A170" s="9"/>
      <c r="B170" s="9"/>
      <c r="C170" s="9"/>
      <c r="D170" s="9"/>
      <c r="E170" s="9"/>
      <c r="F170" s="9"/>
      <c r="G170" s="9"/>
      <c r="H170" s="581"/>
      <c r="I170" s="581"/>
      <c r="J170" s="581"/>
      <c r="K170" s="581"/>
      <c r="L170" s="581"/>
      <c r="M170" s="581"/>
      <c r="N170" s="581"/>
      <c r="O170" s="581"/>
      <c r="P170" s="581"/>
      <c r="Q170" s="581"/>
      <c r="R170" s="581"/>
      <c r="S170" s="581"/>
      <c r="T170" s="581"/>
      <c r="U170" s="9"/>
      <c r="V170" s="9"/>
      <c r="W170" s="9"/>
      <c r="X170" s="9"/>
      <c r="Y170" s="9"/>
      <c r="Z170" s="9"/>
      <c r="AA170" s="9"/>
      <c r="AB170" s="9"/>
      <c r="AC170" s="9"/>
    </row>
    <row r="171" spans="1:29" ht="12.75" customHeight="1" x14ac:dyDescent="0.25">
      <c r="A171" s="9"/>
      <c r="B171" s="9"/>
      <c r="C171" s="9"/>
      <c r="D171" s="9"/>
      <c r="E171" s="9"/>
      <c r="F171" s="9"/>
      <c r="G171" s="9"/>
      <c r="H171" s="581"/>
      <c r="I171" s="581"/>
      <c r="J171" s="581"/>
      <c r="K171" s="581"/>
      <c r="L171" s="581"/>
      <c r="M171" s="581"/>
      <c r="N171" s="581"/>
      <c r="O171" s="581"/>
      <c r="P171" s="581"/>
      <c r="Q171" s="581"/>
      <c r="R171" s="581"/>
      <c r="S171" s="581"/>
      <c r="T171" s="581"/>
      <c r="U171" s="9"/>
      <c r="V171" s="9"/>
      <c r="W171" s="9"/>
      <c r="X171" s="9"/>
      <c r="Y171" s="9"/>
      <c r="Z171" s="9"/>
      <c r="AA171" s="9"/>
      <c r="AB171" s="9"/>
      <c r="AC171" s="9"/>
    </row>
    <row r="172" spans="1:29" ht="12.75" customHeight="1" x14ac:dyDescent="0.25">
      <c r="A172" s="9"/>
      <c r="B172" s="9"/>
      <c r="C172" s="9"/>
      <c r="D172" s="9"/>
      <c r="E172" s="9"/>
      <c r="F172" s="9"/>
      <c r="G172" s="9"/>
      <c r="H172" s="581"/>
      <c r="I172" s="581"/>
      <c r="J172" s="581"/>
      <c r="K172" s="581"/>
      <c r="L172" s="581"/>
      <c r="M172" s="581"/>
      <c r="N172" s="581"/>
      <c r="O172" s="581"/>
      <c r="P172" s="581"/>
      <c r="Q172" s="581"/>
      <c r="R172" s="581"/>
      <c r="S172" s="581"/>
      <c r="T172" s="581"/>
      <c r="U172" s="9"/>
      <c r="V172" s="9"/>
      <c r="W172" s="9"/>
      <c r="X172" s="9"/>
      <c r="Y172" s="9"/>
      <c r="Z172" s="9"/>
      <c r="AA172" s="9"/>
      <c r="AB172" s="9"/>
      <c r="AC172" s="9"/>
    </row>
    <row r="173" spans="1:29" ht="12.75" customHeight="1" x14ac:dyDescent="0.25">
      <c r="A173" s="9"/>
      <c r="B173" s="9"/>
      <c r="C173" s="9"/>
      <c r="D173" s="9"/>
      <c r="E173" s="9"/>
      <c r="F173" s="9"/>
      <c r="G173" s="9"/>
      <c r="H173" s="581"/>
      <c r="I173" s="581"/>
      <c r="J173" s="581"/>
      <c r="K173" s="581"/>
      <c r="L173" s="581"/>
      <c r="M173" s="581"/>
      <c r="N173" s="581"/>
      <c r="O173" s="581"/>
      <c r="P173" s="581"/>
      <c r="Q173" s="581"/>
      <c r="R173" s="581"/>
      <c r="S173" s="581"/>
      <c r="T173" s="581"/>
      <c r="U173" s="9"/>
      <c r="V173" s="9"/>
      <c r="W173" s="9"/>
      <c r="X173" s="9"/>
      <c r="Y173" s="9"/>
      <c r="Z173" s="9"/>
      <c r="AA173" s="9"/>
      <c r="AB173" s="9"/>
      <c r="AC173" s="9"/>
    </row>
    <row r="174" spans="1:29" ht="12.75" customHeight="1" x14ac:dyDescent="0.25">
      <c r="A174" s="9"/>
      <c r="B174" s="9"/>
      <c r="C174" s="9"/>
      <c r="D174" s="9"/>
      <c r="E174" s="9"/>
      <c r="F174" s="9"/>
      <c r="G174" s="9"/>
      <c r="H174" s="581"/>
      <c r="I174" s="581"/>
      <c r="J174" s="581"/>
      <c r="K174" s="581"/>
      <c r="L174" s="581"/>
      <c r="M174" s="581"/>
      <c r="N174" s="581"/>
      <c r="O174" s="581"/>
      <c r="P174" s="581"/>
      <c r="Q174" s="581"/>
      <c r="R174" s="581"/>
      <c r="S174" s="581"/>
      <c r="T174" s="581"/>
      <c r="U174" s="9"/>
      <c r="V174" s="9"/>
      <c r="W174" s="9"/>
      <c r="X174" s="9"/>
      <c r="Y174" s="9"/>
      <c r="Z174" s="9"/>
      <c r="AA174" s="9"/>
      <c r="AB174" s="9"/>
      <c r="AC174" s="9"/>
    </row>
    <row r="175" spans="1:29" ht="12.75" customHeight="1" x14ac:dyDescent="0.25">
      <c r="A175" s="9"/>
      <c r="B175" s="9"/>
      <c r="C175" s="9"/>
      <c r="D175" s="9"/>
      <c r="E175" s="9"/>
      <c r="F175" s="9"/>
      <c r="G175" s="9"/>
      <c r="H175" s="581"/>
      <c r="I175" s="581"/>
      <c r="J175" s="581"/>
      <c r="K175" s="581"/>
      <c r="L175" s="581"/>
      <c r="M175" s="581"/>
      <c r="N175" s="581"/>
      <c r="O175" s="581"/>
      <c r="P175" s="581"/>
      <c r="Q175" s="581"/>
      <c r="R175" s="581"/>
      <c r="S175" s="581"/>
      <c r="T175" s="581"/>
      <c r="U175" s="9"/>
      <c r="V175" s="9"/>
      <c r="W175" s="9"/>
      <c r="X175" s="9"/>
      <c r="Y175" s="9"/>
      <c r="Z175" s="9"/>
      <c r="AA175" s="9"/>
      <c r="AB175" s="9"/>
      <c r="AC175" s="9"/>
    </row>
    <row r="176" spans="1:29" ht="12.75" customHeight="1" x14ac:dyDescent="0.25">
      <c r="A176" s="9"/>
      <c r="B176" s="9"/>
      <c r="C176" s="9"/>
      <c r="D176" s="9"/>
      <c r="E176" s="9"/>
      <c r="F176" s="9"/>
      <c r="G176" s="9"/>
      <c r="H176" s="581"/>
      <c r="I176" s="581"/>
      <c r="J176" s="581"/>
      <c r="K176" s="581"/>
      <c r="L176" s="581"/>
      <c r="M176" s="581"/>
      <c r="N176" s="581"/>
      <c r="O176" s="581"/>
      <c r="P176" s="581"/>
      <c r="Q176" s="581"/>
      <c r="R176" s="581"/>
      <c r="S176" s="581"/>
      <c r="T176" s="581"/>
      <c r="U176" s="9"/>
      <c r="V176" s="9"/>
      <c r="W176" s="9"/>
      <c r="X176" s="9"/>
      <c r="Y176" s="9"/>
      <c r="Z176" s="9"/>
      <c r="AA176" s="9"/>
      <c r="AB176" s="9"/>
      <c r="AC176" s="9"/>
    </row>
    <row r="177" spans="1:29" ht="12.75" customHeight="1" x14ac:dyDescent="0.25">
      <c r="A177" s="9"/>
      <c r="B177" s="9"/>
      <c r="C177" s="9"/>
      <c r="D177" s="9"/>
      <c r="E177" s="9"/>
      <c r="F177" s="9"/>
      <c r="G177" s="9"/>
      <c r="H177" s="581"/>
      <c r="I177" s="581"/>
      <c r="J177" s="581"/>
      <c r="K177" s="581"/>
      <c r="L177" s="581"/>
      <c r="M177" s="581"/>
      <c r="N177" s="581"/>
      <c r="O177" s="581"/>
      <c r="P177" s="581"/>
      <c r="Q177" s="581"/>
      <c r="R177" s="581"/>
      <c r="S177" s="581"/>
      <c r="T177" s="581"/>
      <c r="U177" s="9"/>
      <c r="V177" s="9"/>
      <c r="W177" s="9"/>
      <c r="X177" s="9"/>
      <c r="Y177" s="9"/>
      <c r="Z177" s="9"/>
      <c r="AA177" s="9"/>
      <c r="AB177" s="9"/>
      <c r="AC177" s="9"/>
    </row>
    <row r="178" spans="1:29" ht="12.75" customHeight="1" x14ac:dyDescent="0.25">
      <c r="A178" s="9"/>
      <c r="B178" s="9"/>
      <c r="C178" s="9"/>
      <c r="D178" s="9"/>
      <c r="E178" s="9"/>
      <c r="F178" s="9"/>
      <c r="G178" s="9"/>
      <c r="H178" s="581"/>
      <c r="I178" s="581"/>
      <c r="J178" s="581"/>
      <c r="K178" s="581"/>
      <c r="L178" s="581"/>
      <c r="M178" s="581"/>
      <c r="N178" s="581"/>
      <c r="O178" s="581"/>
      <c r="P178" s="581"/>
      <c r="Q178" s="581"/>
      <c r="R178" s="581"/>
      <c r="S178" s="581"/>
      <c r="T178" s="581"/>
      <c r="U178" s="9"/>
      <c r="V178" s="9"/>
      <c r="W178" s="9"/>
      <c r="X178" s="9"/>
      <c r="Y178" s="9"/>
      <c r="Z178" s="9"/>
      <c r="AA178" s="9"/>
      <c r="AB178" s="9"/>
      <c r="AC178" s="9"/>
    </row>
    <row r="179" spans="1:29" ht="12.75" customHeight="1" x14ac:dyDescent="0.25">
      <c r="A179" s="9"/>
      <c r="B179" s="9"/>
      <c r="C179" s="9"/>
      <c r="D179" s="9"/>
      <c r="E179" s="9"/>
      <c r="F179" s="9"/>
      <c r="G179" s="9"/>
      <c r="H179" s="581"/>
      <c r="I179" s="581"/>
      <c r="J179" s="581"/>
      <c r="K179" s="581"/>
      <c r="L179" s="581"/>
      <c r="M179" s="581"/>
      <c r="N179" s="581"/>
      <c r="O179" s="581"/>
      <c r="P179" s="581"/>
      <c r="Q179" s="581"/>
      <c r="R179" s="581"/>
      <c r="S179" s="581"/>
      <c r="T179" s="581"/>
      <c r="U179" s="9"/>
      <c r="V179" s="9"/>
      <c r="W179" s="9"/>
      <c r="X179" s="9"/>
      <c r="Y179" s="9"/>
      <c r="Z179" s="9"/>
      <c r="AA179" s="9"/>
      <c r="AB179" s="9"/>
      <c r="AC179" s="9"/>
    </row>
    <row r="180" spans="1:29" ht="12.75" customHeight="1" x14ac:dyDescent="0.25">
      <c r="A180" s="9"/>
      <c r="B180" s="9"/>
      <c r="C180" s="9"/>
      <c r="D180" s="9"/>
      <c r="E180" s="9"/>
      <c r="F180" s="9"/>
      <c r="G180" s="9"/>
      <c r="H180" s="581"/>
      <c r="I180" s="581"/>
      <c r="J180" s="581"/>
      <c r="K180" s="581"/>
      <c r="L180" s="581"/>
      <c r="M180" s="581"/>
      <c r="N180" s="581"/>
      <c r="O180" s="581"/>
      <c r="P180" s="581"/>
      <c r="Q180" s="581"/>
      <c r="R180" s="581"/>
      <c r="S180" s="581"/>
      <c r="T180" s="581"/>
      <c r="U180" s="9"/>
      <c r="V180" s="9"/>
      <c r="W180" s="9"/>
      <c r="X180" s="9"/>
      <c r="Y180" s="9"/>
      <c r="Z180" s="9"/>
      <c r="AA180" s="9"/>
      <c r="AB180" s="9"/>
      <c r="AC180" s="9"/>
    </row>
    <row r="181" spans="1:29" ht="12.75" customHeight="1" x14ac:dyDescent="0.25">
      <c r="A181" s="9"/>
      <c r="B181" s="9"/>
      <c r="C181" s="9"/>
      <c r="D181" s="9"/>
      <c r="E181" s="9"/>
      <c r="F181" s="9"/>
      <c r="G181" s="9"/>
      <c r="H181" s="581"/>
      <c r="I181" s="581"/>
      <c r="J181" s="581"/>
      <c r="K181" s="581"/>
      <c r="L181" s="581"/>
      <c r="M181" s="581"/>
      <c r="N181" s="581"/>
      <c r="O181" s="581"/>
      <c r="P181" s="581"/>
      <c r="Q181" s="581"/>
      <c r="R181" s="581"/>
      <c r="S181" s="581"/>
      <c r="T181" s="581"/>
      <c r="U181" s="9"/>
      <c r="V181" s="9"/>
      <c r="W181" s="9"/>
      <c r="X181" s="9"/>
      <c r="Y181" s="9"/>
      <c r="Z181" s="9"/>
      <c r="AA181" s="9"/>
      <c r="AB181" s="9"/>
      <c r="AC181" s="9"/>
    </row>
    <row r="182" spans="1:29" ht="12.75" customHeight="1" x14ac:dyDescent="0.25">
      <c r="A182" s="9"/>
      <c r="B182" s="9"/>
      <c r="C182" s="9"/>
      <c r="D182" s="9"/>
      <c r="E182" s="9"/>
      <c r="F182" s="9"/>
      <c r="G182" s="9"/>
      <c r="H182" s="581"/>
      <c r="I182" s="581"/>
      <c r="J182" s="581"/>
      <c r="K182" s="581"/>
      <c r="L182" s="581"/>
      <c r="M182" s="581"/>
      <c r="N182" s="581"/>
      <c r="O182" s="581"/>
      <c r="P182" s="581"/>
      <c r="Q182" s="581"/>
      <c r="R182" s="581"/>
      <c r="S182" s="581"/>
      <c r="T182" s="581"/>
      <c r="U182" s="9"/>
      <c r="V182" s="9"/>
      <c r="W182" s="9"/>
      <c r="X182" s="9"/>
      <c r="Y182" s="9"/>
      <c r="Z182" s="9"/>
      <c r="AA182" s="9"/>
      <c r="AB182" s="9"/>
      <c r="AC182" s="9"/>
    </row>
    <row r="183" spans="1:29" ht="12.75" customHeight="1" x14ac:dyDescent="0.25">
      <c r="A183" s="9"/>
      <c r="B183" s="9"/>
      <c r="C183" s="9"/>
      <c r="D183" s="9"/>
      <c r="E183" s="9"/>
      <c r="F183" s="9"/>
      <c r="G183" s="9"/>
      <c r="H183" s="581"/>
      <c r="I183" s="581"/>
      <c r="J183" s="581"/>
      <c r="K183" s="581"/>
      <c r="L183" s="581"/>
      <c r="M183" s="581"/>
      <c r="N183" s="581"/>
      <c r="O183" s="581"/>
      <c r="P183" s="581"/>
      <c r="Q183" s="581"/>
      <c r="R183" s="581"/>
      <c r="S183" s="581"/>
      <c r="T183" s="581"/>
      <c r="U183" s="9"/>
      <c r="V183" s="9"/>
      <c r="W183" s="9"/>
      <c r="X183" s="9"/>
      <c r="Y183" s="9"/>
      <c r="Z183" s="9"/>
      <c r="AA183" s="9"/>
      <c r="AB183" s="9"/>
      <c r="AC183" s="9"/>
    </row>
    <row r="184" spans="1:29" ht="12.75" customHeight="1" x14ac:dyDescent="0.25">
      <c r="A184" s="9"/>
      <c r="B184" s="9"/>
      <c r="C184" s="9"/>
      <c r="D184" s="9"/>
      <c r="E184" s="9"/>
      <c r="F184" s="9"/>
      <c r="G184" s="9"/>
      <c r="H184" s="581"/>
      <c r="I184" s="581"/>
      <c r="J184" s="581"/>
      <c r="K184" s="581"/>
      <c r="L184" s="581"/>
      <c r="M184" s="581"/>
      <c r="N184" s="581"/>
      <c r="O184" s="581"/>
      <c r="P184" s="581"/>
      <c r="Q184" s="581"/>
      <c r="R184" s="581"/>
      <c r="S184" s="581"/>
      <c r="T184" s="581"/>
      <c r="U184" s="9"/>
      <c r="V184" s="9"/>
      <c r="W184" s="9"/>
      <c r="X184" s="9"/>
      <c r="Y184" s="9"/>
      <c r="Z184" s="9"/>
      <c r="AA184" s="9"/>
      <c r="AB184" s="9"/>
      <c r="AC184" s="9"/>
    </row>
    <row r="185" spans="1:29" ht="12.75" customHeight="1" x14ac:dyDescent="0.25">
      <c r="A185" s="9"/>
      <c r="B185" s="9"/>
      <c r="C185" s="9"/>
      <c r="D185" s="9"/>
      <c r="E185" s="9"/>
      <c r="F185" s="9"/>
      <c r="G185" s="9"/>
      <c r="H185" s="581"/>
      <c r="I185" s="581"/>
      <c r="J185" s="581"/>
      <c r="K185" s="581"/>
      <c r="L185" s="581"/>
      <c r="M185" s="581"/>
      <c r="N185" s="581"/>
      <c r="O185" s="581"/>
      <c r="P185" s="581"/>
      <c r="Q185" s="581"/>
      <c r="R185" s="581"/>
      <c r="S185" s="581"/>
      <c r="T185" s="581"/>
      <c r="U185" s="9"/>
      <c r="V185" s="9"/>
      <c r="W185" s="9"/>
      <c r="X185" s="9"/>
      <c r="Y185" s="9"/>
      <c r="Z185" s="9"/>
      <c r="AA185" s="9"/>
      <c r="AB185" s="9"/>
      <c r="AC185" s="9"/>
    </row>
    <row r="186" spans="1:29" ht="12.75" customHeight="1" x14ac:dyDescent="0.25">
      <c r="A186" s="9"/>
      <c r="B186" s="9"/>
      <c r="C186" s="9"/>
      <c r="D186" s="9"/>
      <c r="E186" s="9"/>
      <c r="F186" s="9"/>
      <c r="G186" s="9"/>
      <c r="H186" s="581"/>
      <c r="I186" s="581"/>
      <c r="J186" s="581"/>
      <c r="K186" s="581"/>
      <c r="L186" s="581"/>
      <c r="M186" s="581"/>
      <c r="N186" s="581"/>
      <c r="O186" s="581"/>
      <c r="P186" s="581"/>
      <c r="Q186" s="581"/>
      <c r="R186" s="581"/>
      <c r="S186" s="581"/>
      <c r="T186" s="581"/>
      <c r="U186" s="9"/>
      <c r="V186" s="9"/>
      <c r="W186" s="9"/>
      <c r="X186" s="9"/>
      <c r="Y186" s="9"/>
      <c r="Z186" s="9"/>
      <c r="AA186" s="9"/>
      <c r="AB186" s="9"/>
      <c r="AC186" s="9"/>
    </row>
    <row r="187" spans="1:29" ht="12.75" customHeight="1" x14ac:dyDescent="0.25">
      <c r="A187" s="9"/>
      <c r="B187" s="9"/>
      <c r="C187" s="9"/>
      <c r="D187" s="9"/>
      <c r="E187" s="9"/>
      <c r="F187" s="9"/>
      <c r="G187" s="9"/>
      <c r="H187" s="581"/>
      <c r="I187" s="581"/>
      <c r="J187" s="581"/>
      <c r="K187" s="581"/>
      <c r="L187" s="581"/>
      <c r="M187" s="581"/>
      <c r="N187" s="581"/>
      <c r="O187" s="581"/>
      <c r="P187" s="581"/>
      <c r="Q187" s="581"/>
      <c r="R187" s="581"/>
      <c r="S187" s="581"/>
      <c r="T187" s="581"/>
      <c r="U187" s="9"/>
      <c r="V187" s="9"/>
      <c r="W187" s="9"/>
      <c r="X187" s="9"/>
      <c r="Y187" s="9"/>
      <c r="Z187" s="9"/>
      <c r="AA187" s="9"/>
      <c r="AB187" s="9"/>
      <c r="AC187" s="9"/>
    </row>
    <row r="188" spans="1:29" ht="12.75" customHeight="1" x14ac:dyDescent="0.25">
      <c r="A188" s="9"/>
      <c r="B188" s="9"/>
      <c r="C188" s="9"/>
      <c r="D188" s="9"/>
      <c r="E188" s="9"/>
      <c r="F188" s="9"/>
      <c r="G188" s="9"/>
      <c r="H188" s="581"/>
      <c r="I188" s="581"/>
      <c r="J188" s="581"/>
      <c r="K188" s="581"/>
      <c r="L188" s="581"/>
      <c r="M188" s="581"/>
      <c r="N188" s="581"/>
      <c r="O188" s="581"/>
      <c r="P188" s="581"/>
      <c r="Q188" s="581"/>
      <c r="R188" s="581"/>
      <c r="S188" s="581"/>
      <c r="T188" s="581"/>
      <c r="U188" s="9"/>
      <c r="V188" s="9"/>
      <c r="W188" s="9"/>
      <c r="X188" s="9"/>
      <c r="Y188" s="9"/>
      <c r="Z188" s="9"/>
      <c r="AA188" s="9"/>
      <c r="AB188" s="9"/>
      <c r="AC188" s="9"/>
    </row>
    <row r="189" spans="1:29" ht="12.75" customHeight="1" x14ac:dyDescent="0.25">
      <c r="A189" s="9"/>
      <c r="B189" s="9"/>
      <c r="C189" s="9"/>
      <c r="D189" s="9"/>
      <c r="E189" s="9"/>
      <c r="F189" s="9"/>
      <c r="G189" s="9"/>
      <c r="H189" s="581"/>
      <c r="I189" s="581"/>
      <c r="J189" s="581"/>
      <c r="K189" s="581"/>
      <c r="L189" s="581"/>
      <c r="M189" s="581"/>
      <c r="N189" s="581"/>
      <c r="O189" s="581"/>
      <c r="P189" s="581"/>
      <c r="Q189" s="581"/>
      <c r="R189" s="581"/>
      <c r="S189" s="581"/>
      <c r="T189" s="581"/>
      <c r="U189" s="9"/>
      <c r="V189" s="9"/>
      <c r="W189" s="9"/>
      <c r="X189" s="9"/>
      <c r="Y189" s="9"/>
      <c r="Z189" s="9"/>
      <c r="AA189" s="9"/>
      <c r="AB189" s="9"/>
      <c r="AC189" s="9"/>
    </row>
    <row r="190" spans="1:29" ht="12.75" customHeight="1" x14ac:dyDescent="0.25">
      <c r="A190" s="9"/>
      <c r="B190" s="9"/>
      <c r="C190" s="9"/>
      <c r="D190" s="9"/>
      <c r="E190" s="9"/>
      <c r="F190" s="9"/>
      <c r="G190" s="9"/>
      <c r="H190" s="581"/>
      <c r="I190" s="581"/>
      <c r="J190" s="581"/>
      <c r="K190" s="581"/>
      <c r="L190" s="581"/>
      <c r="M190" s="581"/>
      <c r="N190" s="581"/>
      <c r="O190" s="581"/>
      <c r="P190" s="581"/>
      <c r="Q190" s="581"/>
      <c r="R190" s="581"/>
      <c r="S190" s="581"/>
      <c r="T190" s="581"/>
      <c r="U190" s="9"/>
      <c r="V190" s="9"/>
      <c r="W190" s="9"/>
      <c r="X190" s="9"/>
      <c r="Y190" s="9"/>
      <c r="Z190" s="9"/>
      <c r="AA190" s="9"/>
      <c r="AB190" s="9"/>
      <c r="AC190" s="9"/>
    </row>
    <row r="191" spans="1:29" ht="12.75" customHeight="1" x14ac:dyDescent="0.25">
      <c r="A191" s="9"/>
      <c r="B191" s="9"/>
      <c r="C191" s="9"/>
      <c r="D191" s="9"/>
      <c r="E191" s="9"/>
      <c r="F191" s="9"/>
      <c r="G191" s="9"/>
      <c r="H191" s="581"/>
      <c r="I191" s="581"/>
      <c r="J191" s="581"/>
      <c r="K191" s="581"/>
      <c r="L191" s="581"/>
      <c r="M191" s="581"/>
      <c r="N191" s="581"/>
      <c r="O191" s="581"/>
      <c r="P191" s="581"/>
      <c r="Q191" s="581"/>
      <c r="R191" s="581"/>
      <c r="S191" s="581"/>
      <c r="T191" s="581"/>
      <c r="U191" s="9"/>
      <c r="V191" s="9"/>
      <c r="W191" s="9"/>
      <c r="X191" s="9"/>
      <c r="Y191" s="9"/>
      <c r="Z191" s="9"/>
      <c r="AA191" s="9"/>
      <c r="AB191" s="9"/>
      <c r="AC191" s="9"/>
    </row>
    <row r="192" spans="1:29" ht="12.75" customHeight="1" x14ac:dyDescent="0.25">
      <c r="A192" s="9"/>
      <c r="B192" s="9"/>
      <c r="C192" s="9"/>
      <c r="D192" s="9"/>
      <c r="E192" s="9"/>
      <c r="F192" s="9"/>
      <c r="G192" s="9"/>
      <c r="H192" s="581"/>
      <c r="I192" s="581"/>
      <c r="J192" s="581"/>
      <c r="K192" s="581"/>
      <c r="L192" s="581"/>
      <c r="M192" s="581"/>
      <c r="N192" s="581"/>
      <c r="O192" s="581"/>
      <c r="P192" s="581"/>
      <c r="Q192" s="581"/>
      <c r="R192" s="581"/>
      <c r="S192" s="581"/>
      <c r="T192" s="581"/>
      <c r="U192" s="9"/>
      <c r="V192" s="9"/>
      <c r="W192" s="9"/>
      <c r="X192" s="9"/>
      <c r="Y192" s="9"/>
      <c r="Z192" s="9"/>
      <c r="AA192" s="9"/>
      <c r="AB192" s="9"/>
      <c r="AC192" s="9"/>
    </row>
    <row r="193" spans="1:29" ht="12.75" customHeight="1" x14ac:dyDescent="0.25">
      <c r="A193" s="9"/>
      <c r="B193" s="9"/>
      <c r="C193" s="9"/>
      <c r="D193" s="9"/>
      <c r="E193" s="9"/>
      <c r="F193" s="9"/>
      <c r="G193" s="9"/>
      <c r="H193" s="581"/>
      <c r="I193" s="581"/>
      <c r="J193" s="581"/>
      <c r="K193" s="581"/>
      <c r="L193" s="581"/>
      <c r="M193" s="581"/>
      <c r="N193" s="581"/>
      <c r="O193" s="581"/>
      <c r="P193" s="581"/>
      <c r="Q193" s="581"/>
      <c r="R193" s="581"/>
      <c r="S193" s="581"/>
      <c r="T193" s="581"/>
      <c r="U193" s="9"/>
      <c r="V193" s="9"/>
      <c r="W193" s="9"/>
      <c r="X193" s="9"/>
      <c r="Y193" s="9"/>
      <c r="Z193" s="9"/>
      <c r="AA193" s="9"/>
      <c r="AB193" s="9"/>
      <c r="AC193" s="9"/>
    </row>
    <row r="194" spans="1:29" ht="12.75" customHeight="1" x14ac:dyDescent="0.25">
      <c r="A194" s="9"/>
      <c r="B194" s="9"/>
      <c r="C194" s="9"/>
      <c r="D194" s="9"/>
      <c r="E194" s="9"/>
      <c r="F194" s="9"/>
      <c r="G194" s="9"/>
      <c r="H194" s="581"/>
      <c r="I194" s="581"/>
      <c r="J194" s="581"/>
      <c r="K194" s="581"/>
      <c r="L194" s="581"/>
      <c r="M194" s="581"/>
      <c r="N194" s="581"/>
      <c r="O194" s="581"/>
      <c r="P194" s="581"/>
      <c r="Q194" s="581"/>
      <c r="R194" s="581"/>
      <c r="S194" s="581"/>
      <c r="T194" s="581"/>
      <c r="U194" s="9"/>
      <c r="V194" s="9"/>
      <c r="W194" s="9"/>
      <c r="X194" s="9"/>
      <c r="Y194" s="9"/>
      <c r="Z194" s="9"/>
      <c r="AA194" s="9"/>
      <c r="AB194" s="9"/>
      <c r="AC194" s="9"/>
    </row>
    <row r="195" spans="1:29" ht="12.75" customHeight="1" x14ac:dyDescent="0.25">
      <c r="A195" s="9"/>
      <c r="B195" s="9"/>
      <c r="C195" s="9"/>
      <c r="D195" s="9"/>
      <c r="E195" s="9"/>
      <c r="F195" s="9"/>
      <c r="G195" s="9"/>
      <c r="H195" s="581"/>
      <c r="I195" s="581"/>
      <c r="J195" s="581"/>
      <c r="K195" s="581"/>
      <c r="L195" s="581"/>
      <c r="M195" s="581"/>
      <c r="N195" s="581"/>
      <c r="O195" s="581"/>
      <c r="P195" s="581"/>
      <c r="Q195" s="581"/>
      <c r="R195" s="581"/>
      <c r="S195" s="581"/>
      <c r="T195" s="581"/>
      <c r="U195" s="9"/>
      <c r="V195" s="9"/>
      <c r="W195" s="9"/>
      <c r="X195" s="9"/>
      <c r="Y195" s="9"/>
      <c r="Z195" s="9"/>
      <c r="AA195" s="9"/>
      <c r="AB195" s="9"/>
      <c r="AC195" s="9"/>
    </row>
    <row r="196" spans="1:29" ht="12.75" customHeight="1" x14ac:dyDescent="0.25">
      <c r="A196" s="9"/>
      <c r="B196" s="9"/>
      <c r="C196" s="9"/>
      <c r="D196" s="9"/>
      <c r="E196" s="9"/>
      <c r="F196" s="9"/>
      <c r="G196" s="9"/>
      <c r="H196" s="581"/>
      <c r="I196" s="581"/>
      <c r="J196" s="581"/>
      <c r="K196" s="581"/>
      <c r="L196" s="581"/>
      <c r="M196" s="581"/>
      <c r="N196" s="581"/>
      <c r="O196" s="581"/>
      <c r="P196" s="581"/>
      <c r="Q196" s="581"/>
      <c r="R196" s="581"/>
      <c r="S196" s="581"/>
      <c r="T196" s="581"/>
      <c r="U196" s="9"/>
      <c r="V196" s="9"/>
      <c r="W196" s="9"/>
      <c r="X196" s="9"/>
      <c r="Y196" s="9"/>
      <c r="Z196" s="9"/>
      <c r="AA196" s="9"/>
      <c r="AB196" s="9"/>
      <c r="AC196" s="9"/>
    </row>
    <row r="197" spans="1:29" ht="12.75" customHeight="1" x14ac:dyDescent="0.25">
      <c r="A197" s="9"/>
      <c r="B197" s="9"/>
      <c r="C197" s="9"/>
      <c r="D197" s="9"/>
      <c r="E197" s="9"/>
      <c r="F197" s="9"/>
      <c r="G197" s="9"/>
      <c r="H197" s="581"/>
      <c r="I197" s="581"/>
      <c r="J197" s="581"/>
      <c r="K197" s="581"/>
      <c r="L197" s="581"/>
      <c r="M197" s="581"/>
      <c r="N197" s="581"/>
      <c r="O197" s="581"/>
      <c r="P197" s="581"/>
      <c r="Q197" s="581"/>
      <c r="R197" s="581"/>
      <c r="S197" s="581"/>
      <c r="T197" s="581"/>
      <c r="U197" s="9"/>
      <c r="V197" s="9"/>
      <c r="W197" s="9"/>
      <c r="X197" s="9"/>
      <c r="Y197" s="9"/>
      <c r="Z197" s="9"/>
      <c r="AA197" s="9"/>
      <c r="AB197" s="9"/>
      <c r="AC197" s="9"/>
    </row>
    <row r="198" spans="1:29" ht="12.75" customHeight="1" x14ac:dyDescent="0.25">
      <c r="A198" s="9"/>
      <c r="B198" s="9"/>
      <c r="C198" s="9"/>
      <c r="D198" s="9"/>
      <c r="E198" s="9"/>
      <c r="F198" s="9"/>
      <c r="G198" s="9"/>
      <c r="H198" s="581"/>
      <c r="I198" s="581"/>
      <c r="J198" s="581"/>
      <c r="K198" s="581"/>
      <c r="L198" s="581"/>
      <c r="M198" s="581"/>
      <c r="N198" s="581"/>
      <c r="O198" s="581"/>
      <c r="P198" s="581"/>
      <c r="Q198" s="581"/>
      <c r="R198" s="581"/>
      <c r="S198" s="581"/>
      <c r="T198" s="581"/>
      <c r="U198" s="9"/>
      <c r="V198" s="9"/>
      <c r="W198" s="9"/>
      <c r="X198" s="9"/>
      <c r="Y198" s="9"/>
      <c r="Z198" s="9"/>
      <c r="AA198" s="9"/>
      <c r="AB198" s="9"/>
      <c r="AC198" s="9"/>
    </row>
    <row r="199" spans="1:29" ht="12.75" customHeight="1" x14ac:dyDescent="0.25">
      <c r="A199" s="9"/>
      <c r="B199" s="9"/>
      <c r="C199" s="9"/>
      <c r="D199" s="9"/>
      <c r="E199" s="9"/>
      <c r="F199" s="9"/>
      <c r="G199" s="9"/>
      <c r="H199" s="581"/>
      <c r="I199" s="581"/>
      <c r="J199" s="581"/>
      <c r="K199" s="581"/>
      <c r="L199" s="581"/>
      <c r="M199" s="581"/>
      <c r="N199" s="581"/>
      <c r="O199" s="581"/>
      <c r="P199" s="581"/>
      <c r="Q199" s="581"/>
      <c r="R199" s="581"/>
      <c r="S199" s="581"/>
      <c r="T199" s="581"/>
      <c r="U199" s="9"/>
      <c r="V199" s="9"/>
      <c r="W199" s="9"/>
      <c r="X199" s="9"/>
      <c r="Y199" s="9"/>
      <c r="Z199" s="9"/>
      <c r="AA199" s="9"/>
      <c r="AB199" s="9"/>
      <c r="AC199" s="9"/>
    </row>
    <row r="200" spans="1:29" ht="12.75" customHeight="1" x14ac:dyDescent="0.25">
      <c r="A200" s="9"/>
      <c r="B200" s="9"/>
      <c r="C200" s="9"/>
      <c r="D200" s="9"/>
      <c r="E200" s="9"/>
      <c r="F200" s="9"/>
      <c r="G200" s="9"/>
      <c r="H200" s="581"/>
      <c r="I200" s="581"/>
      <c r="J200" s="581"/>
      <c r="K200" s="581"/>
      <c r="L200" s="581"/>
      <c r="M200" s="581"/>
      <c r="N200" s="581"/>
      <c r="O200" s="581"/>
      <c r="P200" s="581"/>
      <c r="Q200" s="581"/>
      <c r="R200" s="581"/>
      <c r="S200" s="581"/>
      <c r="T200" s="581"/>
      <c r="U200" s="9"/>
      <c r="V200" s="9"/>
      <c r="W200" s="9"/>
      <c r="X200" s="9"/>
      <c r="Y200" s="9"/>
      <c r="Z200" s="9"/>
      <c r="AA200" s="9"/>
      <c r="AB200" s="9"/>
      <c r="AC200" s="9"/>
    </row>
    <row r="201" spans="1:29" ht="12.75" customHeight="1" x14ac:dyDescent="0.25">
      <c r="A201" s="9"/>
      <c r="B201" s="9"/>
      <c r="C201" s="9"/>
      <c r="D201" s="9"/>
      <c r="E201" s="9"/>
      <c r="F201" s="9"/>
      <c r="G201" s="9"/>
      <c r="H201" s="581"/>
      <c r="I201" s="581"/>
      <c r="J201" s="581"/>
      <c r="K201" s="581"/>
      <c r="L201" s="581"/>
      <c r="M201" s="581"/>
      <c r="N201" s="581"/>
      <c r="O201" s="581"/>
      <c r="P201" s="581"/>
      <c r="Q201" s="581"/>
      <c r="R201" s="581"/>
      <c r="S201" s="581"/>
      <c r="T201" s="581"/>
      <c r="U201" s="9"/>
      <c r="V201" s="9"/>
      <c r="W201" s="9"/>
      <c r="X201" s="9"/>
      <c r="Y201" s="9"/>
      <c r="Z201" s="9"/>
      <c r="AA201" s="9"/>
      <c r="AB201" s="9"/>
      <c r="AC201" s="9"/>
    </row>
    <row r="202" spans="1:29" ht="12.75" customHeight="1" x14ac:dyDescent="0.25">
      <c r="A202" s="9"/>
      <c r="B202" s="9"/>
      <c r="C202" s="9"/>
      <c r="D202" s="9"/>
      <c r="E202" s="9"/>
      <c r="F202" s="9"/>
      <c r="G202" s="9"/>
      <c r="H202" s="581"/>
      <c r="I202" s="581"/>
      <c r="J202" s="581"/>
      <c r="K202" s="581"/>
      <c r="L202" s="581"/>
      <c r="M202" s="581"/>
      <c r="N202" s="581"/>
      <c r="O202" s="581"/>
      <c r="P202" s="581"/>
      <c r="Q202" s="581"/>
      <c r="R202" s="581"/>
      <c r="S202" s="581"/>
      <c r="T202" s="581"/>
      <c r="U202" s="9"/>
      <c r="V202" s="9"/>
      <c r="W202" s="9"/>
      <c r="X202" s="9"/>
      <c r="Y202" s="9"/>
      <c r="Z202" s="9"/>
      <c r="AA202" s="9"/>
      <c r="AB202" s="9"/>
      <c r="AC202" s="9"/>
    </row>
    <row r="203" spans="1:29" ht="12.75" customHeight="1" x14ac:dyDescent="0.25">
      <c r="A203" s="9"/>
      <c r="B203" s="9"/>
      <c r="C203" s="9"/>
      <c r="D203" s="9"/>
      <c r="E203" s="9"/>
      <c r="F203" s="9"/>
      <c r="G203" s="9"/>
      <c r="H203" s="581"/>
      <c r="I203" s="581"/>
      <c r="J203" s="581"/>
      <c r="K203" s="581"/>
      <c r="L203" s="581"/>
      <c r="M203" s="581"/>
      <c r="N203" s="581"/>
      <c r="O203" s="581"/>
      <c r="P203" s="581"/>
      <c r="Q203" s="581"/>
      <c r="R203" s="581"/>
      <c r="S203" s="581"/>
      <c r="T203" s="581"/>
      <c r="U203" s="9"/>
      <c r="V203" s="9"/>
      <c r="W203" s="9"/>
      <c r="X203" s="9"/>
      <c r="Y203" s="9"/>
      <c r="Z203" s="9"/>
      <c r="AA203" s="9"/>
      <c r="AB203" s="9"/>
      <c r="AC203" s="9"/>
    </row>
    <row r="204" spans="1:29" ht="12.75" customHeight="1" x14ac:dyDescent="0.25">
      <c r="A204" s="9"/>
      <c r="B204" s="9"/>
      <c r="C204" s="9"/>
      <c r="D204" s="9"/>
      <c r="E204" s="9"/>
      <c r="F204" s="9"/>
      <c r="G204" s="9"/>
      <c r="H204" s="581"/>
      <c r="I204" s="581"/>
      <c r="J204" s="581"/>
      <c r="K204" s="581"/>
      <c r="L204" s="581"/>
      <c r="M204" s="581"/>
      <c r="N204" s="581"/>
      <c r="O204" s="581"/>
      <c r="P204" s="581"/>
      <c r="Q204" s="581"/>
      <c r="R204" s="581"/>
      <c r="S204" s="581"/>
      <c r="T204" s="581"/>
      <c r="U204" s="9"/>
      <c r="V204" s="9"/>
      <c r="W204" s="9"/>
      <c r="X204" s="9"/>
      <c r="Y204" s="9"/>
      <c r="Z204" s="9"/>
      <c r="AA204" s="9"/>
      <c r="AB204" s="9"/>
      <c r="AC204" s="9"/>
    </row>
    <row r="205" spans="1:29" ht="12.75" customHeight="1" x14ac:dyDescent="0.25">
      <c r="A205" s="9"/>
      <c r="B205" s="9"/>
      <c r="C205" s="9"/>
      <c r="D205" s="9"/>
      <c r="E205" s="9"/>
      <c r="F205" s="9"/>
      <c r="G205" s="9"/>
      <c r="H205" s="581"/>
      <c r="I205" s="581"/>
      <c r="J205" s="581"/>
      <c r="K205" s="581"/>
      <c r="L205" s="581"/>
      <c r="M205" s="581"/>
      <c r="N205" s="581"/>
      <c r="O205" s="581"/>
      <c r="P205" s="581"/>
      <c r="Q205" s="581"/>
      <c r="R205" s="581"/>
      <c r="S205" s="581"/>
      <c r="T205" s="581"/>
      <c r="U205" s="9"/>
      <c r="V205" s="9"/>
      <c r="W205" s="9"/>
      <c r="X205" s="9"/>
      <c r="Y205" s="9"/>
      <c r="Z205" s="9"/>
      <c r="AA205" s="9"/>
      <c r="AB205" s="9"/>
      <c r="AC205" s="9"/>
    </row>
    <row r="206" spans="1:29" ht="12.75" customHeight="1" x14ac:dyDescent="0.25">
      <c r="A206" s="9"/>
      <c r="B206" s="9"/>
      <c r="C206" s="9"/>
      <c r="D206" s="9"/>
      <c r="E206" s="9"/>
      <c r="F206" s="9"/>
      <c r="G206" s="9"/>
      <c r="H206" s="581"/>
      <c r="I206" s="581"/>
      <c r="J206" s="581"/>
      <c r="K206" s="581"/>
      <c r="L206" s="581"/>
      <c r="M206" s="581"/>
      <c r="N206" s="581"/>
      <c r="O206" s="581"/>
      <c r="P206" s="581"/>
      <c r="Q206" s="581"/>
      <c r="R206" s="581"/>
      <c r="S206" s="581"/>
      <c r="T206" s="581"/>
      <c r="U206" s="9"/>
      <c r="V206" s="9"/>
      <c r="W206" s="9"/>
      <c r="X206" s="9"/>
      <c r="Y206" s="9"/>
      <c r="Z206" s="9"/>
      <c r="AA206" s="9"/>
      <c r="AB206" s="9"/>
      <c r="AC206" s="9"/>
    </row>
    <row r="207" spans="1:29" ht="12.75" customHeight="1" x14ac:dyDescent="0.25">
      <c r="A207" s="9"/>
      <c r="B207" s="9"/>
      <c r="C207" s="9"/>
      <c r="D207" s="9"/>
      <c r="E207" s="9"/>
      <c r="F207" s="9"/>
      <c r="G207" s="9"/>
      <c r="H207" s="581"/>
      <c r="I207" s="581"/>
      <c r="J207" s="581"/>
      <c r="K207" s="581"/>
      <c r="L207" s="581"/>
      <c r="M207" s="581"/>
      <c r="N207" s="581"/>
      <c r="O207" s="581"/>
      <c r="P207" s="581"/>
      <c r="Q207" s="581"/>
      <c r="R207" s="581"/>
      <c r="S207" s="581"/>
      <c r="T207" s="581"/>
      <c r="U207" s="9"/>
      <c r="V207" s="9"/>
      <c r="W207" s="9"/>
      <c r="X207" s="9"/>
      <c r="Y207" s="9"/>
      <c r="Z207" s="9"/>
      <c r="AA207" s="9"/>
      <c r="AB207" s="9"/>
      <c r="AC207" s="9"/>
    </row>
    <row r="208" spans="1:29" ht="12.75" customHeight="1" x14ac:dyDescent="0.25">
      <c r="A208" s="9"/>
      <c r="B208" s="9"/>
      <c r="C208" s="9"/>
      <c r="D208" s="9"/>
      <c r="E208" s="9"/>
      <c r="F208" s="9"/>
      <c r="G208" s="9"/>
      <c r="H208" s="581"/>
      <c r="I208" s="581"/>
      <c r="J208" s="581"/>
      <c r="K208" s="581"/>
      <c r="L208" s="581"/>
      <c r="M208" s="581"/>
      <c r="N208" s="581"/>
      <c r="O208" s="581"/>
      <c r="P208" s="581"/>
      <c r="Q208" s="581"/>
      <c r="R208" s="581"/>
      <c r="S208" s="581"/>
      <c r="T208" s="581"/>
      <c r="U208" s="9"/>
      <c r="V208" s="9"/>
      <c r="W208" s="9"/>
      <c r="X208" s="9"/>
      <c r="Y208" s="9"/>
      <c r="Z208" s="9"/>
      <c r="AA208" s="9"/>
      <c r="AB208" s="9"/>
      <c r="AC208" s="9"/>
    </row>
    <row r="209" spans="1:29" ht="12.75" customHeight="1" x14ac:dyDescent="0.25">
      <c r="A209" s="9"/>
      <c r="B209" s="9"/>
      <c r="C209" s="9"/>
      <c r="D209" s="9"/>
      <c r="E209" s="9"/>
      <c r="F209" s="9"/>
      <c r="G209" s="9"/>
      <c r="H209" s="581"/>
      <c r="I209" s="581"/>
      <c r="J209" s="581"/>
      <c r="K209" s="581"/>
      <c r="L209" s="581"/>
      <c r="M209" s="581"/>
      <c r="N209" s="581"/>
      <c r="O209" s="581"/>
      <c r="P209" s="581"/>
      <c r="Q209" s="581"/>
      <c r="R209" s="581"/>
      <c r="S209" s="581"/>
      <c r="T209" s="581"/>
      <c r="U209" s="9"/>
      <c r="V209" s="9"/>
      <c r="W209" s="9"/>
      <c r="X209" s="9"/>
      <c r="Y209" s="9"/>
      <c r="Z209" s="9"/>
      <c r="AA209" s="9"/>
      <c r="AB209" s="9"/>
      <c r="AC209" s="9"/>
    </row>
    <row r="210" spans="1:29" ht="12.75" customHeight="1" x14ac:dyDescent="0.25">
      <c r="A210" s="9"/>
      <c r="B210" s="9"/>
      <c r="C210" s="9"/>
      <c r="D210" s="9"/>
      <c r="E210" s="9"/>
      <c r="F210" s="9"/>
      <c r="G210" s="9"/>
      <c r="H210" s="581"/>
      <c r="I210" s="581"/>
      <c r="J210" s="581"/>
      <c r="K210" s="581"/>
      <c r="L210" s="581"/>
      <c r="M210" s="581"/>
      <c r="N210" s="581"/>
      <c r="O210" s="581"/>
      <c r="P210" s="581"/>
      <c r="Q210" s="581"/>
      <c r="R210" s="581"/>
      <c r="S210" s="581"/>
      <c r="T210" s="581"/>
      <c r="U210" s="9"/>
      <c r="V210" s="9"/>
      <c r="W210" s="9"/>
      <c r="X210" s="9"/>
      <c r="Y210" s="9"/>
      <c r="Z210" s="9"/>
      <c r="AA210" s="9"/>
      <c r="AB210" s="9"/>
      <c r="AC210" s="9"/>
    </row>
    <row r="211" spans="1:29" ht="12.75" customHeight="1" x14ac:dyDescent="0.25">
      <c r="A211" s="9"/>
      <c r="B211" s="9"/>
      <c r="C211" s="9"/>
      <c r="D211" s="9"/>
      <c r="E211" s="9"/>
      <c r="F211" s="9"/>
      <c r="G211" s="9"/>
      <c r="H211" s="581"/>
      <c r="I211" s="581"/>
      <c r="J211" s="581"/>
      <c r="K211" s="581"/>
      <c r="L211" s="581"/>
      <c r="M211" s="581"/>
      <c r="N211" s="581"/>
      <c r="O211" s="581"/>
      <c r="P211" s="581"/>
      <c r="Q211" s="581"/>
      <c r="R211" s="581"/>
      <c r="S211" s="581"/>
      <c r="T211" s="581"/>
      <c r="U211" s="9"/>
      <c r="V211" s="9"/>
      <c r="W211" s="9"/>
      <c r="X211" s="9"/>
      <c r="Y211" s="9"/>
      <c r="Z211" s="9"/>
      <c r="AA211" s="9"/>
      <c r="AB211" s="9"/>
      <c r="AC211" s="9"/>
    </row>
    <row r="212" spans="1:29" ht="12.75" customHeight="1" x14ac:dyDescent="0.25">
      <c r="A212" s="9"/>
      <c r="B212" s="9"/>
      <c r="C212" s="9"/>
      <c r="D212" s="9"/>
      <c r="E212" s="9"/>
      <c r="F212" s="9"/>
      <c r="G212" s="9"/>
      <c r="H212" s="581"/>
      <c r="I212" s="581"/>
      <c r="J212" s="581"/>
      <c r="K212" s="581"/>
      <c r="L212" s="581"/>
      <c r="M212" s="581"/>
      <c r="N212" s="581"/>
      <c r="O212" s="581"/>
      <c r="P212" s="581"/>
      <c r="Q212" s="581"/>
      <c r="R212" s="581"/>
      <c r="S212" s="581"/>
      <c r="T212" s="581"/>
      <c r="U212" s="9"/>
      <c r="V212" s="9"/>
      <c r="W212" s="9"/>
      <c r="X212" s="9"/>
      <c r="Y212" s="9"/>
      <c r="Z212" s="9"/>
      <c r="AA212" s="9"/>
      <c r="AB212" s="9"/>
      <c r="AC212" s="9"/>
    </row>
    <row r="213" spans="1:29" ht="12.75" customHeight="1" x14ac:dyDescent="0.25">
      <c r="A213" s="9"/>
      <c r="B213" s="9"/>
      <c r="C213" s="9"/>
      <c r="D213" s="9"/>
      <c r="E213" s="9"/>
      <c r="F213" s="9"/>
      <c r="G213" s="9"/>
      <c r="H213" s="581"/>
      <c r="I213" s="581"/>
      <c r="J213" s="581"/>
      <c r="K213" s="581"/>
      <c r="L213" s="581"/>
      <c r="M213" s="581"/>
      <c r="N213" s="581"/>
      <c r="O213" s="581"/>
      <c r="P213" s="581"/>
      <c r="Q213" s="581"/>
      <c r="R213" s="581"/>
      <c r="S213" s="581"/>
      <c r="T213" s="581"/>
      <c r="U213" s="9"/>
      <c r="V213" s="9"/>
      <c r="W213" s="9"/>
      <c r="X213" s="9"/>
      <c r="Y213" s="9"/>
      <c r="Z213" s="9"/>
      <c r="AA213" s="9"/>
      <c r="AB213" s="9"/>
      <c r="AC213" s="9"/>
    </row>
    <row r="214" spans="1:29" ht="12.75" customHeight="1" x14ac:dyDescent="0.25">
      <c r="A214" s="9"/>
      <c r="B214" s="9"/>
      <c r="C214" s="9"/>
      <c r="D214" s="9"/>
      <c r="E214" s="9"/>
      <c r="F214" s="9"/>
      <c r="G214" s="9"/>
      <c r="H214" s="581"/>
      <c r="I214" s="581"/>
      <c r="J214" s="581"/>
      <c r="K214" s="581"/>
      <c r="L214" s="581"/>
      <c r="M214" s="581"/>
      <c r="N214" s="581"/>
      <c r="O214" s="581"/>
      <c r="P214" s="581"/>
      <c r="Q214" s="581"/>
      <c r="R214" s="581"/>
      <c r="S214" s="581"/>
      <c r="T214" s="581"/>
      <c r="U214" s="9"/>
      <c r="V214" s="9"/>
      <c r="W214" s="9"/>
      <c r="X214" s="9"/>
      <c r="Y214" s="9"/>
      <c r="Z214" s="9"/>
      <c r="AA214" s="9"/>
      <c r="AB214" s="9"/>
      <c r="AC214" s="9"/>
    </row>
    <row r="215" spans="1:29" ht="12.75" customHeight="1" x14ac:dyDescent="0.25">
      <c r="A215" s="9"/>
      <c r="B215" s="9"/>
      <c r="C215" s="9"/>
      <c r="D215" s="9"/>
      <c r="E215" s="9"/>
      <c r="F215" s="9"/>
      <c r="G215" s="9"/>
      <c r="H215" s="581"/>
      <c r="I215" s="581"/>
      <c r="J215" s="581"/>
      <c r="K215" s="581"/>
      <c r="L215" s="581"/>
      <c r="M215" s="581"/>
      <c r="N215" s="581"/>
      <c r="O215" s="581"/>
      <c r="P215" s="581"/>
      <c r="Q215" s="581"/>
      <c r="R215" s="581"/>
      <c r="S215" s="581"/>
      <c r="T215" s="581"/>
      <c r="U215" s="9"/>
      <c r="V215" s="9"/>
      <c r="W215" s="9"/>
      <c r="X215" s="9"/>
      <c r="Y215" s="9"/>
      <c r="Z215" s="9"/>
      <c r="AA215" s="9"/>
      <c r="AB215" s="9"/>
      <c r="AC215" s="9"/>
    </row>
    <row r="216" spans="1:29" ht="12.75" customHeight="1" x14ac:dyDescent="0.25">
      <c r="A216" s="9"/>
      <c r="B216" s="9"/>
      <c r="C216" s="9"/>
      <c r="D216" s="9"/>
      <c r="E216" s="9"/>
      <c r="F216" s="9"/>
      <c r="G216" s="9"/>
      <c r="H216" s="581"/>
      <c r="I216" s="581"/>
      <c r="J216" s="581"/>
      <c r="K216" s="581"/>
      <c r="L216" s="581"/>
      <c r="M216" s="581"/>
      <c r="N216" s="581"/>
      <c r="O216" s="581"/>
      <c r="P216" s="581"/>
      <c r="Q216" s="581"/>
      <c r="R216" s="581"/>
      <c r="S216" s="581"/>
      <c r="T216" s="581"/>
      <c r="U216" s="9"/>
      <c r="V216" s="9"/>
      <c r="W216" s="9"/>
      <c r="X216" s="9"/>
      <c r="Y216" s="9"/>
      <c r="Z216" s="9"/>
      <c r="AA216" s="9"/>
      <c r="AB216" s="9"/>
      <c r="AC216" s="9"/>
    </row>
    <row r="217" spans="1:29" ht="12.75" customHeight="1" x14ac:dyDescent="0.25">
      <c r="A217" s="9"/>
      <c r="B217" s="9"/>
      <c r="C217" s="9"/>
      <c r="D217" s="9"/>
      <c r="E217" s="9"/>
      <c r="F217" s="9"/>
      <c r="G217" s="9"/>
      <c r="H217" s="581"/>
      <c r="I217" s="581"/>
      <c r="J217" s="581"/>
      <c r="K217" s="581"/>
      <c r="L217" s="581"/>
      <c r="M217" s="581"/>
      <c r="N217" s="581"/>
      <c r="O217" s="581"/>
      <c r="P217" s="581"/>
      <c r="Q217" s="581"/>
      <c r="R217" s="581"/>
      <c r="S217" s="581"/>
      <c r="T217" s="581"/>
      <c r="U217" s="9"/>
      <c r="V217" s="9"/>
      <c r="W217" s="9"/>
      <c r="X217" s="9"/>
      <c r="Y217" s="9"/>
      <c r="Z217" s="9"/>
      <c r="AA217" s="9"/>
      <c r="AB217" s="9"/>
      <c r="AC217" s="9"/>
    </row>
    <row r="218" spans="1:29" ht="12.75" customHeight="1" x14ac:dyDescent="0.25">
      <c r="A218" s="9"/>
      <c r="B218" s="9"/>
      <c r="C218" s="9"/>
      <c r="D218" s="9"/>
      <c r="E218" s="9"/>
      <c r="F218" s="9"/>
      <c r="G218" s="9"/>
      <c r="H218" s="581"/>
      <c r="I218" s="581"/>
      <c r="J218" s="581"/>
      <c r="K218" s="581"/>
      <c r="L218" s="581"/>
      <c r="M218" s="581"/>
      <c r="N218" s="581"/>
      <c r="O218" s="581"/>
      <c r="P218" s="581"/>
      <c r="Q218" s="581"/>
      <c r="R218" s="581"/>
      <c r="S218" s="581"/>
      <c r="T218" s="581"/>
      <c r="U218" s="9"/>
      <c r="V218" s="9"/>
      <c r="W218" s="9"/>
      <c r="X218" s="9"/>
      <c r="Y218" s="9"/>
      <c r="Z218" s="9"/>
      <c r="AA218" s="9"/>
      <c r="AB218" s="9"/>
      <c r="AC218" s="9"/>
    </row>
    <row r="219" spans="1:29" ht="12.75" customHeight="1" x14ac:dyDescent="0.25">
      <c r="A219" s="9"/>
      <c r="B219" s="9"/>
      <c r="C219" s="9"/>
      <c r="D219" s="9"/>
      <c r="E219" s="9"/>
      <c r="F219" s="9"/>
      <c r="G219" s="9"/>
      <c r="H219" s="581"/>
      <c r="I219" s="581"/>
      <c r="J219" s="581"/>
      <c r="K219" s="581"/>
      <c r="L219" s="581"/>
      <c r="M219" s="581"/>
      <c r="N219" s="581"/>
      <c r="O219" s="581"/>
      <c r="P219" s="581"/>
      <c r="Q219" s="581"/>
      <c r="R219" s="581"/>
      <c r="S219" s="581"/>
      <c r="T219" s="581"/>
      <c r="U219" s="9"/>
      <c r="V219" s="9"/>
      <c r="W219" s="9"/>
      <c r="X219" s="9"/>
      <c r="Y219" s="9"/>
      <c r="Z219" s="9"/>
      <c r="AA219" s="9"/>
      <c r="AB219" s="9"/>
      <c r="AC219" s="9"/>
    </row>
    <row r="220" spans="1:29" ht="12.75" customHeight="1" x14ac:dyDescent="0.25">
      <c r="A220" s="9"/>
      <c r="B220" s="9"/>
      <c r="C220" s="9"/>
      <c r="D220" s="9"/>
      <c r="E220" s="9"/>
      <c r="F220" s="9"/>
      <c r="G220" s="9"/>
      <c r="H220" s="581"/>
      <c r="I220" s="581"/>
      <c r="J220" s="581"/>
      <c r="K220" s="581"/>
      <c r="L220" s="581"/>
      <c r="M220" s="581"/>
      <c r="N220" s="581"/>
      <c r="O220" s="581"/>
      <c r="P220" s="581"/>
      <c r="Q220" s="581"/>
      <c r="R220" s="581"/>
      <c r="S220" s="581"/>
      <c r="T220" s="581"/>
      <c r="U220" s="9"/>
      <c r="V220" s="9"/>
      <c r="W220" s="9"/>
      <c r="X220" s="9"/>
      <c r="Y220" s="9"/>
      <c r="Z220" s="9"/>
      <c r="AA220" s="9"/>
      <c r="AB220" s="9"/>
      <c r="AC220" s="9"/>
    </row>
    <row r="221" spans="1:29" ht="12.75" customHeight="1" x14ac:dyDescent="0.25">
      <c r="A221" s="9"/>
      <c r="B221" s="9"/>
      <c r="C221" s="9"/>
      <c r="D221" s="9"/>
      <c r="E221" s="9"/>
      <c r="F221" s="9"/>
      <c r="G221" s="9"/>
      <c r="H221" s="581"/>
      <c r="I221" s="581"/>
      <c r="J221" s="581"/>
      <c r="K221" s="581"/>
      <c r="L221" s="581"/>
      <c r="M221" s="581"/>
      <c r="N221" s="581"/>
      <c r="O221" s="581"/>
      <c r="P221" s="581"/>
      <c r="Q221" s="581"/>
      <c r="R221" s="581"/>
      <c r="S221" s="581"/>
      <c r="T221" s="581"/>
      <c r="U221" s="9"/>
      <c r="V221" s="9"/>
      <c r="W221" s="9"/>
      <c r="X221" s="9"/>
      <c r="Y221" s="9"/>
      <c r="Z221" s="9"/>
      <c r="AA221" s="9"/>
      <c r="AB221" s="9"/>
      <c r="AC221" s="9"/>
    </row>
    <row r="222" spans="1:29" ht="12.75" customHeight="1" x14ac:dyDescent="0.25">
      <c r="A222" s="9"/>
      <c r="B222" s="9"/>
      <c r="C222" s="9"/>
      <c r="D222" s="9"/>
      <c r="E222" s="9"/>
      <c r="F222" s="9"/>
      <c r="G222" s="9"/>
      <c r="H222" s="581"/>
      <c r="I222" s="581"/>
      <c r="J222" s="581"/>
      <c r="K222" s="581"/>
      <c r="L222" s="581"/>
      <c r="M222" s="581"/>
      <c r="N222" s="581"/>
      <c r="O222" s="581"/>
      <c r="P222" s="581"/>
      <c r="Q222" s="581"/>
      <c r="R222" s="581"/>
      <c r="S222" s="581"/>
      <c r="T222" s="581"/>
      <c r="U222" s="9"/>
      <c r="V222" s="9"/>
      <c r="W222" s="9"/>
      <c r="X222" s="9"/>
      <c r="Y222" s="9"/>
      <c r="Z222" s="9"/>
      <c r="AA222" s="9"/>
      <c r="AB222" s="9"/>
      <c r="AC222" s="9"/>
    </row>
    <row r="223" spans="1:29" ht="12.75" customHeight="1" x14ac:dyDescent="0.25">
      <c r="A223" s="9"/>
      <c r="B223" s="9"/>
      <c r="C223" s="9"/>
      <c r="D223" s="9"/>
      <c r="E223" s="9"/>
      <c r="F223" s="9"/>
      <c r="G223" s="9"/>
      <c r="H223" s="581"/>
      <c r="I223" s="581"/>
      <c r="J223" s="581"/>
      <c r="K223" s="581"/>
      <c r="L223" s="581"/>
      <c r="M223" s="581"/>
      <c r="N223" s="581"/>
      <c r="O223" s="581"/>
      <c r="P223" s="581"/>
      <c r="Q223" s="581"/>
      <c r="R223" s="581"/>
      <c r="S223" s="581"/>
      <c r="T223" s="581"/>
      <c r="U223" s="9"/>
      <c r="V223" s="9"/>
      <c r="W223" s="9"/>
      <c r="X223" s="9"/>
      <c r="Y223" s="9"/>
      <c r="Z223" s="9"/>
      <c r="AA223" s="9"/>
      <c r="AB223" s="9"/>
      <c r="AC223" s="9"/>
    </row>
    <row r="224" spans="1:29" ht="12.75" customHeight="1" x14ac:dyDescent="0.25">
      <c r="A224" s="9"/>
      <c r="B224" s="9"/>
      <c r="C224" s="9"/>
      <c r="D224" s="9"/>
      <c r="E224" s="9"/>
      <c r="F224" s="9"/>
      <c r="G224" s="9"/>
      <c r="H224" s="581"/>
      <c r="I224" s="581"/>
      <c r="J224" s="581"/>
      <c r="K224" s="581"/>
      <c r="L224" s="581"/>
      <c r="M224" s="581"/>
      <c r="N224" s="581"/>
      <c r="O224" s="581"/>
      <c r="P224" s="581"/>
      <c r="Q224" s="581"/>
      <c r="R224" s="581"/>
      <c r="S224" s="581"/>
      <c r="T224" s="581"/>
      <c r="U224" s="9"/>
      <c r="V224" s="9"/>
      <c r="W224" s="9"/>
      <c r="X224" s="9"/>
      <c r="Y224" s="9"/>
      <c r="Z224" s="9"/>
      <c r="AA224" s="9"/>
      <c r="AB224" s="9"/>
      <c r="AC224" s="9"/>
    </row>
    <row r="225" spans="1:29" ht="12.75" customHeight="1" x14ac:dyDescent="0.25">
      <c r="A225" s="9"/>
      <c r="B225" s="9"/>
      <c r="C225" s="9"/>
      <c r="D225" s="9"/>
      <c r="E225" s="9"/>
      <c r="F225" s="9"/>
      <c r="G225" s="9"/>
      <c r="H225" s="581"/>
      <c r="I225" s="581"/>
      <c r="J225" s="581"/>
      <c r="K225" s="581"/>
      <c r="L225" s="581"/>
      <c r="M225" s="581"/>
      <c r="N225" s="581"/>
      <c r="O225" s="581"/>
      <c r="P225" s="581"/>
      <c r="Q225" s="581"/>
      <c r="R225" s="581"/>
      <c r="S225" s="581"/>
      <c r="T225" s="581"/>
      <c r="U225" s="9"/>
      <c r="V225" s="9"/>
      <c r="W225" s="9"/>
      <c r="X225" s="9"/>
      <c r="Y225" s="9"/>
      <c r="Z225" s="9"/>
      <c r="AA225" s="9"/>
      <c r="AB225" s="9"/>
      <c r="AC225" s="9"/>
    </row>
    <row r="226" spans="1:29" ht="12.75" customHeight="1" x14ac:dyDescent="0.25">
      <c r="A226" s="9"/>
      <c r="B226" s="9"/>
      <c r="C226" s="9"/>
      <c r="D226" s="9"/>
      <c r="E226" s="9"/>
      <c r="F226" s="9"/>
      <c r="G226" s="9"/>
      <c r="H226" s="581"/>
      <c r="I226" s="581"/>
      <c r="J226" s="581"/>
      <c r="K226" s="581"/>
      <c r="L226" s="581"/>
      <c r="M226" s="581"/>
      <c r="N226" s="581"/>
      <c r="O226" s="581"/>
      <c r="P226" s="581"/>
      <c r="Q226" s="581"/>
      <c r="R226" s="581"/>
      <c r="S226" s="581"/>
      <c r="T226" s="581"/>
      <c r="U226" s="9"/>
      <c r="V226" s="9"/>
      <c r="W226" s="9"/>
      <c r="X226" s="9"/>
      <c r="Y226" s="9"/>
      <c r="Z226" s="9"/>
      <c r="AA226" s="9"/>
      <c r="AB226" s="9"/>
      <c r="AC226" s="9"/>
    </row>
    <row r="227" spans="1:29" ht="12.75" customHeight="1" x14ac:dyDescent="0.25">
      <c r="A227" s="9"/>
      <c r="B227" s="9"/>
      <c r="C227" s="9"/>
      <c r="D227" s="9"/>
      <c r="E227" s="9"/>
      <c r="F227" s="9"/>
      <c r="G227" s="9"/>
      <c r="H227" s="581"/>
      <c r="I227" s="581"/>
      <c r="J227" s="581"/>
      <c r="K227" s="581"/>
      <c r="L227" s="581"/>
      <c r="M227" s="581"/>
      <c r="N227" s="581"/>
      <c r="O227" s="581"/>
      <c r="P227" s="581"/>
      <c r="Q227" s="581"/>
      <c r="R227" s="581"/>
      <c r="S227" s="581"/>
      <c r="T227" s="581"/>
      <c r="U227" s="9"/>
      <c r="V227" s="9"/>
      <c r="W227" s="9"/>
      <c r="X227" s="9"/>
      <c r="Y227" s="9"/>
      <c r="Z227" s="9"/>
      <c r="AA227" s="9"/>
      <c r="AB227" s="9"/>
      <c r="AC227" s="9"/>
    </row>
    <row r="228" spans="1:29" ht="12.75" customHeight="1" x14ac:dyDescent="0.25">
      <c r="A228" s="9"/>
      <c r="B228" s="9"/>
      <c r="C228" s="9"/>
      <c r="D228" s="9"/>
      <c r="E228" s="9"/>
      <c r="F228" s="9"/>
      <c r="G228" s="9"/>
      <c r="H228" s="581"/>
      <c r="I228" s="581"/>
      <c r="J228" s="581"/>
      <c r="K228" s="581"/>
      <c r="L228" s="581"/>
      <c r="M228" s="581"/>
      <c r="N228" s="581"/>
      <c r="O228" s="581"/>
      <c r="P228" s="581"/>
      <c r="Q228" s="581"/>
      <c r="R228" s="581"/>
      <c r="S228" s="581"/>
      <c r="T228" s="581"/>
      <c r="U228" s="9"/>
      <c r="V228" s="9"/>
      <c r="W228" s="9"/>
      <c r="X228" s="9"/>
      <c r="Y228" s="9"/>
      <c r="Z228" s="9"/>
      <c r="AA228" s="9"/>
      <c r="AB228" s="9"/>
      <c r="AC228" s="9"/>
    </row>
    <row r="229" spans="1:29" ht="12.75" customHeight="1" x14ac:dyDescent="0.25">
      <c r="A229" s="9"/>
      <c r="B229" s="9"/>
      <c r="C229" s="9"/>
      <c r="D229" s="9"/>
      <c r="E229" s="9"/>
      <c r="F229" s="9"/>
      <c r="G229" s="9"/>
      <c r="H229" s="581"/>
      <c r="I229" s="581"/>
      <c r="J229" s="581"/>
      <c r="K229" s="581"/>
      <c r="L229" s="581"/>
      <c r="M229" s="581"/>
      <c r="N229" s="581"/>
      <c r="O229" s="581"/>
      <c r="P229" s="581"/>
      <c r="Q229" s="581"/>
      <c r="R229" s="581"/>
      <c r="S229" s="581"/>
      <c r="T229" s="581"/>
      <c r="U229" s="9"/>
      <c r="V229" s="9"/>
      <c r="W229" s="9"/>
      <c r="X229" s="9"/>
      <c r="Y229" s="9"/>
      <c r="Z229" s="9"/>
      <c r="AA229" s="9"/>
      <c r="AB229" s="9"/>
      <c r="AC229" s="9"/>
    </row>
    <row r="230" spans="1:29" ht="12.75" customHeight="1" x14ac:dyDescent="0.25">
      <c r="A230" s="9"/>
      <c r="B230" s="9"/>
      <c r="C230" s="9"/>
      <c r="D230" s="9"/>
      <c r="E230" s="9"/>
      <c r="F230" s="9"/>
      <c r="G230" s="9"/>
      <c r="H230" s="581"/>
      <c r="I230" s="581"/>
      <c r="J230" s="581"/>
      <c r="K230" s="581"/>
      <c r="L230" s="581"/>
      <c r="M230" s="581"/>
      <c r="N230" s="581"/>
      <c r="O230" s="581"/>
      <c r="P230" s="581"/>
      <c r="Q230" s="581"/>
      <c r="R230" s="581"/>
      <c r="S230" s="581"/>
      <c r="T230" s="581"/>
      <c r="U230" s="9"/>
      <c r="V230" s="9"/>
      <c r="W230" s="9"/>
      <c r="X230" s="9"/>
      <c r="Y230" s="9"/>
      <c r="Z230" s="9"/>
      <c r="AA230" s="9"/>
      <c r="AB230" s="9"/>
      <c r="AC230" s="9"/>
    </row>
    <row r="231" spans="1:29" ht="12.75" customHeight="1" x14ac:dyDescent="0.25">
      <c r="A231" s="9"/>
      <c r="B231" s="9"/>
      <c r="C231" s="9"/>
      <c r="D231" s="9"/>
      <c r="E231" s="9"/>
      <c r="F231" s="9"/>
      <c r="G231" s="9"/>
      <c r="H231" s="581"/>
      <c r="I231" s="581"/>
      <c r="J231" s="581"/>
      <c r="K231" s="581"/>
      <c r="L231" s="581"/>
      <c r="M231" s="581"/>
      <c r="N231" s="581"/>
      <c r="O231" s="581"/>
      <c r="P231" s="581"/>
      <c r="Q231" s="581"/>
      <c r="R231" s="581"/>
      <c r="S231" s="581"/>
      <c r="T231" s="581"/>
      <c r="U231" s="9"/>
      <c r="V231" s="9"/>
      <c r="W231" s="9"/>
      <c r="X231" s="9"/>
      <c r="Y231" s="9"/>
      <c r="Z231" s="9"/>
      <c r="AA231" s="9"/>
      <c r="AB231" s="9"/>
      <c r="AC231" s="9"/>
    </row>
    <row r="232" spans="1:29" ht="12.75" customHeight="1" x14ac:dyDescent="0.25">
      <c r="A232" s="9"/>
      <c r="B232" s="9"/>
      <c r="C232" s="9"/>
      <c r="D232" s="9"/>
      <c r="E232" s="9"/>
      <c r="F232" s="9"/>
      <c r="G232" s="9"/>
      <c r="H232" s="581"/>
      <c r="I232" s="581"/>
      <c r="J232" s="581"/>
      <c r="K232" s="581"/>
      <c r="L232" s="581"/>
      <c r="M232" s="581"/>
      <c r="N232" s="581"/>
      <c r="O232" s="581"/>
      <c r="P232" s="581"/>
      <c r="Q232" s="581"/>
      <c r="R232" s="581"/>
      <c r="S232" s="581"/>
      <c r="T232" s="581"/>
      <c r="U232" s="9"/>
      <c r="V232" s="9"/>
      <c r="W232" s="9"/>
      <c r="X232" s="9"/>
      <c r="Y232" s="9"/>
      <c r="Z232" s="9"/>
      <c r="AA232" s="9"/>
      <c r="AB232" s="9"/>
      <c r="AC232" s="9"/>
    </row>
    <row r="233" spans="1:29" ht="12.75" customHeight="1" x14ac:dyDescent="0.25">
      <c r="A233" s="9"/>
      <c r="B233" s="9"/>
      <c r="C233" s="9"/>
      <c r="D233" s="9"/>
      <c r="E233" s="9"/>
      <c r="F233" s="9"/>
      <c r="G233" s="9"/>
      <c r="H233" s="581"/>
      <c r="I233" s="581"/>
      <c r="J233" s="581"/>
      <c r="K233" s="581"/>
      <c r="L233" s="581"/>
      <c r="M233" s="581"/>
      <c r="N233" s="581"/>
      <c r="O233" s="581"/>
      <c r="P233" s="581"/>
      <c r="Q233" s="581"/>
      <c r="R233" s="581"/>
      <c r="S233" s="581"/>
      <c r="T233" s="581"/>
      <c r="U233" s="9"/>
      <c r="V233" s="9"/>
      <c r="W233" s="9"/>
      <c r="X233" s="9"/>
      <c r="Y233" s="9"/>
      <c r="Z233" s="9"/>
      <c r="AA233" s="9"/>
      <c r="AB233" s="9"/>
      <c r="AC233" s="9"/>
    </row>
    <row r="234" spans="1:29" ht="12.75" customHeight="1" x14ac:dyDescent="0.25">
      <c r="A234" s="9"/>
      <c r="B234" s="9"/>
      <c r="C234" s="9"/>
      <c r="D234" s="9"/>
      <c r="E234" s="9"/>
      <c r="F234" s="9"/>
      <c r="G234" s="9"/>
      <c r="H234" s="581"/>
      <c r="I234" s="581"/>
      <c r="J234" s="581"/>
      <c r="K234" s="581"/>
      <c r="L234" s="581"/>
      <c r="M234" s="581"/>
      <c r="N234" s="581"/>
      <c r="O234" s="581"/>
      <c r="P234" s="581"/>
      <c r="Q234" s="581"/>
      <c r="R234" s="581"/>
      <c r="S234" s="581"/>
      <c r="T234" s="581"/>
      <c r="U234" s="9"/>
      <c r="V234" s="9"/>
      <c r="W234" s="9"/>
      <c r="X234" s="9"/>
      <c r="Y234" s="9"/>
      <c r="Z234" s="9"/>
      <c r="AA234" s="9"/>
      <c r="AB234" s="9"/>
      <c r="AC234" s="9"/>
    </row>
    <row r="235" spans="1:29" ht="12.75" customHeight="1" x14ac:dyDescent="0.25">
      <c r="A235" s="9"/>
      <c r="B235" s="9"/>
      <c r="C235" s="9"/>
      <c r="D235" s="9"/>
      <c r="E235" s="9"/>
      <c r="F235" s="9"/>
      <c r="G235" s="9"/>
      <c r="H235" s="581"/>
      <c r="I235" s="581"/>
      <c r="J235" s="581"/>
      <c r="K235" s="581"/>
      <c r="L235" s="581"/>
      <c r="M235" s="581"/>
      <c r="N235" s="581"/>
      <c r="O235" s="581"/>
      <c r="P235" s="581"/>
      <c r="Q235" s="581"/>
      <c r="R235" s="581"/>
      <c r="S235" s="581"/>
      <c r="T235" s="581"/>
      <c r="U235" s="9"/>
      <c r="V235" s="9"/>
      <c r="W235" s="9"/>
      <c r="X235" s="9"/>
      <c r="Y235" s="9"/>
      <c r="Z235" s="9"/>
      <c r="AA235" s="9"/>
      <c r="AB235" s="9"/>
      <c r="AC235" s="9"/>
    </row>
    <row r="236" spans="1:29" ht="12.75" customHeight="1" x14ac:dyDescent="0.25">
      <c r="A236" s="9"/>
      <c r="B236" s="9"/>
      <c r="C236" s="9"/>
      <c r="D236" s="9"/>
      <c r="E236" s="9"/>
      <c r="F236" s="9"/>
      <c r="G236" s="9"/>
      <c r="H236" s="581"/>
      <c r="I236" s="581"/>
      <c r="J236" s="581"/>
      <c r="K236" s="581"/>
      <c r="L236" s="581"/>
      <c r="M236" s="581"/>
      <c r="N236" s="581"/>
      <c r="O236" s="581"/>
      <c r="P236" s="581"/>
      <c r="Q236" s="581"/>
      <c r="R236" s="581"/>
      <c r="S236" s="581"/>
      <c r="T236" s="581"/>
      <c r="U236" s="9"/>
      <c r="V236" s="9"/>
      <c r="W236" s="9"/>
      <c r="X236" s="9"/>
      <c r="Y236" s="9"/>
      <c r="Z236" s="9"/>
      <c r="AA236" s="9"/>
      <c r="AB236" s="9"/>
      <c r="AC236" s="9"/>
    </row>
    <row r="237" spans="1:29" ht="12.75" customHeight="1" x14ac:dyDescent="0.25">
      <c r="A237" s="9"/>
      <c r="B237" s="9"/>
      <c r="C237" s="9"/>
      <c r="D237" s="9"/>
      <c r="E237" s="9"/>
      <c r="F237" s="9"/>
      <c r="G237" s="9"/>
      <c r="H237" s="581"/>
      <c r="I237" s="581"/>
      <c r="J237" s="581"/>
      <c r="K237" s="581"/>
      <c r="L237" s="581"/>
      <c r="M237" s="581"/>
      <c r="N237" s="581"/>
      <c r="O237" s="581"/>
      <c r="P237" s="581"/>
      <c r="Q237" s="581"/>
      <c r="R237" s="581"/>
      <c r="S237" s="581"/>
      <c r="T237" s="581"/>
      <c r="U237" s="9"/>
      <c r="V237" s="9"/>
      <c r="W237" s="9"/>
      <c r="X237" s="9"/>
      <c r="Y237" s="9"/>
      <c r="Z237" s="9"/>
      <c r="AA237" s="9"/>
      <c r="AB237" s="9"/>
      <c r="AC237" s="9"/>
    </row>
    <row r="238" spans="1:29" ht="12.75" customHeight="1" x14ac:dyDescent="0.25">
      <c r="A238" s="9"/>
      <c r="B238" s="9"/>
      <c r="C238" s="9"/>
      <c r="D238" s="9"/>
      <c r="E238" s="9"/>
      <c r="F238" s="9"/>
      <c r="G238" s="9"/>
      <c r="H238" s="581"/>
      <c r="I238" s="581"/>
      <c r="J238" s="581"/>
      <c r="K238" s="581"/>
      <c r="L238" s="581"/>
      <c r="M238" s="581"/>
      <c r="N238" s="581"/>
      <c r="O238" s="581"/>
      <c r="P238" s="581"/>
      <c r="Q238" s="581"/>
      <c r="R238" s="581"/>
      <c r="S238" s="581"/>
      <c r="T238" s="581"/>
      <c r="U238" s="9"/>
      <c r="V238" s="9"/>
      <c r="W238" s="9"/>
      <c r="X238" s="9"/>
      <c r="Y238" s="9"/>
      <c r="Z238" s="9"/>
      <c r="AA238" s="9"/>
      <c r="AB238" s="9"/>
      <c r="AC238" s="9"/>
    </row>
    <row r="239" spans="1:29" ht="12.75" customHeight="1" x14ac:dyDescent="0.25">
      <c r="A239" s="9"/>
      <c r="B239" s="9"/>
      <c r="C239" s="9"/>
      <c r="D239" s="9"/>
      <c r="E239" s="9"/>
      <c r="F239" s="9"/>
      <c r="G239" s="9"/>
      <c r="H239" s="581"/>
      <c r="I239" s="581"/>
      <c r="J239" s="581"/>
      <c r="K239" s="581"/>
      <c r="L239" s="581"/>
      <c r="M239" s="581"/>
      <c r="N239" s="581"/>
      <c r="O239" s="581"/>
      <c r="P239" s="581"/>
      <c r="Q239" s="581"/>
      <c r="R239" s="581"/>
      <c r="S239" s="581"/>
      <c r="T239" s="581"/>
      <c r="U239" s="9"/>
      <c r="V239" s="9"/>
      <c r="W239" s="9"/>
      <c r="X239" s="9"/>
      <c r="Y239" s="9"/>
      <c r="Z239" s="9"/>
      <c r="AA239" s="9"/>
      <c r="AB239" s="9"/>
      <c r="AC239" s="9"/>
    </row>
    <row r="240" spans="1:29" ht="12.75" customHeight="1" x14ac:dyDescent="0.25">
      <c r="A240" s="9"/>
      <c r="B240" s="9"/>
      <c r="C240" s="9"/>
      <c r="D240" s="9"/>
      <c r="E240" s="9"/>
      <c r="F240" s="9"/>
      <c r="G240" s="9"/>
      <c r="H240" s="581"/>
      <c r="I240" s="581"/>
      <c r="J240" s="581"/>
      <c r="K240" s="581"/>
      <c r="L240" s="581"/>
      <c r="M240" s="581"/>
      <c r="N240" s="581"/>
      <c r="O240" s="581"/>
      <c r="P240" s="581"/>
      <c r="Q240" s="581"/>
      <c r="R240" s="581"/>
      <c r="S240" s="581"/>
      <c r="T240" s="581"/>
      <c r="U240" s="9"/>
      <c r="V240" s="9"/>
      <c r="W240" s="9"/>
      <c r="X240" s="9"/>
      <c r="Y240" s="9"/>
      <c r="Z240" s="9"/>
      <c r="AA240" s="9"/>
      <c r="AB240" s="9"/>
      <c r="AC240" s="9"/>
    </row>
    <row r="241" spans="1:29" ht="12.75" customHeight="1" x14ac:dyDescent="0.25">
      <c r="A241" s="9"/>
      <c r="B241" s="9"/>
      <c r="C241" s="9"/>
      <c r="D241" s="9"/>
      <c r="E241" s="9"/>
      <c r="F241" s="9"/>
      <c r="G241" s="9"/>
      <c r="H241" s="581"/>
      <c r="I241" s="581"/>
      <c r="J241" s="581"/>
      <c r="K241" s="581"/>
      <c r="L241" s="581"/>
      <c r="M241" s="581"/>
      <c r="N241" s="581"/>
      <c r="O241" s="581"/>
      <c r="P241" s="581"/>
      <c r="Q241" s="581"/>
      <c r="R241" s="581"/>
      <c r="S241" s="581"/>
      <c r="T241" s="581"/>
      <c r="U241" s="9"/>
      <c r="V241" s="9"/>
      <c r="W241" s="9"/>
      <c r="X241" s="9"/>
      <c r="Y241" s="9"/>
      <c r="Z241" s="9"/>
      <c r="AA241" s="9"/>
      <c r="AB241" s="9"/>
      <c r="AC241" s="9"/>
    </row>
    <row r="242" spans="1:29" ht="12.75" customHeight="1" x14ac:dyDescent="0.25">
      <c r="A242" s="9"/>
      <c r="B242" s="9"/>
      <c r="C242" s="9"/>
      <c r="D242" s="9"/>
      <c r="E242" s="9"/>
      <c r="F242" s="9"/>
      <c r="G242" s="9"/>
      <c r="H242" s="581"/>
      <c r="I242" s="581"/>
      <c r="J242" s="581"/>
      <c r="K242" s="581"/>
      <c r="L242" s="581"/>
      <c r="M242" s="581"/>
      <c r="N242" s="581"/>
      <c r="O242" s="581"/>
      <c r="P242" s="581"/>
      <c r="Q242" s="581"/>
      <c r="R242" s="581"/>
      <c r="S242" s="581"/>
      <c r="T242" s="581"/>
      <c r="U242" s="9"/>
      <c r="V242" s="9"/>
      <c r="W242" s="9"/>
      <c r="X242" s="9"/>
      <c r="Y242" s="9"/>
      <c r="Z242" s="9"/>
      <c r="AA242" s="9"/>
      <c r="AB242" s="9"/>
      <c r="AC242" s="9"/>
    </row>
    <row r="243" spans="1:29" ht="12.75" customHeight="1" x14ac:dyDescent="0.25">
      <c r="A243" s="9"/>
      <c r="B243" s="9"/>
      <c r="C243" s="9"/>
      <c r="D243" s="9"/>
      <c r="E243" s="9"/>
      <c r="F243" s="9"/>
      <c r="G243" s="9"/>
      <c r="H243" s="581"/>
      <c r="I243" s="581"/>
      <c r="J243" s="581"/>
      <c r="K243" s="581"/>
      <c r="L243" s="581"/>
      <c r="M243" s="581"/>
      <c r="N243" s="581"/>
      <c r="O243" s="581"/>
      <c r="P243" s="581"/>
      <c r="Q243" s="581"/>
      <c r="R243" s="581"/>
      <c r="S243" s="581"/>
      <c r="T243" s="581"/>
      <c r="U243" s="9"/>
      <c r="V243" s="9"/>
      <c r="W243" s="9"/>
      <c r="X243" s="9"/>
      <c r="Y243" s="9"/>
      <c r="Z243" s="9"/>
      <c r="AA243" s="9"/>
      <c r="AB243" s="9"/>
      <c r="AC243" s="9"/>
    </row>
    <row r="244" spans="1:29" ht="12.75" customHeight="1" x14ac:dyDescent="0.25">
      <c r="A244" s="9"/>
      <c r="B244" s="9"/>
      <c r="C244" s="9"/>
      <c r="D244" s="9"/>
      <c r="E244" s="9"/>
      <c r="F244" s="9"/>
      <c r="G244" s="9"/>
      <c r="H244" s="581"/>
      <c r="I244" s="581"/>
      <c r="J244" s="581"/>
      <c r="K244" s="581"/>
      <c r="L244" s="581"/>
      <c r="M244" s="581"/>
      <c r="N244" s="581"/>
      <c r="O244" s="581"/>
      <c r="P244" s="581"/>
      <c r="Q244" s="581"/>
      <c r="R244" s="581"/>
      <c r="S244" s="581"/>
      <c r="T244" s="581"/>
      <c r="U244" s="9"/>
      <c r="V244" s="9"/>
      <c r="W244" s="9"/>
      <c r="X244" s="9"/>
      <c r="Y244" s="9"/>
      <c r="Z244" s="9"/>
      <c r="AA244" s="9"/>
      <c r="AB244" s="9"/>
      <c r="AC244" s="9"/>
    </row>
    <row r="245" spans="1:29" ht="12.75" customHeight="1" x14ac:dyDescent="0.25">
      <c r="A245" s="9"/>
      <c r="B245" s="9"/>
      <c r="C245" s="9"/>
      <c r="D245" s="9"/>
      <c r="E245" s="9"/>
      <c r="F245" s="9"/>
      <c r="G245" s="9"/>
      <c r="H245" s="581"/>
      <c r="I245" s="581"/>
      <c r="J245" s="581"/>
      <c r="K245" s="581"/>
      <c r="L245" s="581"/>
      <c r="M245" s="581"/>
      <c r="N245" s="581"/>
      <c r="O245" s="581"/>
      <c r="P245" s="581"/>
      <c r="Q245" s="581"/>
      <c r="R245" s="581"/>
      <c r="S245" s="581"/>
      <c r="T245" s="581"/>
      <c r="U245" s="9"/>
      <c r="V245" s="9"/>
      <c r="W245" s="9"/>
      <c r="X245" s="9"/>
      <c r="Y245" s="9"/>
      <c r="Z245" s="9"/>
      <c r="AA245" s="9"/>
      <c r="AB245" s="9"/>
      <c r="AC245" s="9"/>
    </row>
    <row r="246" spans="1:29" ht="12.75" customHeight="1" x14ac:dyDescent="0.25">
      <c r="A246" s="9"/>
      <c r="B246" s="9"/>
      <c r="C246" s="9"/>
      <c r="D246" s="9"/>
      <c r="E246" s="9"/>
      <c r="F246" s="9"/>
      <c r="G246" s="9"/>
      <c r="H246" s="581"/>
      <c r="I246" s="581"/>
      <c r="J246" s="581"/>
      <c r="K246" s="581"/>
      <c r="L246" s="581"/>
      <c r="M246" s="581"/>
      <c r="N246" s="581"/>
      <c r="O246" s="581"/>
      <c r="P246" s="581"/>
      <c r="Q246" s="581"/>
      <c r="R246" s="581"/>
      <c r="S246" s="581"/>
      <c r="T246" s="581"/>
      <c r="U246" s="9"/>
      <c r="V246" s="9"/>
      <c r="W246" s="9"/>
      <c r="X246" s="9"/>
      <c r="Y246" s="9"/>
      <c r="Z246" s="9"/>
      <c r="AA246" s="9"/>
      <c r="AB246" s="9"/>
      <c r="AC246" s="9"/>
    </row>
    <row r="247" spans="1:29" ht="12.75" customHeight="1" x14ac:dyDescent="0.25">
      <c r="A247" s="9"/>
      <c r="B247" s="9"/>
      <c r="C247" s="9"/>
      <c r="D247" s="9"/>
      <c r="E247" s="9"/>
      <c r="F247" s="9"/>
      <c r="G247" s="9"/>
      <c r="H247" s="581"/>
      <c r="I247" s="581"/>
      <c r="J247" s="581"/>
      <c r="K247" s="581"/>
      <c r="L247" s="581"/>
      <c r="M247" s="581"/>
      <c r="N247" s="581"/>
      <c r="O247" s="581"/>
      <c r="P247" s="581"/>
      <c r="Q247" s="581"/>
      <c r="R247" s="581"/>
      <c r="S247" s="581"/>
      <c r="T247" s="581"/>
      <c r="U247" s="9"/>
      <c r="V247" s="9"/>
      <c r="W247" s="9"/>
      <c r="X247" s="9"/>
      <c r="Y247" s="9"/>
      <c r="Z247" s="9"/>
      <c r="AA247" s="9"/>
      <c r="AB247" s="9"/>
      <c r="AC247" s="9"/>
    </row>
    <row r="248" spans="1:29" ht="12.75" customHeight="1" x14ac:dyDescent="0.25">
      <c r="A248" s="9"/>
      <c r="B248" s="9"/>
      <c r="C248" s="9"/>
      <c r="D248" s="9"/>
      <c r="E248" s="9"/>
      <c r="F248" s="9"/>
      <c r="G248" s="9"/>
      <c r="H248" s="581"/>
      <c r="I248" s="581"/>
      <c r="J248" s="581"/>
      <c r="K248" s="581"/>
      <c r="L248" s="581"/>
      <c r="M248" s="581"/>
      <c r="N248" s="581"/>
      <c r="O248" s="581"/>
      <c r="P248" s="581"/>
      <c r="Q248" s="581"/>
      <c r="R248" s="581"/>
      <c r="S248" s="581"/>
      <c r="T248" s="581"/>
      <c r="U248" s="9"/>
      <c r="V248" s="9"/>
      <c r="W248" s="9"/>
      <c r="X248" s="9"/>
      <c r="Y248" s="9"/>
      <c r="Z248" s="9"/>
      <c r="AA248" s="9"/>
      <c r="AB248" s="9"/>
      <c r="AC248" s="9"/>
    </row>
    <row r="249" spans="1:29" ht="12.75" customHeight="1" x14ac:dyDescent="0.25">
      <c r="A249" s="9"/>
      <c r="B249" s="9"/>
      <c r="C249" s="9"/>
      <c r="D249" s="9"/>
      <c r="E249" s="9"/>
      <c r="F249" s="9"/>
      <c r="G249" s="9"/>
      <c r="H249" s="581"/>
      <c r="I249" s="581"/>
      <c r="J249" s="581"/>
      <c r="K249" s="581"/>
      <c r="L249" s="581"/>
      <c r="M249" s="581"/>
      <c r="N249" s="581"/>
      <c r="O249" s="581"/>
      <c r="P249" s="581"/>
      <c r="Q249" s="581"/>
      <c r="R249" s="581"/>
      <c r="S249" s="581"/>
      <c r="T249" s="581"/>
      <c r="U249" s="9"/>
      <c r="V249" s="9"/>
      <c r="W249" s="9"/>
      <c r="X249" s="9"/>
      <c r="Y249" s="9"/>
      <c r="Z249" s="9"/>
      <c r="AA249" s="9"/>
      <c r="AB249" s="9"/>
      <c r="AC249" s="9"/>
    </row>
    <row r="250" spans="1:29" ht="12.75" customHeight="1" x14ac:dyDescent="0.25">
      <c r="A250" s="9"/>
      <c r="B250" s="9"/>
      <c r="C250" s="9"/>
      <c r="D250" s="9"/>
      <c r="E250" s="9"/>
      <c r="F250" s="9"/>
      <c r="G250" s="9"/>
      <c r="H250" s="581"/>
      <c r="I250" s="581"/>
      <c r="J250" s="581"/>
      <c r="K250" s="581"/>
      <c r="L250" s="581"/>
      <c r="M250" s="581"/>
      <c r="N250" s="581"/>
      <c r="O250" s="581"/>
      <c r="P250" s="581"/>
      <c r="Q250" s="581"/>
      <c r="R250" s="581"/>
      <c r="S250" s="581"/>
      <c r="T250" s="581"/>
      <c r="U250" s="9"/>
      <c r="V250" s="9"/>
      <c r="W250" s="9"/>
      <c r="X250" s="9"/>
      <c r="Y250" s="9"/>
      <c r="Z250" s="9"/>
      <c r="AA250" s="9"/>
      <c r="AB250" s="9"/>
      <c r="AC250" s="9"/>
    </row>
    <row r="251" spans="1:29" ht="12.75" customHeight="1" x14ac:dyDescent="0.25">
      <c r="A251" s="9"/>
      <c r="B251" s="9"/>
      <c r="C251" s="9"/>
      <c r="D251" s="9"/>
      <c r="E251" s="9"/>
      <c r="F251" s="9"/>
      <c r="G251" s="9"/>
      <c r="H251" s="581"/>
      <c r="I251" s="581"/>
      <c r="J251" s="581"/>
      <c r="K251" s="581"/>
      <c r="L251" s="581"/>
      <c r="M251" s="581"/>
      <c r="N251" s="581"/>
      <c r="O251" s="581"/>
      <c r="P251" s="581"/>
      <c r="Q251" s="581"/>
      <c r="R251" s="581"/>
      <c r="S251" s="581"/>
      <c r="T251" s="581"/>
      <c r="U251" s="9"/>
      <c r="V251" s="9"/>
      <c r="W251" s="9"/>
      <c r="X251" s="9"/>
      <c r="Y251" s="9"/>
      <c r="Z251" s="9"/>
      <c r="AA251" s="9"/>
      <c r="AB251" s="9"/>
      <c r="AC251" s="9"/>
    </row>
    <row r="252" spans="1:29" ht="12.75" customHeight="1" x14ac:dyDescent="0.25">
      <c r="A252" s="9"/>
      <c r="B252" s="9"/>
      <c r="C252" s="9"/>
      <c r="D252" s="9"/>
      <c r="E252" s="9"/>
      <c r="F252" s="9"/>
      <c r="G252" s="9"/>
      <c r="H252" s="581"/>
      <c r="I252" s="581"/>
      <c r="J252" s="581"/>
      <c r="K252" s="581"/>
      <c r="L252" s="581"/>
      <c r="M252" s="581"/>
      <c r="N252" s="581"/>
      <c r="O252" s="581"/>
      <c r="P252" s="581"/>
      <c r="Q252" s="581"/>
      <c r="R252" s="581"/>
      <c r="S252" s="581"/>
      <c r="T252" s="581"/>
      <c r="U252" s="9"/>
      <c r="V252" s="9"/>
      <c r="W252" s="9"/>
      <c r="X252" s="9"/>
      <c r="Y252" s="9"/>
      <c r="Z252" s="9"/>
      <c r="AA252" s="9"/>
      <c r="AB252" s="9"/>
      <c r="AC252" s="9"/>
    </row>
    <row r="253" spans="1:29" ht="12.75" customHeight="1" x14ac:dyDescent="0.25">
      <c r="A253" s="9"/>
      <c r="B253" s="9"/>
      <c r="C253" s="9"/>
      <c r="D253" s="9"/>
      <c r="E253" s="9"/>
      <c r="F253" s="9"/>
      <c r="G253" s="9"/>
      <c r="H253" s="581"/>
      <c r="I253" s="581"/>
      <c r="J253" s="581"/>
      <c r="K253" s="581"/>
      <c r="L253" s="581"/>
      <c r="M253" s="581"/>
      <c r="N253" s="581"/>
      <c r="O253" s="581"/>
      <c r="P253" s="581"/>
      <c r="Q253" s="581"/>
      <c r="R253" s="581"/>
      <c r="S253" s="581"/>
      <c r="T253" s="581"/>
      <c r="U253" s="9"/>
      <c r="V253" s="9"/>
      <c r="W253" s="9"/>
      <c r="X253" s="9"/>
      <c r="Y253" s="9"/>
      <c r="Z253" s="9"/>
      <c r="AA253" s="9"/>
      <c r="AB253" s="9"/>
      <c r="AC253" s="9"/>
    </row>
    <row r="254" spans="1:29" ht="12.75" customHeight="1" x14ac:dyDescent="0.25">
      <c r="A254" s="9"/>
      <c r="B254" s="9"/>
      <c r="C254" s="9"/>
      <c r="D254" s="9"/>
      <c r="E254" s="9"/>
      <c r="F254" s="9"/>
      <c r="G254" s="9"/>
      <c r="H254" s="581"/>
      <c r="I254" s="581"/>
      <c r="J254" s="581"/>
      <c r="K254" s="581"/>
      <c r="L254" s="581"/>
      <c r="M254" s="581"/>
      <c r="N254" s="581"/>
      <c r="O254" s="581"/>
      <c r="P254" s="581"/>
      <c r="Q254" s="581"/>
      <c r="R254" s="581"/>
      <c r="S254" s="581"/>
      <c r="T254" s="581"/>
      <c r="U254" s="9"/>
      <c r="V254" s="9"/>
      <c r="W254" s="9"/>
      <c r="X254" s="9"/>
      <c r="Y254" s="9"/>
      <c r="Z254" s="9"/>
      <c r="AA254" s="9"/>
      <c r="AB254" s="9"/>
      <c r="AC254" s="9"/>
    </row>
    <row r="255" spans="1:29" ht="12.75" customHeight="1" x14ac:dyDescent="0.25">
      <c r="A255" s="9"/>
      <c r="B255" s="9"/>
      <c r="C255" s="9"/>
      <c r="D255" s="9"/>
      <c r="E255" s="9"/>
      <c r="F255" s="9"/>
      <c r="G255" s="9"/>
      <c r="H255" s="581"/>
      <c r="I255" s="581"/>
      <c r="J255" s="581"/>
      <c r="K255" s="581"/>
      <c r="L255" s="581"/>
      <c r="M255" s="581"/>
      <c r="N255" s="581"/>
      <c r="O255" s="581"/>
      <c r="P255" s="581"/>
      <c r="Q255" s="581"/>
      <c r="R255" s="581"/>
      <c r="S255" s="581"/>
      <c r="T255" s="581"/>
      <c r="U255" s="9"/>
      <c r="V255" s="9"/>
      <c r="W255" s="9"/>
      <c r="X255" s="9"/>
      <c r="Y255" s="9"/>
      <c r="Z255" s="9"/>
      <c r="AA255" s="9"/>
      <c r="AB255" s="9"/>
      <c r="AC255" s="9"/>
    </row>
    <row r="256" spans="1:29" ht="12.75" customHeight="1" x14ac:dyDescent="0.25">
      <c r="A256" s="9"/>
      <c r="B256" s="9"/>
      <c r="C256" s="9"/>
      <c r="D256" s="9"/>
      <c r="E256" s="9"/>
      <c r="F256" s="9"/>
      <c r="G256" s="9"/>
      <c r="H256" s="581"/>
      <c r="I256" s="581"/>
      <c r="J256" s="581"/>
      <c r="K256" s="581"/>
      <c r="L256" s="581"/>
      <c r="M256" s="581"/>
      <c r="N256" s="581"/>
      <c r="O256" s="581"/>
      <c r="P256" s="581"/>
      <c r="Q256" s="581"/>
      <c r="R256" s="581"/>
      <c r="S256" s="581"/>
      <c r="T256" s="581"/>
      <c r="U256" s="9"/>
      <c r="V256" s="9"/>
      <c r="W256" s="9"/>
      <c r="X256" s="9"/>
      <c r="Y256" s="9"/>
      <c r="Z256" s="9"/>
      <c r="AA256" s="9"/>
      <c r="AB256" s="9"/>
      <c r="AC256" s="9"/>
    </row>
    <row r="257" spans="1:29" ht="12.75" customHeight="1" x14ac:dyDescent="0.25">
      <c r="A257" s="9"/>
      <c r="B257" s="9"/>
      <c r="C257" s="9"/>
      <c r="D257" s="9"/>
      <c r="E257" s="9"/>
      <c r="F257" s="9"/>
      <c r="G257" s="9"/>
      <c r="H257" s="581"/>
      <c r="I257" s="581"/>
      <c r="J257" s="581"/>
      <c r="K257" s="581"/>
      <c r="L257" s="581"/>
      <c r="M257" s="581"/>
      <c r="N257" s="581"/>
      <c r="O257" s="581"/>
      <c r="P257" s="581"/>
      <c r="Q257" s="581"/>
      <c r="R257" s="581"/>
      <c r="S257" s="581"/>
      <c r="T257" s="581"/>
      <c r="U257" s="9"/>
      <c r="V257" s="9"/>
      <c r="W257" s="9"/>
      <c r="X257" s="9"/>
      <c r="Y257" s="9"/>
      <c r="Z257" s="9"/>
      <c r="AA257" s="9"/>
      <c r="AB257" s="9"/>
      <c r="AC257" s="9"/>
    </row>
    <row r="258" spans="1:29" ht="12.75" customHeight="1" x14ac:dyDescent="0.25">
      <c r="A258" s="9"/>
      <c r="B258" s="9"/>
      <c r="C258" s="9"/>
      <c r="D258" s="9"/>
      <c r="E258" s="9"/>
      <c r="F258" s="9"/>
      <c r="G258" s="9"/>
      <c r="H258" s="581"/>
      <c r="I258" s="581"/>
      <c r="J258" s="581"/>
      <c r="K258" s="581"/>
      <c r="L258" s="581"/>
      <c r="M258" s="581"/>
      <c r="N258" s="581"/>
      <c r="O258" s="581"/>
      <c r="P258" s="581"/>
      <c r="Q258" s="581"/>
      <c r="R258" s="581"/>
      <c r="S258" s="581"/>
      <c r="T258" s="581"/>
      <c r="U258" s="9"/>
      <c r="V258" s="9"/>
      <c r="W258" s="9"/>
      <c r="X258" s="9"/>
      <c r="Y258" s="9"/>
      <c r="Z258" s="9"/>
      <c r="AA258" s="9"/>
      <c r="AB258" s="9"/>
      <c r="AC258" s="9"/>
    </row>
    <row r="259" spans="1:29" ht="12.75" customHeight="1" x14ac:dyDescent="0.25">
      <c r="A259" s="9"/>
      <c r="B259" s="9"/>
      <c r="C259" s="9"/>
      <c r="D259" s="9"/>
      <c r="E259" s="9"/>
      <c r="F259" s="9"/>
      <c r="G259" s="9"/>
      <c r="H259" s="581"/>
      <c r="I259" s="581"/>
      <c r="J259" s="581"/>
      <c r="K259" s="581"/>
      <c r="L259" s="581"/>
      <c r="M259" s="581"/>
      <c r="N259" s="581"/>
      <c r="O259" s="581"/>
      <c r="P259" s="581"/>
      <c r="Q259" s="581"/>
      <c r="R259" s="581"/>
      <c r="S259" s="581"/>
      <c r="T259" s="581"/>
      <c r="U259" s="9"/>
      <c r="V259" s="9"/>
      <c r="W259" s="9"/>
      <c r="X259" s="9"/>
      <c r="Y259" s="9"/>
      <c r="Z259" s="9"/>
      <c r="AA259" s="9"/>
      <c r="AB259" s="9"/>
      <c r="AC259" s="9"/>
    </row>
    <row r="260" spans="1:29" ht="12.75" customHeight="1" x14ac:dyDescent="0.25">
      <c r="A260" s="9"/>
      <c r="B260" s="9"/>
      <c r="C260" s="9"/>
      <c r="D260" s="9"/>
      <c r="E260" s="9"/>
      <c r="F260" s="9"/>
      <c r="G260" s="9"/>
      <c r="H260" s="581"/>
      <c r="I260" s="581"/>
      <c r="J260" s="581"/>
      <c r="K260" s="581"/>
      <c r="L260" s="581"/>
      <c r="M260" s="581"/>
      <c r="N260" s="581"/>
      <c r="O260" s="581"/>
      <c r="P260" s="581"/>
      <c r="Q260" s="581"/>
      <c r="R260" s="581"/>
      <c r="S260" s="581"/>
      <c r="T260" s="581"/>
      <c r="U260" s="9"/>
      <c r="V260" s="9"/>
      <c r="W260" s="9"/>
      <c r="X260" s="9"/>
      <c r="Y260" s="9"/>
      <c r="Z260" s="9"/>
      <c r="AA260" s="9"/>
      <c r="AB260" s="9"/>
      <c r="AC260" s="9"/>
    </row>
    <row r="261" spans="1:29" ht="12.75" customHeight="1" x14ac:dyDescent="0.25">
      <c r="A261" s="9"/>
      <c r="B261" s="9"/>
      <c r="C261" s="9"/>
      <c r="D261" s="9"/>
      <c r="E261" s="9"/>
      <c r="F261" s="9"/>
      <c r="G261" s="9"/>
      <c r="H261" s="581"/>
      <c r="I261" s="581"/>
      <c r="J261" s="581"/>
      <c r="K261" s="581"/>
      <c r="L261" s="581"/>
      <c r="M261" s="581"/>
      <c r="N261" s="581"/>
      <c r="O261" s="581"/>
      <c r="P261" s="581"/>
      <c r="Q261" s="581"/>
      <c r="R261" s="581"/>
      <c r="S261" s="581"/>
      <c r="T261" s="581"/>
      <c r="U261" s="9"/>
      <c r="V261" s="9"/>
      <c r="W261" s="9"/>
      <c r="X261" s="9"/>
      <c r="Y261" s="9"/>
      <c r="Z261" s="9"/>
      <c r="AA261" s="9"/>
      <c r="AB261" s="9"/>
      <c r="AC261" s="9"/>
    </row>
    <row r="262" spans="1:29" ht="12.75" customHeight="1" x14ac:dyDescent="0.25">
      <c r="A262" s="9"/>
      <c r="B262" s="9"/>
      <c r="C262" s="9"/>
      <c r="D262" s="9"/>
      <c r="E262" s="9"/>
      <c r="F262" s="9"/>
      <c r="G262" s="9"/>
      <c r="H262" s="581"/>
      <c r="I262" s="581"/>
      <c r="J262" s="581"/>
      <c r="K262" s="581"/>
      <c r="L262" s="581"/>
      <c r="M262" s="581"/>
      <c r="N262" s="581"/>
      <c r="O262" s="581"/>
      <c r="P262" s="581"/>
      <c r="Q262" s="581"/>
      <c r="R262" s="581"/>
      <c r="S262" s="581"/>
      <c r="T262" s="581"/>
      <c r="U262" s="9"/>
      <c r="V262" s="9"/>
      <c r="W262" s="9"/>
      <c r="X262" s="9"/>
      <c r="Y262" s="9"/>
      <c r="Z262" s="9"/>
      <c r="AA262" s="9"/>
      <c r="AB262" s="9"/>
      <c r="AC262" s="9"/>
    </row>
    <row r="263" spans="1:29" ht="12.75" customHeight="1" x14ac:dyDescent="0.25">
      <c r="A263" s="9"/>
      <c r="B263" s="9"/>
      <c r="C263" s="9"/>
      <c r="D263" s="9"/>
      <c r="E263" s="9"/>
      <c r="F263" s="9"/>
      <c r="G263" s="9"/>
      <c r="H263" s="581"/>
      <c r="I263" s="581"/>
      <c r="J263" s="581"/>
      <c r="K263" s="581"/>
      <c r="L263" s="581"/>
      <c r="M263" s="581"/>
      <c r="N263" s="581"/>
      <c r="O263" s="581"/>
      <c r="P263" s="581"/>
      <c r="Q263" s="581"/>
      <c r="R263" s="581"/>
      <c r="S263" s="581"/>
      <c r="T263" s="581"/>
      <c r="U263" s="9"/>
      <c r="V263" s="9"/>
      <c r="W263" s="9"/>
      <c r="X263" s="9"/>
      <c r="Y263" s="9"/>
      <c r="Z263" s="9"/>
      <c r="AA263" s="9"/>
      <c r="AB263" s="9"/>
      <c r="AC263" s="9"/>
    </row>
    <row r="264" spans="1:29" ht="12.75" customHeight="1" x14ac:dyDescent="0.25">
      <c r="A264" s="9"/>
      <c r="B264" s="9"/>
      <c r="C264" s="9"/>
      <c r="D264" s="9"/>
      <c r="E264" s="9"/>
      <c r="F264" s="9"/>
      <c r="G264" s="9"/>
      <c r="H264" s="581"/>
      <c r="I264" s="581"/>
      <c r="J264" s="581"/>
      <c r="K264" s="581"/>
      <c r="L264" s="581"/>
      <c r="M264" s="581"/>
      <c r="N264" s="581"/>
      <c r="O264" s="581"/>
      <c r="P264" s="581"/>
      <c r="Q264" s="581"/>
      <c r="R264" s="581"/>
      <c r="S264" s="581"/>
      <c r="T264" s="581"/>
      <c r="U264" s="9"/>
      <c r="V264" s="9"/>
      <c r="W264" s="9"/>
      <c r="X264" s="9"/>
      <c r="Y264" s="9"/>
      <c r="Z264" s="9"/>
      <c r="AA264" s="9"/>
      <c r="AB264" s="9"/>
      <c r="AC264" s="9"/>
    </row>
    <row r="265" spans="1:29" ht="12.75" customHeight="1" x14ac:dyDescent="0.25">
      <c r="A265" s="9"/>
      <c r="B265" s="9"/>
      <c r="C265" s="9"/>
      <c r="D265" s="9"/>
      <c r="E265" s="9"/>
      <c r="F265" s="9"/>
      <c r="G265" s="9"/>
      <c r="H265" s="581"/>
      <c r="I265" s="581"/>
      <c r="J265" s="581"/>
      <c r="K265" s="581"/>
      <c r="L265" s="581"/>
      <c r="M265" s="581"/>
      <c r="N265" s="581"/>
      <c r="O265" s="581"/>
      <c r="P265" s="581"/>
      <c r="Q265" s="581"/>
      <c r="R265" s="581"/>
      <c r="S265" s="581"/>
      <c r="T265" s="581"/>
      <c r="U265" s="9"/>
      <c r="V265" s="9"/>
      <c r="W265" s="9"/>
      <c r="X265" s="9"/>
      <c r="Y265" s="9"/>
      <c r="Z265" s="9"/>
      <c r="AA265" s="9"/>
      <c r="AB265" s="9"/>
      <c r="AC265" s="9"/>
    </row>
    <row r="266" spans="1:29" ht="12.75" customHeight="1" x14ac:dyDescent="0.25">
      <c r="A266" s="9"/>
      <c r="B266" s="9"/>
      <c r="C266" s="9"/>
      <c r="D266" s="9"/>
      <c r="E266" s="9"/>
      <c r="F266" s="9"/>
      <c r="G266" s="9"/>
      <c r="H266" s="581"/>
      <c r="I266" s="581"/>
      <c r="J266" s="581"/>
      <c r="K266" s="581"/>
      <c r="L266" s="581"/>
      <c r="M266" s="581"/>
      <c r="N266" s="581"/>
      <c r="O266" s="581"/>
      <c r="P266" s="581"/>
      <c r="Q266" s="581"/>
      <c r="R266" s="581"/>
      <c r="S266" s="581"/>
      <c r="T266" s="581"/>
      <c r="U266" s="9"/>
      <c r="V266" s="9"/>
      <c r="W266" s="9"/>
      <c r="X266" s="9"/>
      <c r="Y266" s="9"/>
      <c r="Z266" s="9"/>
      <c r="AA266" s="9"/>
      <c r="AB266" s="9"/>
      <c r="AC266" s="9"/>
    </row>
    <row r="267" spans="1:29" ht="12.75" customHeight="1" x14ac:dyDescent="0.25">
      <c r="A267" s="9"/>
      <c r="B267" s="9"/>
      <c r="C267" s="9"/>
      <c r="D267" s="9"/>
      <c r="E267" s="9"/>
      <c r="F267" s="9"/>
      <c r="G267" s="9"/>
      <c r="H267" s="581"/>
      <c r="I267" s="581"/>
      <c r="J267" s="581"/>
      <c r="K267" s="581"/>
      <c r="L267" s="581"/>
      <c r="M267" s="581"/>
      <c r="N267" s="581"/>
      <c r="O267" s="581"/>
      <c r="P267" s="581"/>
      <c r="Q267" s="581"/>
      <c r="R267" s="581"/>
      <c r="S267" s="581"/>
      <c r="T267" s="581"/>
      <c r="U267" s="9"/>
      <c r="V267" s="9"/>
      <c r="W267" s="9"/>
      <c r="X267" s="9"/>
      <c r="Y267" s="9"/>
      <c r="Z267" s="9"/>
      <c r="AA267" s="9"/>
      <c r="AB267" s="9"/>
      <c r="AC267" s="9"/>
    </row>
    <row r="268" spans="1:29" ht="12.75" customHeight="1" x14ac:dyDescent="0.25">
      <c r="A268" s="9"/>
      <c r="B268" s="9"/>
      <c r="C268" s="9"/>
      <c r="D268" s="9"/>
      <c r="E268" s="9"/>
      <c r="F268" s="9"/>
      <c r="G268" s="9"/>
      <c r="H268" s="581"/>
      <c r="I268" s="581"/>
      <c r="J268" s="581"/>
      <c r="K268" s="581"/>
      <c r="L268" s="581"/>
      <c r="M268" s="581"/>
      <c r="N268" s="581"/>
      <c r="O268" s="581"/>
      <c r="P268" s="581"/>
      <c r="Q268" s="581"/>
      <c r="R268" s="581"/>
      <c r="S268" s="581"/>
      <c r="T268" s="581"/>
      <c r="U268" s="9"/>
      <c r="V268" s="9"/>
      <c r="W268" s="9"/>
      <c r="X268" s="9"/>
      <c r="Y268" s="9"/>
      <c r="Z268" s="9"/>
      <c r="AA268" s="9"/>
      <c r="AB268" s="9"/>
      <c r="AC268" s="9"/>
    </row>
    <row r="269" spans="1:29" ht="12.75" customHeight="1" x14ac:dyDescent="0.25">
      <c r="A269" s="9"/>
      <c r="B269" s="9"/>
      <c r="C269" s="9"/>
      <c r="D269" s="9"/>
      <c r="E269" s="9"/>
      <c r="F269" s="9"/>
      <c r="G269" s="9"/>
      <c r="H269" s="581"/>
      <c r="I269" s="581"/>
      <c r="J269" s="581"/>
      <c r="K269" s="581"/>
      <c r="L269" s="581"/>
      <c r="M269" s="581"/>
      <c r="N269" s="581"/>
      <c r="O269" s="581"/>
      <c r="P269" s="581"/>
      <c r="Q269" s="581"/>
      <c r="R269" s="581"/>
      <c r="S269" s="581"/>
      <c r="T269" s="581"/>
      <c r="U269" s="9"/>
      <c r="V269" s="9"/>
      <c r="W269" s="9"/>
      <c r="X269" s="9"/>
      <c r="Y269" s="9"/>
      <c r="Z269" s="9"/>
      <c r="AA269" s="9"/>
      <c r="AB269" s="9"/>
      <c r="AC269" s="9"/>
    </row>
    <row r="270" spans="1:29" ht="12.75" customHeight="1" x14ac:dyDescent="0.25">
      <c r="A270" s="9"/>
      <c r="B270" s="9"/>
      <c r="C270" s="9"/>
      <c r="D270" s="9"/>
      <c r="E270" s="9"/>
      <c r="F270" s="9"/>
      <c r="G270" s="9"/>
      <c r="H270" s="581"/>
      <c r="I270" s="581"/>
      <c r="J270" s="581"/>
      <c r="K270" s="581"/>
      <c r="L270" s="581"/>
      <c r="M270" s="581"/>
      <c r="N270" s="581"/>
      <c r="O270" s="581"/>
      <c r="P270" s="581"/>
      <c r="Q270" s="581"/>
      <c r="R270" s="581"/>
      <c r="S270" s="581"/>
      <c r="T270" s="581"/>
      <c r="U270" s="9"/>
      <c r="V270" s="9"/>
      <c r="W270" s="9"/>
      <c r="X270" s="9"/>
      <c r="Y270" s="9"/>
      <c r="Z270" s="9"/>
      <c r="AA270" s="9"/>
      <c r="AB270" s="9"/>
      <c r="AC270" s="9"/>
    </row>
    <row r="271" spans="1:29" ht="12.75" customHeight="1" x14ac:dyDescent="0.25">
      <c r="A271" s="9"/>
      <c r="B271" s="9"/>
      <c r="C271" s="9"/>
      <c r="D271" s="9"/>
      <c r="E271" s="9"/>
      <c r="F271" s="9"/>
      <c r="G271" s="9"/>
      <c r="H271" s="581"/>
      <c r="I271" s="581"/>
      <c r="J271" s="581"/>
      <c r="K271" s="581"/>
      <c r="L271" s="581"/>
      <c r="M271" s="581"/>
      <c r="N271" s="581"/>
      <c r="O271" s="581"/>
      <c r="P271" s="581"/>
      <c r="Q271" s="581"/>
      <c r="R271" s="581"/>
      <c r="S271" s="581"/>
      <c r="T271" s="581"/>
      <c r="U271" s="9"/>
      <c r="V271" s="9"/>
      <c r="W271" s="9"/>
      <c r="X271" s="9"/>
      <c r="Y271" s="9"/>
      <c r="Z271" s="9"/>
      <c r="AA271" s="9"/>
      <c r="AB271" s="9"/>
      <c r="AC271" s="9"/>
    </row>
    <row r="272" spans="1:29" ht="12.75" customHeight="1" x14ac:dyDescent="0.25">
      <c r="A272" s="9"/>
      <c r="B272" s="9"/>
      <c r="C272" s="9"/>
      <c r="D272" s="9"/>
      <c r="E272" s="9"/>
      <c r="F272" s="9"/>
      <c r="G272" s="9"/>
      <c r="H272" s="581"/>
      <c r="I272" s="581"/>
      <c r="J272" s="581"/>
      <c r="K272" s="581"/>
      <c r="L272" s="581"/>
      <c r="M272" s="581"/>
      <c r="N272" s="581"/>
      <c r="O272" s="581"/>
      <c r="P272" s="581"/>
      <c r="Q272" s="581"/>
      <c r="R272" s="581"/>
      <c r="S272" s="581"/>
      <c r="T272" s="581"/>
      <c r="U272" s="9"/>
      <c r="V272" s="9"/>
      <c r="W272" s="9"/>
      <c r="X272" s="9"/>
      <c r="Y272" s="9"/>
      <c r="Z272" s="9"/>
      <c r="AA272" s="9"/>
      <c r="AB272" s="9"/>
      <c r="AC272" s="9"/>
    </row>
    <row r="273" spans="1:29" ht="12.75" customHeight="1" x14ac:dyDescent="0.25">
      <c r="A273" s="9"/>
      <c r="B273" s="9"/>
      <c r="C273" s="9"/>
      <c r="D273" s="9"/>
      <c r="E273" s="9"/>
      <c r="F273" s="9"/>
      <c r="G273" s="9"/>
      <c r="H273" s="581"/>
      <c r="I273" s="581"/>
      <c r="J273" s="581"/>
      <c r="K273" s="581"/>
      <c r="L273" s="581"/>
      <c r="M273" s="581"/>
      <c r="N273" s="581"/>
      <c r="O273" s="581"/>
      <c r="P273" s="581"/>
      <c r="Q273" s="581"/>
      <c r="R273" s="581"/>
      <c r="S273" s="581"/>
      <c r="T273" s="581"/>
      <c r="U273" s="9"/>
      <c r="V273" s="9"/>
      <c r="W273" s="9"/>
      <c r="X273" s="9"/>
      <c r="Y273" s="9"/>
      <c r="Z273" s="9"/>
      <c r="AA273" s="9"/>
      <c r="AB273" s="9"/>
      <c r="AC273" s="9"/>
    </row>
    <row r="274" spans="1:29" ht="12.75" customHeight="1" x14ac:dyDescent="0.25">
      <c r="A274" s="9"/>
      <c r="B274" s="9"/>
      <c r="C274" s="9"/>
      <c r="D274" s="9"/>
      <c r="E274" s="9"/>
      <c r="F274" s="9"/>
      <c r="G274" s="9"/>
      <c r="H274" s="581"/>
      <c r="I274" s="581"/>
      <c r="J274" s="581"/>
      <c r="K274" s="581"/>
      <c r="L274" s="581"/>
      <c r="M274" s="581"/>
      <c r="N274" s="581"/>
      <c r="O274" s="581"/>
      <c r="P274" s="581"/>
      <c r="Q274" s="581"/>
      <c r="R274" s="581"/>
      <c r="S274" s="581"/>
      <c r="T274" s="581"/>
      <c r="U274" s="9"/>
      <c r="V274" s="9"/>
      <c r="W274" s="9"/>
      <c r="X274" s="9"/>
      <c r="Y274" s="9"/>
      <c r="Z274" s="9"/>
      <c r="AA274" s="9"/>
      <c r="AB274" s="9"/>
      <c r="AC274" s="9"/>
    </row>
    <row r="275" spans="1:29" ht="12.75" customHeight="1" x14ac:dyDescent="0.25">
      <c r="A275" s="9"/>
      <c r="B275" s="9"/>
      <c r="C275" s="9"/>
      <c r="D275" s="9"/>
      <c r="E275" s="9"/>
      <c r="F275" s="9"/>
      <c r="G275" s="9"/>
      <c r="H275" s="581"/>
      <c r="I275" s="581"/>
      <c r="J275" s="581"/>
      <c r="K275" s="581"/>
      <c r="L275" s="581"/>
      <c r="M275" s="581"/>
      <c r="N275" s="581"/>
      <c r="O275" s="581"/>
      <c r="P275" s="581"/>
      <c r="Q275" s="581"/>
      <c r="R275" s="581"/>
      <c r="S275" s="581"/>
      <c r="T275" s="581"/>
      <c r="U275" s="9"/>
      <c r="V275" s="9"/>
      <c r="W275" s="9"/>
      <c r="X275" s="9"/>
      <c r="Y275" s="9"/>
      <c r="Z275" s="9"/>
      <c r="AA275" s="9"/>
      <c r="AB275" s="9"/>
      <c r="AC275" s="9"/>
    </row>
    <row r="276" spans="1:29" ht="12.75" customHeight="1" x14ac:dyDescent="0.25">
      <c r="A276" s="9"/>
      <c r="B276" s="9"/>
      <c r="C276" s="9"/>
      <c r="D276" s="9"/>
      <c r="E276" s="9"/>
      <c r="F276" s="9"/>
      <c r="G276" s="9"/>
      <c r="H276" s="581"/>
      <c r="I276" s="581"/>
      <c r="J276" s="581"/>
      <c r="K276" s="581"/>
      <c r="L276" s="581"/>
      <c r="M276" s="581"/>
      <c r="N276" s="581"/>
      <c r="O276" s="581"/>
      <c r="P276" s="581"/>
      <c r="Q276" s="581"/>
      <c r="R276" s="581"/>
      <c r="S276" s="581"/>
      <c r="T276" s="581"/>
      <c r="U276" s="9"/>
      <c r="V276" s="9"/>
      <c r="W276" s="9"/>
      <c r="X276" s="9"/>
      <c r="Y276" s="9"/>
      <c r="Z276" s="9"/>
      <c r="AA276" s="9"/>
      <c r="AB276" s="9"/>
      <c r="AC276" s="9"/>
    </row>
    <row r="277" spans="1:29" ht="12.75" customHeight="1" x14ac:dyDescent="0.25">
      <c r="A277" s="9"/>
      <c r="B277" s="9"/>
      <c r="C277" s="9"/>
      <c r="D277" s="9"/>
      <c r="E277" s="9"/>
      <c r="F277" s="9"/>
      <c r="G277" s="9"/>
      <c r="H277" s="581"/>
      <c r="I277" s="581"/>
      <c r="J277" s="581"/>
      <c r="K277" s="581"/>
      <c r="L277" s="581"/>
      <c r="M277" s="581"/>
      <c r="N277" s="581"/>
      <c r="O277" s="581"/>
      <c r="P277" s="581"/>
      <c r="Q277" s="581"/>
      <c r="R277" s="581"/>
      <c r="S277" s="581"/>
      <c r="T277" s="581"/>
      <c r="U277" s="9"/>
      <c r="V277" s="9"/>
      <c r="W277" s="9"/>
      <c r="X277" s="9"/>
      <c r="Y277" s="9"/>
      <c r="Z277" s="9"/>
      <c r="AA277" s="9"/>
      <c r="AB277" s="9"/>
      <c r="AC277" s="9"/>
    </row>
    <row r="278" spans="1:29" ht="12.75" customHeight="1" x14ac:dyDescent="0.25">
      <c r="A278" s="9"/>
      <c r="B278" s="9"/>
      <c r="C278" s="9"/>
      <c r="D278" s="9"/>
      <c r="E278" s="9"/>
      <c r="F278" s="9"/>
      <c r="G278" s="9"/>
      <c r="H278" s="581"/>
      <c r="I278" s="581"/>
      <c r="J278" s="581"/>
      <c r="K278" s="581"/>
      <c r="L278" s="581"/>
      <c r="M278" s="581"/>
      <c r="N278" s="581"/>
      <c r="O278" s="581"/>
      <c r="P278" s="581"/>
      <c r="Q278" s="581"/>
      <c r="R278" s="581"/>
      <c r="S278" s="581"/>
      <c r="T278" s="581"/>
      <c r="U278" s="9"/>
      <c r="V278" s="9"/>
      <c r="W278" s="9"/>
      <c r="X278" s="9"/>
      <c r="Y278" s="9"/>
      <c r="Z278" s="9"/>
      <c r="AA278" s="9"/>
      <c r="AB278" s="9"/>
      <c r="AC278" s="9"/>
    </row>
    <row r="279" spans="1:29" ht="12.75" customHeight="1" x14ac:dyDescent="0.25">
      <c r="A279" s="9"/>
      <c r="B279" s="9"/>
      <c r="C279" s="9"/>
      <c r="D279" s="9"/>
      <c r="E279" s="9"/>
      <c r="F279" s="9"/>
      <c r="G279" s="9"/>
      <c r="H279" s="581"/>
      <c r="I279" s="581"/>
      <c r="J279" s="581"/>
      <c r="K279" s="581"/>
      <c r="L279" s="581"/>
      <c r="M279" s="581"/>
      <c r="N279" s="581"/>
      <c r="O279" s="581"/>
      <c r="P279" s="581"/>
      <c r="Q279" s="581"/>
      <c r="R279" s="581"/>
      <c r="S279" s="581"/>
      <c r="T279" s="581"/>
      <c r="U279" s="9"/>
      <c r="V279" s="9"/>
      <c r="W279" s="9"/>
      <c r="X279" s="9"/>
      <c r="Y279" s="9"/>
      <c r="Z279" s="9"/>
      <c r="AA279" s="9"/>
      <c r="AB279" s="9"/>
      <c r="AC279" s="9"/>
    </row>
    <row r="280" spans="1:29" ht="12.75" customHeight="1" x14ac:dyDescent="0.25">
      <c r="A280" s="9"/>
      <c r="B280" s="9"/>
      <c r="C280" s="9"/>
      <c r="D280" s="9"/>
      <c r="E280" s="9"/>
      <c r="F280" s="9"/>
      <c r="G280" s="9"/>
      <c r="H280" s="581"/>
      <c r="I280" s="581"/>
      <c r="J280" s="581"/>
      <c r="K280" s="581"/>
      <c r="L280" s="581"/>
      <c r="M280" s="581"/>
      <c r="N280" s="581"/>
      <c r="O280" s="581"/>
      <c r="P280" s="581"/>
      <c r="Q280" s="581"/>
      <c r="R280" s="581"/>
      <c r="S280" s="581"/>
      <c r="T280" s="581"/>
      <c r="U280" s="9"/>
      <c r="V280" s="9"/>
      <c r="W280" s="9"/>
      <c r="X280" s="9"/>
      <c r="Y280" s="9"/>
      <c r="Z280" s="9"/>
      <c r="AA280" s="9"/>
      <c r="AB280" s="9"/>
      <c r="AC280" s="9"/>
    </row>
    <row r="281" spans="1:29" ht="12.75" customHeight="1" x14ac:dyDescent="0.25">
      <c r="A281" s="9"/>
      <c r="B281" s="9"/>
      <c r="C281" s="9"/>
      <c r="D281" s="9"/>
      <c r="E281" s="9"/>
      <c r="F281" s="9"/>
      <c r="G281" s="9"/>
      <c r="H281" s="581"/>
      <c r="I281" s="581"/>
      <c r="J281" s="581"/>
      <c r="K281" s="581"/>
      <c r="L281" s="581"/>
      <c r="M281" s="581"/>
      <c r="N281" s="581"/>
      <c r="O281" s="581"/>
      <c r="P281" s="581"/>
      <c r="Q281" s="581"/>
      <c r="R281" s="581"/>
      <c r="S281" s="581"/>
      <c r="T281" s="581"/>
      <c r="U281" s="9"/>
      <c r="V281" s="9"/>
      <c r="W281" s="9"/>
      <c r="X281" s="9"/>
      <c r="Y281" s="9"/>
      <c r="Z281" s="9"/>
      <c r="AA281" s="9"/>
      <c r="AB281" s="9"/>
      <c r="AC281" s="9"/>
    </row>
    <row r="282" spans="1:29" ht="12.75" customHeight="1" x14ac:dyDescent="0.25">
      <c r="A282" s="9"/>
      <c r="B282" s="9"/>
      <c r="C282" s="9"/>
      <c r="D282" s="9"/>
      <c r="E282" s="9"/>
      <c r="F282" s="9"/>
      <c r="G282" s="9"/>
      <c r="H282" s="581"/>
      <c r="I282" s="581"/>
      <c r="J282" s="581"/>
      <c r="K282" s="581"/>
      <c r="L282" s="581"/>
      <c r="M282" s="581"/>
      <c r="N282" s="581"/>
      <c r="O282" s="581"/>
      <c r="P282" s="581"/>
      <c r="Q282" s="581"/>
      <c r="R282" s="581"/>
      <c r="S282" s="581"/>
      <c r="T282" s="581"/>
      <c r="U282" s="9"/>
      <c r="V282" s="9"/>
      <c r="W282" s="9"/>
      <c r="X282" s="9"/>
      <c r="Y282" s="9"/>
      <c r="Z282" s="9"/>
      <c r="AA282" s="9"/>
      <c r="AB282" s="9"/>
      <c r="AC282" s="9"/>
    </row>
    <row r="283" spans="1:29" ht="12.75" customHeight="1" x14ac:dyDescent="0.25">
      <c r="A283" s="9"/>
      <c r="B283" s="9"/>
      <c r="C283" s="9"/>
      <c r="D283" s="9"/>
      <c r="E283" s="9"/>
      <c r="F283" s="9"/>
      <c r="G283" s="9"/>
      <c r="H283" s="581"/>
      <c r="I283" s="581"/>
      <c r="J283" s="581"/>
      <c r="K283" s="581"/>
      <c r="L283" s="581"/>
      <c r="M283" s="581"/>
      <c r="N283" s="581"/>
      <c r="O283" s="581"/>
      <c r="P283" s="581"/>
      <c r="Q283" s="581"/>
      <c r="R283" s="581"/>
      <c r="S283" s="581"/>
      <c r="T283" s="581"/>
      <c r="U283" s="9"/>
      <c r="V283" s="9"/>
      <c r="W283" s="9"/>
      <c r="X283" s="9"/>
      <c r="Y283" s="9"/>
      <c r="Z283" s="9"/>
      <c r="AA283" s="9"/>
      <c r="AB283" s="9"/>
      <c r="AC283" s="9"/>
    </row>
    <row r="284" spans="1:29" ht="12.75" customHeight="1" x14ac:dyDescent="0.25">
      <c r="A284" s="9"/>
      <c r="B284" s="9"/>
      <c r="C284" s="9"/>
      <c r="D284" s="9"/>
      <c r="E284" s="9"/>
      <c r="F284" s="9"/>
      <c r="G284" s="9"/>
      <c r="H284" s="581"/>
      <c r="I284" s="581"/>
      <c r="J284" s="581"/>
      <c r="K284" s="581"/>
      <c r="L284" s="581"/>
      <c r="M284" s="581"/>
      <c r="N284" s="581"/>
      <c r="O284" s="581"/>
      <c r="P284" s="581"/>
      <c r="Q284" s="581"/>
      <c r="R284" s="581"/>
      <c r="S284" s="581"/>
      <c r="T284" s="581"/>
      <c r="U284" s="9"/>
      <c r="V284" s="9"/>
      <c r="W284" s="9"/>
      <c r="X284" s="9"/>
      <c r="Y284" s="9"/>
      <c r="Z284" s="9"/>
      <c r="AA284" s="9"/>
      <c r="AB284" s="9"/>
      <c r="AC284" s="9"/>
    </row>
    <row r="285" spans="1:29" ht="12.75" customHeight="1" x14ac:dyDescent="0.25">
      <c r="A285" s="9"/>
      <c r="B285" s="9"/>
      <c r="C285" s="9"/>
      <c r="D285" s="9"/>
      <c r="E285" s="9"/>
      <c r="F285" s="9"/>
      <c r="G285" s="9"/>
      <c r="H285" s="581"/>
      <c r="I285" s="581"/>
      <c r="J285" s="581"/>
      <c r="K285" s="581"/>
      <c r="L285" s="581"/>
      <c r="M285" s="581"/>
      <c r="N285" s="581"/>
      <c r="O285" s="581"/>
      <c r="P285" s="581"/>
      <c r="Q285" s="581"/>
      <c r="R285" s="581"/>
      <c r="S285" s="581"/>
      <c r="T285" s="581"/>
      <c r="U285" s="9"/>
      <c r="V285" s="9"/>
      <c r="W285" s="9"/>
      <c r="X285" s="9"/>
      <c r="Y285" s="9"/>
      <c r="Z285" s="9"/>
      <c r="AA285" s="9"/>
      <c r="AB285" s="9"/>
      <c r="AC285" s="9"/>
    </row>
    <row r="286" spans="1:29" ht="12.75" customHeight="1" x14ac:dyDescent="0.25">
      <c r="A286" s="9"/>
      <c r="B286" s="9"/>
      <c r="C286" s="9"/>
      <c r="D286" s="9"/>
      <c r="E286" s="9"/>
      <c r="F286" s="9"/>
      <c r="G286" s="9"/>
      <c r="H286" s="581"/>
      <c r="I286" s="581"/>
      <c r="J286" s="581"/>
      <c r="K286" s="581"/>
      <c r="L286" s="581"/>
      <c r="M286" s="581"/>
      <c r="N286" s="581"/>
      <c r="O286" s="581"/>
      <c r="P286" s="581"/>
      <c r="Q286" s="581"/>
      <c r="R286" s="581"/>
      <c r="S286" s="581"/>
      <c r="T286" s="581"/>
      <c r="U286" s="9"/>
      <c r="V286" s="9"/>
      <c r="W286" s="9"/>
      <c r="X286" s="9"/>
      <c r="Y286" s="9"/>
      <c r="Z286" s="9"/>
      <c r="AA286" s="9"/>
      <c r="AB286" s="9"/>
      <c r="AC286" s="9"/>
    </row>
    <row r="287" spans="1:29" ht="12.75" customHeight="1" x14ac:dyDescent="0.25">
      <c r="A287" s="9"/>
      <c r="B287" s="9"/>
      <c r="C287" s="9"/>
      <c r="D287" s="9"/>
      <c r="E287" s="9"/>
      <c r="F287" s="9"/>
      <c r="G287" s="9"/>
      <c r="H287" s="581"/>
      <c r="I287" s="581"/>
      <c r="J287" s="581"/>
      <c r="K287" s="581"/>
      <c r="L287" s="581"/>
      <c r="M287" s="581"/>
      <c r="N287" s="581"/>
      <c r="O287" s="581"/>
      <c r="P287" s="581"/>
      <c r="Q287" s="581"/>
      <c r="R287" s="581"/>
      <c r="S287" s="581"/>
      <c r="T287" s="581"/>
      <c r="U287" s="9"/>
      <c r="V287" s="9"/>
      <c r="W287" s="9"/>
      <c r="X287" s="9"/>
      <c r="Y287" s="9"/>
      <c r="Z287" s="9"/>
      <c r="AA287" s="9"/>
      <c r="AB287" s="9"/>
      <c r="AC287" s="9"/>
    </row>
    <row r="288" spans="1:29" ht="12.75" customHeight="1" x14ac:dyDescent="0.25">
      <c r="A288" s="9"/>
      <c r="B288" s="9"/>
      <c r="C288" s="9"/>
      <c r="D288" s="9"/>
      <c r="E288" s="9"/>
      <c r="F288" s="9"/>
      <c r="G288" s="9"/>
      <c r="H288" s="581"/>
      <c r="I288" s="581"/>
      <c r="J288" s="581"/>
      <c r="K288" s="581"/>
      <c r="L288" s="581"/>
      <c r="M288" s="581"/>
      <c r="N288" s="581"/>
      <c r="O288" s="581"/>
      <c r="P288" s="581"/>
      <c r="Q288" s="581"/>
      <c r="R288" s="581"/>
      <c r="S288" s="581"/>
      <c r="T288" s="581"/>
      <c r="U288" s="9"/>
      <c r="V288" s="9"/>
      <c r="W288" s="9"/>
      <c r="X288" s="9"/>
      <c r="Y288" s="9"/>
      <c r="Z288" s="9"/>
      <c r="AA288" s="9"/>
      <c r="AB288" s="9"/>
      <c r="AC288" s="9"/>
    </row>
    <row r="289" spans="1:29" ht="12.75" customHeight="1" x14ac:dyDescent="0.25">
      <c r="A289" s="9"/>
      <c r="B289" s="9"/>
      <c r="C289" s="9"/>
      <c r="D289" s="9"/>
      <c r="E289" s="9"/>
      <c r="F289" s="9"/>
      <c r="G289" s="9"/>
      <c r="H289" s="581"/>
      <c r="I289" s="581"/>
      <c r="J289" s="581"/>
      <c r="K289" s="581"/>
      <c r="L289" s="581"/>
      <c r="M289" s="581"/>
      <c r="N289" s="581"/>
      <c r="O289" s="581"/>
      <c r="P289" s="581"/>
      <c r="Q289" s="581"/>
      <c r="R289" s="581"/>
      <c r="S289" s="581"/>
      <c r="T289" s="581"/>
      <c r="U289" s="9"/>
      <c r="V289" s="9"/>
      <c r="W289" s="9"/>
      <c r="X289" s="9"/>
      <c r="Y289" s="9"/>
      <c r="Z289" s="9"/>
      <c r="AA289" s="9"/>
      <c r="AB289" s="9"/>
      <c r="AC289" s="9"/>
    </row>
    <row r="290" spans="1:29" ht="12.75" customHeight="1" x14ac:dyDescent="0.25">
      <c r="A290" s="9"/>
      <c r="B290" s="9"/>
      <c r="C290" s="9"/>
      <c r="D290" s="9"/>
      <c r="E290" s="9"/>
      <c r="F290" s="9"/>
      <c r="G290" s="9"/>
      <c r="H290" s="581"/>
      <c r="I290" s="581"/>
      <c r="J290" s="581"/>
      <c r="K290" s="581"/>
      <c r="L290" s="581"/>
      <c r="M290" s="581"/>
      <c r="N290" s="581"/>
      <c r="O290" s="581"/>
      <c r="P290" s="581"/>
      <c r="Q290" s="581"/>
      <c r="R290" s="581"/>
      <c r="S290" s="581"/>
      <c r="T290" s="581"/>
      <c r="U290" s="9"/>
      <c r="V290" s="9"/>
      <c r="W290" s="9"/>
      <c r="X290" s="9"/>
      <c r="Y290" s="9"/>
      <c r="Z290" s="9"/>
      <c r="AA290" s="9"/>
      <c r="AB290" s="9"/>
      <c r="AC290" s="9"/>
    </row>
    <row r="291" spans="1:29" ht="12.75" customHeight="1" x14ac:dyDescent="0.25">
      <c r="A291" s="9"/>
      <c r="B291" s="9"/>
      <c r="C291" s="9"/>
      <c r="D291" s="9"/>
      <c r="E291" s="9"/>
      <c r="F291" s="9"/>
      <c r="G291" s="9"/>
      <c r="H291" s="581"/>
      <c r="I291" s="581"/>
      <c r="J291" s="581"/>
      <c r="K291" s="581"/>
      <c r="L291" s="581"/>
      <c r="M291" s="581"/>
      <c r="N291" s="581"/>
      <c r="O291" s="581"/>
      <c r="P291" s="581"/>
      <c r="Q291" s="581"/>
      <c r="R291" s="581"/>
      <c r="S291" s="581"/>
      <c r="T291" s="581"/>
      <c r="U291" s="9"/>
      <c r="V291" s="9"/>
      <c r="W291" s="9"/>
      <c r="X291" s="9"/>
      <c r="Y291" s="9"/>
      <c r="Z291" s="9"/>
      <c r="AA291" s="9"/>
      <c r="AB291" s="9"/>
      <c r="AC291" s="9"/>
    </row>
    <row r="292" spans="1:29" ht="12.75" customHeight="1" x14ac:dyDescent="0.25">
      <c r="A292" s="9"/>
      <c r="B292" s="9"/>
      <c r="C292" s="9"/>
      <c r="D292" s="9"/>
      <c r="E292" s="9"/>
      <c r="F292" s="9"/>
      <c r="G292" s="9"/>
      <c r="H292" s="581"/>
      <c r="I292" s="581"/>
      <c r="J292" s="581"/>
      <c r="K292" s="581"/>
      <c r="L292" s="581"/>
      <c r="M292" s="581"/>
      <c r="N292" s="581"/>
      <c r="O292" s="581"/>
      <c r="P292" s="581"/>
      <c r="Q292" s="581"/>
      <c r="R292" s="581"/>
      <c r="S292" s="581"/>
      <c r="T292" s="581"/>
      <c r="U292" s="9"/>
      <c r="V292" s="9"/>
      <c r="W292" s="9"/>
      <c r="X292" s="9"/>
      <c r="Y292" s="9"/>
      <c r="Z292" s="9"/>
      <c r="AA292" s="9"/>
      <c r="AB292" s="9"/>
      <c r="AC292" s="9"/>
    </row>
    <row r="293" spans="1:29" ht="12.75" customHeight="1" x14ac:dyDescent="0.25">
      <c r="A293" s="9"/>
      <c r="B293" s="9"/>
      <c r="C293" s="9"/>
      <c r="D293" s="9"/>
      <c r="E293" s="9"/>
      <c r="F293" s="9"/>
      <c r="G293" s="9"/>
      <c r="H293" s="581"/>
      <c r="I293" s="581"/>
      <c r="J293" s="581"/>
      <c r="K293" s="581"/>
      <c r="L293" s="581"/>
      <c r="M293" s="581"/>
      <c r="N293" s="581"/>
      <c r="O293" s="581"/>
      <c r="P293" s="581"/>
      <c r="Q293" s="581"/>
      <c r="R293" s="581"/>
      <c r="S293" s="581"/>
      <c r="T293" s="581"/>
      <c r="U293" s="9"/>
      <c r="V293" s="9"/>
      <c r="W293" s="9"/>
      <c r="X293" s="9"/>
      <c r="Y293" s="9"/>
      <c r="Z293" s="9"/>
      <c r="AA293" s="9"/>
      <c r="AB293" s="9"/>
      <c r="AC293" s="9"/>
    </row>
    <row r="294" spans="1:29" ht="12.75" customHeight="1" x14ac:dyDescent="0.25">
      <c r="A294" s="9"/>
      <c r="B294" s="9"/>
      <c r="C294" s="9"/>
      <c r="D294" s="9"/>
      <c r="E294" s="9"/>
      <c r="F294" s="9"/>
      <c r="G294" s="9"/>
      <c r="H294" s="581"/>
      <c r="I294" s="581"/>
      <c r="J294" s="581"/>
      <c r="K294" s="581"/>
      <c r="L294" s="581"/>
      <c r="M294" s="581"/>
      <c r="N294" s="581"/>
      <c r="O294" s="581"/>
      <c r="P294" s="581"/>
      <c r="Q294" s="581"/>
      <c r="R294" s="581"/>
      <c r="S294" s="581"/>
      <c r="T294" s="581"/>
      <c r="U294" s="9"/>
      <c r="V294" s="9"/>
      <c r="W294" s="9"/>
      <c r="X294" s="9"/>
      <c r="Y294" s="9"/>
      <c r="Z294" s="9"/>
      <c r="AA294" s="9"/>
      <c r="AB294" s="9"/>
      <c r="AC294" s="9"/>
    </row>
    <row r="295" spans="1:29" ht="12.75" customHeight="1" x14ac:dyDescent="0.25">
      <c r="A295" s="9"/>
      <c r="B295" s="9"/>
      <c r="C295" s="9"/>
      <c r="D295" s="9"/>
      <c r="E295" s="9"/>
      <c r="F295" s="9"/>
      <c r="G295" s="9"/>
      <c r="H295" s="581"/>
      <c r="I295" s="581"/>
      <c r="J295" s="581"/>
      <c r="K295" s="581"/>
      <c r="L295" s="581"/>
      <c r="M295" s="581"/>
      <c r="N295" s="581"/>
      <c r="O295" s="581"/>
      <c r="P295" s="581"/>
      <c r="Q295" s="581"/>
      <c r="R295" s="581"/>
      <c r="S295" s="581"/>
      <c r="T295" s="581"/>
      <c r="U295" s="9"/>
      <c r="V295" s="9"/>
      <c r="W295" s="9"/>
      <c r="X295" s="9"/>
      <c r="Y295" s="9"/>
      <c r="Z295" s="9"/>
      <c r="AA295" s="9"/>
      <c r="AB295" s="9"/>
      <c r="AC295" s="9"/>
    </row>
    <row r="296" spans="1:29" ht="12.75" customHeight="1" x14ac:dyDescent="0.25">
      <c r="A296" s="9"/>
      <c r="B296" s="9"/>
      <c r="C296" s="9"/>
      <c r="D296" s="9"/>
      <c r="E296" s="9"/>
      <c r="F296" s="9"/>
      <c r="G296" s="9"/>
      <c r="H296" s="581"/>
      <c r="I296" s="581"/>
      <c r="J296" s="581"/>
      <c r="K296" s="581"/>
      <c r="L296" s="581"/>
      <c r="M296" s="581"/>
      <c r="N296" s="581"/>
      <c r="O296" s="581"/>
      <c r="P296" s="581"/>
      <c r="Q296" s="581"/>
      <c r="R296" s="581"/>
      <c r="S296" s="581"/>
      <c r="T296" s="581"/>
      <c r="U296" s="9"/>
      <c r="V296" s="9"/>
      <c r="W296" s="9"/>
      <c r="X296" s="9"/>
      <c r="Y296" s="9"/>
      <c r="Z296" s="9"/>
      <c r="AA296" s="9"/>
      <c r="AB296" s="9"/>
      <c r="AC296" s="9"/>
    </row>
    <row r="297" spans="1:29" ht="12.75" customHeight="1" x14ac:dyDescent="0.25">
      <c r="A297" s="9"/>
      <c r="B297" s="9"/>
      <c r="C297" s="9"/>
      <c r="D297" s="9"/>
      <c r="E297" s="9"/>
      <c r="F297" s="9"/>
      <c r="G297" s="9"/>
      <c r="H297" s="581"/>
      <c r="I297" s="581"/>
      <c r="J297" s="581"/>
      <c r="K297" s="581"/>
      <c r="L297" s="581"/>
      <c r="M297" s="581"/>
      <c r="N297" s="581"/>
      <c r="O297" s="581"/>
      <c r="P297" s="581"/>
      <c r="Q297" s="581"/>
      <c r="R297" s="581"/>
      <c r="S297" s="581"/>
      <c r="T297" s="581"/>
      <c r="U297" s="9"/>
      <c r="V297" s="9"/>
      <c r="W297" s="9"/>
      <c r="X297" s="9"/>
      <c r="Y297" s="9"/>
      <c r="Z297" s="9"/>
      <c r="AA297" s="9"/>
      <c r="AB297" s="9"/>
      <c r="AC297" s="9"/>
    </row>
    <row r="298" spans="1:29" ht="12.75" customHeight="1" x14ac:dyDescent="0.25">
      <c r="A298" s="9"/>
      <c r="B298" s="9"/>
      <c r="C298" s="9"/>
      <c r="D298" s="9"/>
      <c r="E298" s="9"/>
      <c r="F298" s="9"/>
      <c r="G298" s="9"/>
      <c r="H298" s="581"/>
      <c r="I298" s="581"/>
      <c r="J298" s="581"/>
      <c r="K298" s="581"/>
      <c r="L298" s="581"/>
      <c r="M298" s="581"/>
      <c r="N298" s="581"/>
      <c r="O298" s="581"/>
      <c r="P298" s="581"/>
      <c r="Q298" s="581"/>
      <c r="R298" s="581"/>
      <c r="S298" s="581"/>
      <c r="T298" s="581"/>
      <c r="U298" s="9"/>
      <c r="V298" s="9"/>
      <c r="W298" s="9"/>
      <c r="X298" s="9"/>
      <c r="Y298" s="9"/>
      <c r="Z298" s="9"/>
      <c r="AA298" s="9"/>
      <c r="AB298" s="9"/>
      <c r="AC298" s="9"/>
    </row>
    <row r="299" spans="1:29" ht="12.75" customHeight="1" x14ac:dyDescent="0.25">
      <c r="A299" s="9"/>
      <c r="B299" s="9"/>
      <c r="C299" s="9"/>
      <c r="D299" s="9"/>
      <c r="E299" s="9"/>
      <c r="F299" s="9"/>
      <c r="G299" s="9"/>
      <c r="H299" s="581"/>
      <c r="I299" s="581"/>
      <c r="J299" s="581"/>
      <c r="K299" s="581"/>
      <c r="L299" s="581"/>
      <c r="M299" s="581"/>
      <c r="N299" s="581"/>
      <c r="O299" s="581"/>
      <c r="P299" s="581"/>
      <c r="Q299" s="581"/>
      <c r="R299" s="581"/>
      <c r="S299" s="581"/>
      <c r="T299" s="581"/>
      <c r="U299" s="9"/>
      <c r="V299" s="9"/>
      <c r="W299" s="9"/>
      <c r="X299" s="9"/>
      <c r="Y299" s="9"/>
      <c r="Z299" s="9"/>
      <c r="AA299" s="9"/>
      <c r="AB299" s="9"/>
      <c r="AC299" s="9"/>
    </row>
    <row r="300" spans="1:29" ht="12.75" customHeight="1" x14ac:dyDescent="0.25">
      <c r="A300" s="9"/>
      <c r="B300" s="9"/>
      <c r="C300" s="9"/>
      <c r="D300" s="9"/>
      <c r="E300" s="9"/>
      <c r="F300" s="9"/>
      <c r="G300" s="9"/>
      <c r="H300" s="581"/>
      <c r="I300" s="581"/>
      <c r="J300" s="581"/>
      <c r="K300" s="581"/>
      <c r="L300" s="581"/>
      <c r="M300" s="581"/>
      <c r="N300" s="581"/>
      <c r="O300" s="581"/>
      <c r="P300" s="581"/>
      <c r="Q300" s="581"/>
      <c r="R300" s="581"/>
      <c r="S300" s="581"/>
      <c r="T300" s="581"/>
      <c r="U300" s="9"/>
      <c r="V300" s="9"/>
      <c r="W300" s="9"/>
      <c r="X300" s="9"/>
      <c r="Y300" s="9"/>
      <c r="Z300" s="9"/>
      <c r="AA300" s="9"/>
      <c r="AB300" s="9"/>
      <c r="AC300" s="9"/>
    </row>
    <row r="301" spans="1:29" ht="12.75" customHeight="1" x14ac:dyDescent="0.25">
      <c r="A301" s="9"/>
      <c r="B301" s="9"/>
      <c r="C301" s="9"/>
      <c r="D301" s="9"/>
      <c r="E301" s="9"/>
      <c r="F301" s="9"/>
      <c r="G301" s="9"/>
      <c r="H301" s="581"/>
      <c r="I301" s="581"/>
      <c r="J301" s="581"/>
      <c r="K301" s="581"/>
      <c r="L301" s="581"/>
      <c r="M301" s="581"/>
      <c r="N301" s="581"/>
      <c r="O301" s="581"/>
      <c r="P301" s="581"/>
      <c r="Q301" s="581"/>
      <c r="R301" s="581"/>
      <c r="S301" s="581"/>
      <c r="T301" s="581"/>
      <c r="U301" s="9"/>
      <c r="V301" s="9"/>
      <c r="W301" s="9"/>
      <c r="X301" s="9"/>
      <c r="Y301" s="9"/>
      <c r="Z301" s="9"/>
      <c r="AA301" s="9"/>
      <c r="AB301" s="9"/>
      <c r="AC301" s="9"/>
    </row>
    <row r="302" spans="1:29" ht="12.75" customHeight="1" x14ac:dyDescent="0.25">
      <c r="A302" s="9"/>
      <c r="B302" s="9"/>
      <c r="C302" s="9"/>
      <c r="D302" s="9"/>
      <c r="E302" s="9"/>
      <c r="F302" s="9"/>
      <c r="G302" s="9"/>
      <c r="H302" s="581"/>
      <c r="I302" s="581"/>
      <c r="J302" s="581"/>
      <c r="K302" s="581"/>
      <c r="L302" s="581"/>
      <c r="M302" s="581"/>
      <c r="N302" s="581"/>
      <c r="O302" s="581"/>
      <c r="P302" s="581"/>
      <c r="Q302" s="581"/>
      <c r="R302" s="581"/>
      <c r="S302" s="581"/>
      <c r="T302" s="581"/>
      <c r="U302" s="9"/>
      <c r="V302" s="9"/>
      <c r="W302" s="9"/>
      <c r="X302" s="9"/>
      <c r="Y302" s="9"/>
      <c r="Z302" s="9"/>
      <c r="AA302" s="9"/>
      <c r="AB302" s="9"/>
      <c r="AC302" s="9"/>
    </row>
    <row r="303" spans="1:29" ht="12.75" customHeight="1" x14ac:dyDescent="0.25">
      <c r="A303" s="9"/>
      <c r="B303" s="9"/>
      <c r="C303" s="9"/>
      <c r="D303" s="9"/>
      <c r="E303" s="9"/>
      <c r="F303" s="9"/>
      <c r="G303" s="9"/>
      <c r="H303" s="581"/>
      <c r="I303" s="581"/>
      <c r="J303" s="581"/>
      <c r="K303" s="581"/>
      <c r="L303" s="581"/>
      <c r="M303" s="581"/>
      <c r="N303" s="581"/>
      <c r="O303" s="581"/>
      <c r="P303" s="581"/>
      <c r="Q303" s="581"/>
      <c r="R303" s="581"/>
      <c r="S303" s="581"/>
      <c r="T303" s="581"/>
      <c r="U303" s="9"/>
      <c r="V303" s="9"/>
      <c r="W303" s="9"/>
      <c r="X303" s="9"/>
      <c r="Y303" s="9"/>
      <c r="Z303" s="9"/>
      <c r="AA303" s="9"/>
      <c r="AB303" s="9"/>
      <c r="AC303" s="9"/>
    </row>
    <row r="304" spans="1:29" ht="12.75" customHeight="1" x14ac:dyDescent="0.25">
      <c r="A304" s="9"/>
      <c r="B304" s="9"/>
      <c r="C304" s="9"/>
      <c r="D304" s="9"/>
      <c r="E304" s="9"/>
      <c r="F304" s="9"/>
      <c r="G304" s="9"/>
      <c r="H304" s="581"/>
      <c r="I304" s="581"/>
      <c r="J304" s="581"/>
      <c r="K304" s="581"/>
      <c r="L304" s="581"/>
      <c r="M304" s="581"/>
      <c r="N304" s="581"/>
      <c r="O304" s="581"/>
      <c r="P304" s="581"/>
      <c r="Q304" s="581"/>
      <c r="R304" s="581"/>
      <c r="S304" s="581"/>
      <c r="T304" s="581"/>
      <c r="U304" s="9"/>
      <c r="V304" s="9"/>
      <c r="W304" s="9"/>
      <c r="X304" s="9"/>
      <c r="Y304" s="9"/>
      <c r="Z304" s="9"/>
      <c r="AA304" s="9"/>
      <c r="AB304" s="9"/>
      <c r="AC304" s="9"/>
    </row>
    <row r="305" spans="1:29" ht="12.75" customHeight="1" x14ac:dyDescent="0.25">
      <c r="A305" s="9"/>
      <c r="B305" s="9"/>
      <c r="C305" s="9"/>
      <c r="D305" s="9"/>
      <c r="E305" s="9"/>
      <c r="F305" s="9"/>
      <c r="G305" s="9"/>
      <c r="H305" s="581"/>
      <c r="I305" s="581"/>
      <c r="J305" s="581"/>
      <c r="K305" s="581"/>
      <c r="L305" s="581"/>
      <c r="M305" s="581"/>
      <c r="N305" s="581"/>
      <c r="O305" s="581"/>
      <c r="P305" s="581"/>
      <c r="Q305" s="581"/>
      <c r="R305" s="581"/>
      <c r="S305" s="581"/>
      <c r="T305" s="581"/>
      <c r="U305" s="9"/>
      <c r="V305" s="9"/>
      <c r="W305" s="9"/>
      <c r="X305" s="9"/>
      <c r="Y305" s="9"/>
      <c r="Z305" s="9"/>
      <c r="AA305" s="9"/>
      <c r="AB305" s="9"/>
      <c r="AC305" s="9"/>
    </row>
    <row r="306" spans="1:29" ht="12.75" customHeight="1" x14ac:dyDescent="0.25">
      <c r="A306" s="9"/>
      <c r="B306" s="9"/>
      <c r="C306" s="9"/>
      <c r="D306" s="9"/>
      <c r="E306" s="9"/>
      <c r="F306" s="9"/>
      <c r="G306" s="9"/>
      <c r="H306" s="581"/>
      <c r="I306" s="581"/>
      <c r="J306" s="581"/>
      <c r="K306" s="581"/>
      <c r="L306" s="581"/>
      <c r="M306" s="581"/>
      <c r="N306" s="581"/>
      <c r="O306" s="581"/>
      <c r="P306" s="581"/>
      <c r="Q306" s="581"/>
      <c r="R306" s="581"/>
      <c r="S306" s="581"/>
      <c r="T306" s="581"/>
      <c r="U306" s="9"/>
      <c r="V306" s="9"/>
      <c r="W306" s="9"/>
      <c r="X306" s="9"/>
      <c r="Y306" s="9"/>
      <c r="Z306" s="9"/>
      <c r="AA306" s="9"/>
      <c r="AB306" s="9"/>
      <c r="AC306" s="9"/>
    </row>
    <row r="307" spans="1:29" ht="12.75" customHeight="1" x14ac:dyDescent="0.25">
      <c r="A307" s="9"/>
      <c r="B307" s="9"/>
      <c r="C307" s="9"/>
      <c r="D307" s="9"/>
      <c r="E307" s="9"/>
      <c r="F307" s="9"/>
      <c r="G307" s="9"/>
      <c r="H307" s="581"/>
      <c r="I307" s="581"/>
      <c r="J307" s="581"/>
      <c r="K307" s="581"/>
      <c r="L307" s="581"/>
      <c r="M307" s="581"/>
      <c r="N307" s="581"/>
      <c r="O307" s="581"/>
      <c r="P307" s="581"/>
      <c r="Q307" s="581"/>
      <c r="R307" s="581"/>
      <c r="S307" s="581"/>
      <c r="T307" s="581"/>
      <c r="U307" s="9"/>
      <c r="V307" s="9"/>
      <c r="W307" s="9"/>
      <c r="X307" s="9"/>
      <c r="Y307" s="9"/>
      <c r="Z307" s="9"/>
      <c r="AA307" s="9"/>
      <c r="AB307" s="9"/>
      <c r="AC307" s="9"/>
    </row>
    <row r="308" spans="1:29" ht="12.75" customHeight="1" x14ac:dyDescent="0.25">
      <c r="A308" s="9"/>
      <c r="B308" s="9"/>
      <c r="C308" s="9"/>
      <c r="D308" s="9"/>
      <c r="E308" s="9"/>
      <c r="F308" s="9"/>
      <c r="G308" s="9"/>
      <c r="H308" s="581"/>
      <c r="I308" s="581"/>
      <c r="J308" s="581"/>
      <c r="K308" s="581"/>
      <c r="L308" s="581"/>
      <c r="M308" s="581"/>
      <c r="N308" s="581"/>
      <c r="O308" s="581"/>
      <c r="P308" s="581"/>
      <c r="Q308" s="581"/>
      <c r="R308" s="581"/>
      <c r="S308" s="581"/>
      <c r="T308" s="581"/>
      <c r="U308" s="9"/>
      <c r="V308" s="9"/>
      <c r="W308" s="9"/>
      <c r="X308" s="9"/>
      <c r="Y308" s="9"/>
      <c r="Z308" s="9"/>
      <c r="AA308" s="9"/>
      <c r="AB308" s="9"/>
      <c r="AC308" s="9"/>
    </row>
    <row r="309" spans="1:29" ht="12.75" customHeight="1" x14ac:dyDescent="0.25">
      <c r="A309" s="9"/>
      <c r="B309" s="9"/>
      <c r="C309" s="9"/>
      <c r="D309" s="9"/>
      <c r="E309" s="9"/>
      <c r="F309" s="9"/>
      <c r="G309" s="9"/>
      <c r="H309" s="581"/>
      <c r="I309" s="581"/>
      <c r="J309" s="581"/>
      <c r="K309" s="581"/>
      <c r="L309" s="581"/>
      <c r="M309" s="581"/>
      <c r="N309" s="581"/>
      <c r="O309" s="581"/>
      <c r="P309" s="581"/>
      <c r="Q309" s="581"/>
      <c r="R309" s="581"/>
      <c r="S309" s="581"/>
      <c r="T309" s="581"/>
      <c r="U309" s="9"/>
      <c r="V309" s="9"/>
      <c r="W309" s="9"/>
      <c r="X309" s="9"/>
      <c r="Y309" s="9"/>
      <c r="Z309" s="9"/>
      <c r="AA309" s="9"/>
      <c r="AB309" s="9"/>
      <c r="AC309" s="9"/>
    </row>
    <row r="310" spans="1:29" ht="12.75" customHeight="1" x14ac:dyDescent="0.25">
      <c r="A310" s="9"/>
      <c r="B310" s="9"/>
      <c r="C310" s="9"/>
      <c r="D310" s="9"/>
      <c r="E310" s="9"/>
      <c r="F310" s="9"/>
      <c r="G310" s="9"/>
      <c r="H310" s="581"/>
      <c r="I310" s="581"/>
      <c r="J310" s="581"/>
      <c r="K310" s="581"/>
      <c r="L310" s="581"/>
      <c r="M310" s="581"/>
      <c r="N310" s="581"/>
      <c r="O310" s="581"/>
      <c r="P310" s="581"/>
      <c r="Q310" s="581"/>
      <c r="R310" s="581"/>
      <c r="S310" s="581"/>
      <c r="T310" s="581"/>
      <c r="U310" s="9"/>
      <c r="V310" s="9"/>
      <c r="W310" s="9"/>
      <c r="X310" s="9"/>
      <c r="Y310" s="9"/>
      <c r="Z310" s="9"/>
      <c r="AA310" s="9"/>
      <c r="AB310" s="9"/>
      <c r="AC310" s="9"/>
    </row>
    <row r="311" spans="1:29" ht="12.75" customHeight="1" x14ac:dyDescent="0.25">
      <c r="A311" s="9"/>
      <c r="B311" s="9"/>
      <c r="C311" s="9"/>
      <c r="D311" s="9"/>
      <c r="E311" s="9"/>
      <c r="F311" s="9"/>
      <c r="G311" s="9"/>
      <c r="H311" s="581"/>
      <c r="I311" s="581"/>
      <c r="J311" s="581"/>
      <c r="K311" s="581"/>
      <c r="L311" s="581"/>
      <c r="M311" s="581"/>
      <c r="N311" s="581"/>
      <c r="O311" s="581"/>
      <c r="P311" s="581"/>
      <c r="Q311" s="581"/>
      <c r="R311" s="581"/>
      <c r="S311" s="581"/>
      <c r="T311" s="581"/>
      <c r="U311" s="9"/>
      <c r="V311" s="9"/>
      <c r="W311" s="9"/>
      <c r="X311" s="9"/>
      <c r="Y311" s="9"/>
      <c r="Z311" s="9"/>
      <c r="AA311" s="9"/>
      <c r="AB311" s="9"/>
      <c r="AC311" s="9"/>
    </row>
    <row r="312" spans="1:29" ht="12.75" customHeight="1" x14ac:dyDescent="0.25">
      <c r="A312" s="9"/>
      <c r="B312" s="9"/>
      <c r="C312" s="9"/>
      <c r="D312" s="9"/>
      <c r="E312" s="9"/>
      <c r="F312" s="9"/>
      <c r="G312" s="9"/>
      <c r="H312" s="581"/>
      <c r="I312" s="581"/>
      <c r="J312" s="581"/>
      <c r="K312" s="581"/>
      <c r="L312" s="581"/>
      <c r="M312" s="581"/>
      <c r="N312" s="581"/>
      <c r="O312" s="581"/>
      <c r="P312" s="581"/>
      <c r="Q312" s="581"/>
      <c r="R312" s="581"/>
      <c r="S312" s="581"/>
      <c r="T312" s="581"/>
      <c r="U312" s="9"/>
      <c r="V312" s="9"/>
      <c r="W312" s="9"/>
      <c r="X312" s="9"/>
      <c r="Y312" s="9"/>
      <c r="Z312" s="9"/>
      <c r="AA312" s="9"/>
      <c r="AB312" s="9"/>
      <c r="AC312" s="9"/>
    </row>
    <row r="313" spans="1:29" ht="12.75" customHeight="1" x14ac:dyDescent="0.25">
      <c r="A313" s="9"/>
      <c r="B313" s="9"/>
      <c r="C313" s="9"/>
      <c r="D313" s="9"/>
      <c r="E313" s="9"/>
      <c r="F313" s="9"/>
      <c r="G313" s="9"/>
      <c r="H313" s="581"/>
      <c r="I313" s="581"/>
      <c r="J313" s="581"/>
      <c r="K313" s="581"/>
      <c r="L313" s="581"/>
      <c r="M313" s="581"/>
      <c r="N313" s="581"/>
      <c r="O313" s="581"/>
      <c r="P313" s="581"/>
      <c r="Q313" s="581"/>
      <c r="R313" s="581"/>
      <c r="S313" s="581"/>
      <c r="T313" s="581"/>
      <c r="U313" s="9"/>
      <c r="V313" s="9"/>
      <c r="W313" s="9"/>
      <c r="X313" s="9"/>
      <c r="Y313" s="9"/>
      <c r="Z313" s="9"/>
      <c r="AA313" s="9"/>
      <c r="AB313" s="9"/>
      <c r="AC313" s="9"/>
    </row>
    <row r="314" spans="1:29" ht="12.75" customHeight="1" x14ac:dyDescent="0.25">
      <c r="A314" s="9"/>
      <c r="B314" s="9"/>
      <c r="C314" s="9"/>
      <c r="D314" s="9"/>
      <c r="E314" s="9"/>
      <c r="F314" s="9"/>
      <c r="G314" s="9"/>
      <c r="H314" s="581"/>
      <c r="I314" s="581"/>
      <c r="J314" s="581"/>
      <c r="K314" s="581"/>
      <c r="L314" s="581"/>
      <c r="M314" s="581"/>
      <c r="N314" s="581"/>
      <c r="O314" s="581"/>
      <c r="P314" s="581"/>
      <c r="Q314" s="581"/>
      <c r="R314" s="581"/>
      <c r="S314" s="581"/>
      <c r="T314" s="581"/>
      <c r="U314" s="9"/>
      <c r="V314" s="9"/>
      <c r="W314" s="9"/>
      <c r="X314" s="9"/>
      <c r="Y314" s="9"/>
      <c r="Z314" s="9"/>
      <c r="AA314" s="9"/>
      <c r="AB314" s="9"/>
      <c r="AC314" s="9"/>
    </row>
    <row r="315" spans="1:29" ht="12.75" customHeight="1" x14ac:dyDescent="0.25">
      <c r="A315" s="9"/>
      <c r="B315" s="9"/>
      <c r="C315" s="9"/>
      <c r="D315" s="9"/>
      <c r="E315" s="9"/>
      <c r="F315" s="9"/>
      <c r="G315" s="9"/>
      <c r="H315" s="581"/>
      <c r="I315" s="581"/>
      <c r="J315" s="581"/>
      <c r="K315" s="581"/>
      <c r="L315" s="581"/>
      <c r="M315" s="581"/>
      <c r="N315" s="581"/>
      <c r="O315" s="581"/>
      <c r="P315" s="581"/>
      <c r="Q315" s="581"/>
      <c r="R315" s="581"/>
      <c r="S315" s="581"/>
      <c r="T315" s="581"/>
      <c r="U315" s="9"/>
      <c r="V315" s="9"/>
      <c r="W315" s="9"/>
      <c r="X315" s="9"/>
      <c r="Y315" s="9"/>
      <c r="Z315" s="9"/>
      <c r="AA315" s="9"/>
      <c r="AB315" s="9"/>
      <c r="AC315" s="9"/>
    </row>
    <row r="316" spans="1:29" ht="12.75" customHeight="1" x14ac:dyDescent="0.25">
      <c r="A316" s="9"/>
      <c r="B316" s="9"/>
      <c r="C316" s="9"/>
      <c r="D316" s="9"/>
      <c r="E316" s="9"/>
      <c r="F316" s="9"/>
      <c r="G316" s="9"/>
      <c r="H316" s="581"/>
      <c r="I316" s="581"/>
      <c r="J316" s="581"/>
      <c r="K316" s="581"/>
      <c r="L316" s="581"/>
      <c r="M316" s="581"/>
      <c r="N316" s="581"/>
      <c r="O316" s="581"/>
      <c r="P316" s="581"/>
      <c r="Q316" s="581"/>
      <c r="R316" s="581"/>
      <c r="S316" s="581"/>
      <c r="T316" s="581"/>
      <c r="U316" s="9"/>
      <c r="V316" s="9"/>
      <c r="W316" s="9"/>
      <c r="X316" s="9"/>
      <c r="Y316" s="9"/>
      <c r="Z316" s="9"/>
      <c r="AA316" s="9"/>
      <c r="AB316" s="9"/>
      <c r="AC316" s="9"/>
    </row>
    <row r="317" spans="1:29" ht="12.75" customHeight="1" x14ac:dyDescent="0.25">
      <c r="A317" s="9"/>
      <c r="B317" s="9"/>
      <c r="C317" s="9"/>
      <c r="D317" s="9"/>
      <c r="E317" s="9"/>
      <c r="F317" s="9"/>
      <c r="G317" s="9"/>
      <c r="H317" s="581"/>
      <c r="I317" s="581"/>
      <c r="J317" s="581"/>
      <c r="K317" s="581"/>
      <c r="L317" s="581"/>
      <c r="M317" s="581"/>
      <c r="N317" s="581"/>
      <c r="O317" s="581"/>
      <c r="P317" s="581"/>
      <c r="Q317" s="581"/>
      <c r="R317" s="581"/>
      <c r="S317" s="581"/>
      <c r="T317" s="581"/>
      <c r="U317" s="9"/>
      <c r="V317" s="9"/>
      <c r="W317" s="9"/>
      <c r="X317" s="9"/>
      <c r="Y317" s="9"/>
      <c r="Z317" s="9"/>
      <c r="AA317" s="9"/>
      <c r="AB317" s="9"/>
      <c r="AC317" s="9"/>
    </row>
    <row r="318" spans="1:29" ht="12.75" customHeight="1" x14ac:dyDescent="0.25">
      <c r="A318" s="9"/>
      <c r="B318" s="9"/>
      <c r="C318" s="9"/>
      <c r="D318" s="9"/>
      <c r="E318" s="9"/>
      <c r="F318" s="9"/>
      <c r="G318" s="9"/>
      <c r="H318" s="581"/>
      <c r="I318" s="581"/>
      <c r="J318" s="581"/>
      <c r="K318" s="581"/>
      <c r="L318" s="581"/>
      <c r="M318" s="581"/>
      <c r="N318" s="581"/>
      <c r="O318" s="581"/>
      <c r="P318" s="581"/>
      <c r="Q318" s="581"/>
      <c r="R318" s="581"/>
      <c r="S318" s="581"/>
      <c r="T318" s="581"/>
      <c r="U318" s="9"/>
      <c r="V318" s="9"/>
      <c r="W318" s="9"/>
      <c r="X318" s="9"/>
      <c r="Y318" s="9"/>
      <c r="Z318" s="9"/>
      <c r="AA318" s="9"/>
      <c r="AB318" s="9"/>
      <c r="AC318" s="9"/>
    </row>
    <row r="319" spans="1:29" ht="12.75" customHeight="1" x14ac:dyDescent="0.25">
      <c r="A319" s="9"/>
      <c r="B319" s="9"/>
      <c r="C319" s="9"/>
      <c r="D319" s="9"/>
      <c r="E319" s="9"/>
      <c r="F319" s="9"/>
      <c r="G319" s="9"/>
      <c r="H319" s="581"/>
      <c r="I319" s="581"/>
      <c r="J319" s="581"/>
      <c r="K319" s="581"/>
      <c r="L319" s="581"/>
      <c r="M319" s="581"/>
      <c r="N319" s="581"/>
      <c r="O319" s="581"/>
      <c r="P319" s="581"/>
      <c r="Q319" s="581"/>
      <c r="R319" s="581"/>
      <c r="S319" s="581"/>
      <c r="T319" s="581"/>
      <c r="U319" s="9"/>
      <c r="V319" s="9"/>
      <c r="W319" s="9"/>
      <c r="X319" s="9"/>
      <c r="Y319" s="9"/>
      <c r="Z319" s="9"/>
      <c r="AA319" s="9"/>
      <c r="AB319" s="9"/>
      <c r="AC319" s="9"/>
    </row>
    <row r="320" spans="1:29" ht="12.75" customHeight="1" x14ac:dyDescent="0.25">
      <c r="A320" s="9"/>
      <c r="B320" s="9"/>
      <c r="C320" s="9"/>
      <c r="D320" s="9"/>
      <c r="E320" s="9"/>
      <c r="F320" s="9"/>
      <c r="G320" s="9"/>
      <c r="H320" s="581"/>
      <c r="I320" s="581"/>
      <c r="J320" s="581"/>
      <c r="K320" s="581"/>
      <c r="L320" s="581"/>
      <c r="M320" s="581"/>
      <c r="N320" s="581"/>
      <c r="O320" s="581"/>
      <c r="P320" s="581"/>
      <c r="Q320" s="581"/>
      <c r="R320" s="581"/>
      <c r="S320" s="581"/>
      <c r="T320" s="581"/>
      <c r="U320" s="9"/>
      <c r="V320" s="9"/>
      <c r="W320" s="9"/>
      <c r="X320" s="9"/>
      <c r="Y320" s="9"/>
      <c r="Z320" s="9"/>
      <c r="AA320" s="9"/>
      <c r="AB320" s="9"/>
      <c r="AC320" s="9"/>
    </row>
    <row r="321" spans="1:29" ht="12.75" customHeight="1" x14ac:dyDescent="0.25">
      <c r="A321" s="9"/>
      <c r="B321" s="9"/>
      <c r="C321" s="9"/>
      <c r="D321" s="9"/>
      <c r="E321" s="9"/>
      <c r="F321" s="9"/>
      <c r="G321" s="9"/>
      <c r="H321" s="581"/>
      <c r="I321" s="581"/>
      <c r="J321" s="581"/>
      <c r="K321" s="581"/>
      <c r="L321" s="581"/>
      <c r="M321" s="581"/>
      <c r="N321" s="581"/>
      <c r="O321" s="581"/>
      <c r="P321" s="581"/>
      <c r="Q321" s="581"/>
      <c r="R321" s="581"/>
      <c r="S321" s="581"/>
      <c r="T321" s="581"/>
      <c r="U321" s="9"/>
      <c r="V321" s="9"/>
      <c r="W321" s="9"/>
      <c r="X321" s="9"/>
      <c r="Y321" s="9"/>
      <c r="Z321" s="9"/>
      <c r="AA321" s="9"/>
      <c r="AB321" s="9"/>
      <c r="AC321" s="9"/>
    </row>
    <row r="322" spans="1:29" ht="12.75" customHeight="1" x14ac:dyDescent="0.25">
      <c r="A322" s="9"/>
      <c r="B322" s="9"/>
      <c r="C322" s="9"/>
      <c r="D322" s="9"/>
      <c r="E322" s="9"/>
      <c r="F322" s="9"/>
      <c r="G322" s="9"/>
      <c r="H322" s="581"/>
      <c r="I322" s="581"/>
      <c r="J322" s="581"/>
      <c r="K322" s="581"/>
      <c r="L322" s="581"/>
      <c r="M322" s="581"/>
      <c r="N322" s="581"/>
      <c r="O322" s="581"/>
      <c r="P322" s="581"/>
      <c r="Q322" s="581"/>
      <c r="R322" s="581"/>
      <c r="S322" s="581"/>
      <c r="T322" s="581"/>
      <c r="U322" s="9"/>
      <c r="V322" s="9"/>
      <c r="W322" s="9"/>
      <c r="X322" s="9"/>
      <c r="Y322" s="9"/>
      <c r="Z322" s="9"/>
      <c r="AA322" s="9"/>
      <c r="AB322" s="9"/>
      <c r="AC322" s="9"/>
    </row>
    <row r="323" spans="1:29" ht="12.75" customHeight="1" x14ac:dyDescent="0.25">
      <c r="A323" s="9"/>
      <c r="B323" s="9"/>
      <c r="C323" s="9"/>
      <c r="D323" s="9"/>
      <c r="E323" s="9"/>
      <c r="F323" s="9"/>
      <c r="G323" s="9"/>
      <c r="H323" s="581"/>
      <c r="I323" s="581"/>
      <c r="J323" s="581"/>
      <c r="K323" s="581"/>
      <c r="L323" s="581"/>
      <c r="M323" s="581"/>
      <c r="N323" s="581"/>
      <c r="O323" s="581"/>
      <c r="P323" s="581"/>
      <c r="Q323" s="581"/>
      <c r="R323" s="581"/>
      <c r="S323" s="581"/>
      <c r="T323" s="581"/>
      <c r="U323" s="9"/>
      <c r="V323" s="9"/>
      <c r="W323" s="9"/>
      <c r="X323" s="9"/>
      <c r="Y323" s="9"/>
      <c r="Z323" s="9"/>
      <c r="AA323" s="9"/>
      <c r="AB323" s="9"/>
      <c r="AC323" s="9"/>
    </row>
    <row r="324" spans="1:29" ht="12.75" customHeight="1" x14ac:dyDescent="0.25">
      <c r="A324" s="9"/>
      <c r="B324" s="9"/>
      <c r="C324" s="9"/>
      <c r="D324" s="9"/>
      <c r="E324" s="9"/>
      <c r="F324" s="9"/>
      <c r="G324" s="9"/>
      <c r="H324" s="581"/>
      <c r="I324" s="581"/>
      <c r="J324" s="581"/>
      <c r="K324" s="581"/>
      <c r="L324" s="581"/>
      <c r="M324" s="581"/>
      <c r="N324" s="581"/>
      <c r="O324" s="581"/>
      <c r="P324" s="581"/>
      <c r="Q324" s="581"/>
      <c r="R324" s="581"/>
      <c r="S324" s="581"/>
      <c r="T324" s="581"/>
      <c r="U324" s="9"/>
      <c r="V324" s="9"/>
      <c r="W324" s="9"/>
      <c r="X324" s="9"/>
      <c r="Y324" s="9"/>
      <c r="Z324" s="9"/>
      <c r="AA324" s="9"/>
      <c r="AB324" s="9"/>
      <c r="AC324" s="9"/>
    </row>
    <row r="325" spans="1:29" ht="12.75" customHeight="1" x14ac:dyDescent="0.25">
      <c r="A325" s="9"/>
      <c r="B325" s="9"/>
      <c r="C325" s="9"/>
      <c r="D325" s="9"/>
      <c r="E325" s="9"/>
      <c r="F325" s="9"/>
      <c r="G325" s="9"/>
      <c r="H325" s="581"/>
      <c r="I325" s="581"/>
      <c r="J325" s="581"/>
      <c r="K325" s="581"/>
      <c r="L325" s="581"/>
      <c r="M325" s="581"/>
      <c r="N325" s="581"/>
      <c r="O325" s="581"/>
      <c r="P325" s="581"/>
      <c r="Q325" s="581"/>
      <c r="R325" s="581"/>
      <c r="S325" s="581"/>
      <c r="T325" s="581"/>
      <c r="U325" s="9"/>
      <c r="V325" s="9"/>
      <c r="W325" s="9"/>
      <c r="X325" s="9"/>
      <c r="Y325" s="9"/>
      <c r="Z325" s="9"/>
      <c r="AA325" s="9"/>
      <c r="AB325" s="9"/>
      <c r="AC325" s="9"/>
    </row>
    <row r="326" spans="1:29" ht="12.75" customHeight="1" x14ac:dyDescent="0.25">
      <c r="A326" s="9"/>
      <c r="B326" s="9"/>
      <c r="C326" s="9"/>
      <c r="D326" s="9"/>
      <c r="E326" s="9"/>
      <c r="F326" s="9"/>
      <c r="G326" s="9"/>
      <c r="H326" s="581"/>
      <c r="I326" s="581"/>
      <c r="J326" s="581"/>
      <c r="K326" s="581"/>
      <c r="L326" s="581"/>
      <c r="M326" s="581"/>
      <c r="N326" s="581"/>
      <c r="O326" s="581"/>
      <c r="P326" s="581"/>
      <c r="Q326" s="581"/>
      <c r="R326" s="581"/>
      <c r="S326" s="581"/>
      <c r="T326" s="581"/>
      <c r="U326" s="9"/>
      <c r="V326" s="9"/>
      <c r="W326" s="9"/>
      <c r="X326" s="9"/>
      <c r="Y326" s="9"/>
      <c r="Z326" s="9"/>
      <c r="AA326" s="9"/>
      <c r="AB326" s="9"/>
      <c r="AC326" s="9"/>
    </row>
    <row r="327" spans="1:29" ht="12.75" customHeight="1" x14ac:dyDescent="0.25">
      <c r="A327" s="9"/>
      <c r="B327" s="9"/>
      <c r="C327" s="9"/>
      <c r="D327" s="9"/>
      <c r="E327" s="9"/>
      <c r="F327" s="9"/>
      <c r="G327" s="9"/>
      <c r="H327" s="581"/>
      <c r="I327" s="581"/>
      <c r="J327" s="581"/>
      <c r="K327" s="581"/>
      <c r="L327" s="581"/>
      <c r="M327" s="581"/>
      <c r="N327" s="581"/>
      <c r="O327" s="581"/>
      <c r="P327" s="581"/>
      <c r="Q327" s="581"/>
      <c r="R327" s="581"/>
      <c r="S327" s="581"/>
      <c r="T327" s="581"/>
      <c r="U327" s="9"/>
      <c r="V327" s="9"/>
      <c r="W327" s="9"/>
      <c r="X327" s="9"/>
      <c r="Y327" s="9"/>
      <c r="Z327" s="9"/>
      <c r="AA327" s="9"/>
      <c r="AB327" s="9"/>
      <c r="AC327" s="9"/>
    </row>
    <row r="328" spans="1:29" ht="12.75" customHeight="1" x14ac:dyDescent="0.25">
      <c r="A328" s="9"/>
      <c r="B328" s="9"/>
      <c r="C328" s="9"/>
      <c r="D328" s="9"/>
      <c r="E328" s="9"/>
      <c r="F328" s="9"/>
      <c r="G328" s="9"/>
      <c r="H328" s="581"/>
      <c r="I328" s="581"/>
      <c r="J328" s="581"/>
      <c r="K328" s="581"/>
      <c r="L328" s="581"/>
      <c r="M328" s="581"/>
      <c r="N328" s="581"/>
      <c r="O328" s="581"/>
      <c r="P328" s="581"/>
      <c r="Q328" s="581"/>
      <c r="R328" s="581"/>
      <c r="S328" s="581"/>
      <c r="T328" s="581"/>
      <c r="U328" s="9"/>
      <c r="V328" s="9"/>
      <c r="W328" s="9"/>
      <c r="X328" s="9"/>
      <c r="Y328" s="9"/>
      <c r="Z328" s="9"/>
      <c r="AA328" s="9"/>
      <c r="AB328" s="9"/>
      <c r="AC328" s="9"/>
    </row>
    <row r="329" spans="1:29" ht="12.75" customHeight="1" x14ac:dyDescent="0.25">
      <c r="A329" s="9"/>
      <c r="B329" s="9"/>
      <c r="C329" s="9"/>
      <c r="D329" s="9"/>
      <c r="E329" s="9"/>
      <c r="F329" s="9"/>
      <c r="G329" s="9"/>
      <c r="H329" s="581"/>
      <c r="I329" s="581"/>
      <c r="J329" s="581"/>
      <c r="K329" s="581"/>
      <c r="L329" s="581"/>
      <c r="M329" s="581"/>
      <c r="N329" s="581"/>
      <c r="O329" s="581"/>
      <c r="P329" s="581"/>
      <c r="Q329" s="581"/>
      <c r="R329" s="581"/>
      <c r="S329" s="581"/>
      <c r="T329" s="581"/>
      <c r="U329" s="9"/>
      <c r="V329" s="9"/>
      <c r="W329" s="9"/>
      <c r="X329" s="9"/>
      <c r="Y329" s="9"/>
      <c r="Z329" s="9"/>
      <c r="AA329" s="9"/>
      <c r="AB329" s="9"/>
      <c r="AC329" s="9"/>
    </row>
    <row r="330" spans="1:29" ht="12.75" customHeight="1" x14ac:dyDescent="0.25">
      <c r="A330" s="9"/>
      <c r="B330" s="9"/>
      <c r="C330" s="9"/>
      <c r="D330" s="9"/>
      <c r="E330" s="9"/>
      <c r="F330" s="9"/>
      <c r="G330" s="9"/>
      <c r="H330" s="581"/>
      <c r="I330" s="581"/>
      <c r="J330" s="581"/>
      <c r="K330" s="581"/>
      <c r="L330" s="581"/>
      <c r="M330" s="581"/>
      <c r="N330" s="581"/>
      <c r="O330" s="581"/>
      <c r="P330" s="581"/>
      <c r="Q330" s="581"/>
      <c r="R330" s="581"/>
      <c r="S330" s="581"/>
      <c r="T330" s="581"/>
      <c r="U330" s="9"/>
      <c r="V330" s="9"/>
      <c r="W330" s="9"/>
      <c r="X330" s="9"/>
      <c r="Y330" s="9"/>
      <c r="Z330" s="9"/>
      <c r="AA330" s="9"/>
      <c r="AB330" s="9"/>
      <c r="AC330" s="9"/>
    </row>
    <row r="331" spans="1:29" ht="12.75" customHeight="1" x14ac:dyDescent="0.25">
      <c r="A331" s="9"/>
      <c r="B331" s="9"/>
      <c r="C331" s="9"/>
      <c r="D331" s="9"/>
      <c r="E331" s="9"/>
      <c r="F331" s="9"/>
      <c r="G331" s="9"/>
      <c r="H331" s="581"/>
      <c r="I331" s="581"/>
      <c r="J331" s="581"/>
      <c r="K331" s="581"/>
      <c r="L331" s="581"/>
      <c r="M331" s="581"/>
      <c r="N331" s="581"/>
      <c r="O331" s="581"/>
      <c r="P331" s="581"/>
      <c r="Q331" s="581"/>
      <c r="R331" s="581"/>
      <c r="S331" s="581"/>
      <c r="T331" s="581"/>
      <c r="U331" s="9"/>
      <c r="V331" s="9"/>
      <c r="W331" s="9"/>
      <c r="X331" s="9"/>
      <c r="Y331" s="9"/>
      <c r="Z331" s="9"/>
      <c r="AA331" s="9"/>
      <c r="AB331" s="9"/>
      <c r="AC331" s="9"/>
    </row>
    <row r="332" spans="1:29" ht="12.75" customHeight="1" x14ac:dyDescent="0.25">
      <c r="A332" s="9"/>
      <c r="B332" s="9"/>
      <c r="C332" s="9"/>
      <c r="D332" s="9"/>
      <c r="E332" s="9"/>
      <c r="F332" s="9"/>
      <c r="G332" s="9"/>
      <c r="H332" s="581"/>
      <c r="I332" s="581"/>
      <c r="J332" s="581"/>
      <c r="K332" s="581"/>
      <c r="L332" s="581"/>
      <c r="M332" s="581"/>
      <c r="N332" s="581"/>
      <c r="O332" s="581"/>
      <c r="P332" s="581"/>
      <c r="Q332" s="581"/>
      <c r="R332" s="581"/>
      <c r="S332" s="581"/>
      <c r="T332" s="581"/>
      <c r="U332" s="9"/>
      <c r="V332" s="9"/>
      <c r="W332" s="9"/>
      <c r="X332" s="9"/>
      <c r="Y332" s="9"/>
      <c r="Z332" s="9"/>
      <c r="AA332" s="9"/>
      <c r="AB332" s="9"/>
      <c r="AC332" s="9"/>
    </row>
    <row r="333" spans="1:29" ht="12.75" customHeight="1" x14ac:dyDescent="0.25">
      <c r="A333" s="9"/>
      <c r="B333" s="9"/>
      <c r="C333" s="9"/>
      <c r="D333" s="9"/>
      <c r="E333" s="9"/>
      <c r="F333" s="9"/>
      <c r="G333" s="9"/>
      <c r="H333" s="581"/>
      <c r="I333" s="581"/>
      <c r="J333" s="581"/>
      <c r="K333" s="581"/>
      <c r="L333" s="581"/>
      <c r="M333" s="581"/>
      <c r="N333" s="581"/>
      <c r="O333" s="581"/>
      <c r="P333" s="581"/>
      <c r="Q333" s="581"/>
      <c r="R333" s="581"/>
      <c r="S333" s="581"/>
      <c r="T333" s="581"/>
      <c r="U333" s="9"/>
      <c r="V333" s="9"/>
      <c r="W333" s="9"/>
      <c r="X333" s="9"/>
      <c r="Y333" s="9"/>
      <c r="Z333" s="9"/>
      <c r="AA333" s="9"/>
      <c r="AB333" s="9"/>
      <c r="AC333" s="9"/>
    </row>
    <row r="334" spans="1:29" ht="12.75" customHeight="1" x14ac:dyDescent="0.25">
      <c r="A334" s="9"/>
      <c r="B334" s="9"/>
      <c r="C334" s="9"/>
      <c r="D334" s="9"/>
      <c r="E334" s="9"/>
      <c r="F334" s="9"/>
      <c r="G334" s="9"/>
      <c r="H334" s="581"/>
      <c r="I334" s="581"/>
      <c r="J334" s="581"/>
      <c r="K334" s="581"/>
      <c r="L334" s="581"/>
      <c r="M334" s="581"/>
      <c r="N334" s="581"/>
      <c r="O334" s="581"/>
      <c r="P334" s="581"/>
      <c r="Q334" s="581"/>
      <c r="R334" s="581"/>
      <c r="S334" s="581"/>
      <c r="T334" s="581"/>
      <c r="U334" s="9"/>
      <c r="V334" s="9"/>
      <c r="W334" s="9"/>
      <c r="X334" s="9"/>
      <c r="Y334" s="9"/>
      <c r="Z334" s="9"/>
      <c r="AA334" s="9"/>
      <c r="AB334" s="9"/>
      <c r="AC334" s="9"/>
    </row>
    <row r="335" spans="1:29" ht="12.75" customHeight="1" x14ac:dyDescent="0.25">
      <c r="A335" s="9"/>
      <c r="B335" s="9"/>
      <c r="C335" s="9"/>
      <c r="D335" s="9"/>
      <c r="E335" s="9"/>
      <c r="F335" s="9"/>
      <c r="G335" s="9"/>
      <c r="H335" s="581"/>
      <c r="I335" s="581"/>
      <c r="J335" s="581"/>
      <c r="K335" s="581"/>
      <c r="L335" s="581"/>
      <c r="M335" s="581"/>
      <c r="N335" s="581"/>
      <c r="O335" s="581"/>
      <c r="P335" s="581"/>
      <c r="Q335" s="581"/>
      <c r="R335" s="581"/>
      <c r="S335" s="581"/>
      <c r="T335" s="581"/>
      <c r="U335" s="9"/>
      <c r="V335" s="9"/>
      <c r="W335" s="9"/>
      <c r="X335" s="9"/>
      <c r="Y335" s="9"/>
      <c r="Z335" s="9"/>
      <c r="AA335" s="9"/>
      <c r="AB335" s="9"/>
      <c r="AC335" s="9"/>
    </row>
    <row r="336" spans="1:29" ht="12.75" customHeight="1" x14ac:dyDescent="0.25">
      <c r="A336" s="9"/>
      <c r="B336" s="9"/>
      <c r="C336" s="9"/>
      <c r="D336" s="9"/>
      <c r="E336" s="9"/>
      <c r="F336" s="9"/>
      <c r="G336" s="9"/>
      <c r="H336" s="581"/>
      <c r="I336" s="581"/>
      <c r="J336" s="581"/>
      <c r="K336" s="581"/>
      <c r="L336" s="581"/>
      <c r="M336" s="581"/>
      <c r="N336" s="581"/>
      <c r="O336" s="581"/>
      <c r="P336" s="581"/>
      <c r="Q336" s="581"/>
      <c r="R336" s="581"/>
      <c r="S336" s="581"/>
      <c r="T336" s="581"/>
      <c r="U336" s="9"/>
      <c r="V336" s="9"/>
      <c r="W336" s="9"/>
      <c r="X336" s="9"/>
      <c r="Y336" s="9"/>
      <c r="Z336" s="9"/>
      <c r="AA336" s="9"/>
      <c r="AB336" s="9"/>
      <c r="AC336" s="9"/>
    </row>
    <row r="337" spans="1:29" ht="12.75" customHeight="1" x14ac:dyDescent="0.25">
      <c r="A337" s="9"/>
      <c r="B337" s="9"/>
      <c r="C337" s="9"/>
      <c r="D337" s="9"/>
      <c r="E337" s="9"/>
      <c r="F337" s="9"/>
      <c r="G337" s="9"/>
      <c r="H337" s="581"/>
      <c r="I337" s="581"/>
      <c r="J337" s="581"/>
      <c r="K337" s="581"/>
      <c r="L337" s="581"/>
      <c r="M337" s="581"/>
      <c r="N337" s="581"/>
      <c r="O337" s="581"/>
      <c r="P337" s="581"/>
      <c r="Q337" s="581"/>
      <c r="R337" s="581"/>
      <c r="S337" s="581"/>
      <c r="T337" s="581"/>
      <c r="U337" s="9"/>
      <c r="V337" s="9"/>
      <c r="W337" s="9"/>
      <c r="X337" s="9"/>
      <c r="Y337" s="9"/>
      <c r="Z337" s="9"/>
      <c r="AA337" s="9"/>
      <c r="AB337" s="9"/>
      <c r="AC337" s="9"/>
    </row>
    <row r="338" spans="1:29" ht="12.75" customHeight="1" x14ac:dyDescent="0.25">
      <c r="A338" s="9"/>
      <c r="B338" s="9"/>
      <c r="C338" s="9"/>
      <c r="D338" s="9"/>
      <c r="E338" s="9"/>
      <c r="F338" s="9"/>
      <c r="G338" s="9"/>
      <c r="H338" s="581"/>
      <c r="I338" s="581"/>
      <c r="J338" s="581"/>
      <c r="K338" s="581"/>
      <c r="L338" s="581"/>
      <c r="M338" s="581"/>
      <c r="N338" s="581"/>
      <c r="O338" s="581"/>
      <c r="P338" s="581"/>
      <c r="Q338" s="581"/>
      <c r="R338" s="581"/>
      <c r="S338" s="581"/>
      <c r="T338" s="581"/>
      <c r="U338" s="9"/>
      <c r="V338" s="9"/>
      <c r="W338" s="9"/>
      <c r="X338" s="9"/>
      <c r="Y338" s="9"/>
      <c r="Z338" s="9"/>
      <c r="AA338" s="9"/>
      <c r="AB338" s="9"/>
      <c r="AC338" s="9"/>
    </row>
    <row r="339" spans="1:29" ht="12.75" customHeight="1" x14ac:dyDescent="0.25">
      <c r="A339" s="9"/>
      <c r="B339" s="9"/>
      <c r="C339" s="9"/>
      <c r="D339" s="9"/>
      <c r="E339" s="9"/>
      <c r="F339" s="9"/>
      <c r="G339" s="9"/>
      <c r="H339" s="581"/>
      <c r="I339" s="581"/>
      <c r="J339" s="581"/>
      <c r="K339" s="581"/>
      <c r="L339" s="581"/>
      <c r="M339" s="581"/>
      <c r="N339" s="581"/>
      <c r="O339" s="581"/>
      <c r="P339" s="581"/>
      <c r="Q339" s="581"/>
      <c r="R339" s="581"/>
      <c r="S339" s="581"/>
      <c r="T339" s="581"/>
      <c r="U339" s="9"/>
      <c r="V339" s="9"/>
      <c r="W339" s="9"/>
      <c r="X339" s="9"/>
      <c r="Y339" s="9"/>
      <c r="Z339" s="9"/>
      <c r="AA339" s="9"/>
      <c r="AB339" s="9"/>
      <c r="AC339" s="9"/>
    </row>
    <row r="340" spans="1:29" ht="12.75" customHeight="1" x14ac:dyDescent="0.25">
      <c r="A340" s="9"/>
      <c r="B340" s="9"/>
      <c r="C340" s="9"/>
      <c r="D340" s="9"/>
      <c r="E340" s="9"/>
      <c r="F340" s="9"/>
      <c r="G340" s="9"/>
      <c r="H340" s="581"/>
      <c r="I340" s="581"/>
      <c r="J340" s="581"/>
      <c r="K340" s="581"/>
      <c r="L340" s="581"/>
      <c r="M340" s="581"/>
      <c r="N340" s="581"/>
      <c r="O340" s="581"/>
      <c r="P340" s="581"/>
      <c r="Q340" s="581"/>
      <c r="R340" s="581"/>
      <c r="S340" s="581"/>
      <c r="T340" s="581"/>
      <c r="U340" s="9"/>
      <c r="V340" s="9"/>
      <c r="W340" s="9"/>
      <c r="X340" s="9"/>
      <c r="Y340" s="9"/>
      <c r="Z340" s="9"/>
      <c r="AA340" s="9"/>
      <c r="AB340" s="9"/>
      <c r="AC340" s="9"/>
    </row>
    <row r="341" spans="1:29" ht="12.75" customHeight="1" x14ac:dyDescent="0.25">
      <c r="A341" s="9"/>
      <c r="B341" s="9"/>
      <c r="C341" s="9"/>
      <c r="D341" s="9"/>
      <c r="E341" s="9"/>
      <c r="F341" s="9"/>
      <c r="G341" s="9"/>
      <c r="H341" s="581"/>
      <c r="I341" s="581"/>
      <c r="J341" s="581"/>
      <c r="K341" s="581"/>
      <c r="L341" s="581"/>
      <c r="M341" s="581"/>
      <c r="N341" s="581"/>
      <c r="O341" s="581"/>
      <c r="P341" s="581"/>
      <c r="Q341" s="581"/>
      <c r="R341" s="581"/>
      <c r="S341" s="581"/>
      <c r="T341" s="581"/>
      <c r="U341" s="9"/>
      <c r="V341" s="9"/>
      <c r="W341" s="9"/>
      <c r="X341" s="9"/>
      <c r="Y341" s="9"/>
      <c r="Z341" s="9"/>
      <c r="AA341" s="9"/>
      <c r="AB341" s="9"/>
      <c r="AC341" s="9"/>
    </row>
    <row r="342" spans="1:29" ht="12.75" customHeight="1" x14ac:dyDescent="0.25">
      <c r="A342" s="9"/>
      <c r="B342" s="9"/>
      <c r="C342" s="9"/>
      <c r="D342" s="9"/>
      <c r="E342" s="9"/>
      <c r="F342" s="9"/>
      <c r="G342" s="9"/>
      <c r="H342" s="581"/>
      <c r="I342" s="581"/>
      <c r="J342" s="581"/>
      <c r="K342" s="581"/>
      <c r="L342" s="581"/>
      <c r="M342" s="581"/>
      <c r="N342" s="581"/>
      <c r="O342" s="581"/>
      <c r="P342" s="581"/>
      <c r="Q342" s="581"/>
      <c r="R342" s="581"/>
      <c r="S342" s="581"/>
      <c r="T342" s="581"/>
      <c r="U342" s="9"/>
      <c r="V342" s="9"/>
      <c r="W342" s="9"/>
      <c r="X342" s="9"/>
      <c r="Y342" s="9"/>
      <c r="Z342" s="9"/>
      <c r="AA342" s="9"/>
      <c r="AB342" s="9"/>
      <c r="AC342" s="9"/>
    </row>
    <row r="343" spans="1:29" ht="12.75" customHeight="1" x14ac:dyDescent="0.25">
      <c r="A343" s="9"/>
      <c r="B343" s="9"/>
      <c r="C343" s="9"/>
      <c r="D343" s="9"/>
      <c r="E343" s="9"/>
      <c r="F343" s="9"/>
      <c r="G343" s="9"/>
      <c r="H343" s="581"/>
      <c r="I343" s="581"/>
      <c r="J343" s="581"/>
      <c r="K343" s="581"/>
      <c r="L343" s="581"/>
      <c r="M343" s="581"/>
      <c r="N343" s="581"/>
      <c r="O343" s="581"/>
      <c r="P343" s="581"/>
      <c r="Q343" s="581"/>
      <c r="R343" s="581"/>
      <c r="S343" s="581"/>
      <c r="T343" s="581"/>
      <c r="U343" s="9"/>
      <c r="V343" s="9"/>
      <c r="W343" s="9"/>
      <c r="X343" s="9"/>
      <c r="Y343" s="9"/>
      <c r="Z343" s="9"/>
      <c r="AA343" s="9"/>
      <c r="AB343" s="9"/>
      <c r="AC343" s="9"/>
    </row>
    <row r="344" spans="1:29" ht="12.75" customHeight="1" x14ac:dyDescent="0.25">
      <c r="A344" s="9"/>
      <c r="B344" s="9"/>
      <c r="C344" s="9"/>
      <c r="D344" s="9"/>
      <c r="E344" s="9"/>
      <c r="F344" s="9"/>
      <c r="G344" s="9"/>
      <c r="H344" s="581"/>
      <c r="I344" s="581"/>
      <c r="J344" s="581"/>
      <c r="K344" s="581"/>
      <c r="L344" s="581"/>
      <c r="M344" s="581"/>
      <c r="N344" s="581"/>
      <c r="O344" s="581"/>
      <c r="P344" s="581"/>
      <c r="Q344" s="581"/>
      <c r="R344" s="581"/>
      <c r="S344" s="581"/>
      <c r="T344" s="581"/>
      <c r="U344" s="9"/>
      <c r="V344" s="9"/>
      <c r="W344" s="9"/>
      <c r="X344" s="9"/>
      <c r="Y344" s="9"/>
      <c r="Z344" s="9"/>
      <c r="AA344" s="9"/>
      <c r="AB344" s="9"/>
      <c r="AC344" s="9"/>
    </row>
    <row r="345" spans="1:29" ht="12.75" customHeight="1" x14ac:dyDescent="0.25">
      <c r="A345" s="9"/>
      <c r="B345" s="9"/>
      <c r="C345" s="9"/>
      <c r="D345" s="9"/>
      <c r="E345" s="9"/>
      <c r="F345" s="9"/>
      <c r="G345" s="9"/>
      <c r="H345" s="581"/>
      <c r="I345" s="581"/>
      <c r="J345" s="581"/>
      <c r="K345" s="581"/>
      <c r="L345" s="581"/>
      <c r="M345" s="581"/>
      <c r="N345" s="581"/>
      <c r="O345" s="581"/>
      <c r="P345" s="581"/>
      <c r="Q345" s="581"/>
      <c r="R345" s="581"/>
      <c r="S345" s="581"/>
      <c r="T345" s="581"/>
      <c r="U345" s="9"/>
      <c r="V345" s="9"/>
      <c r="W345" s="9"/>
      <c r="X345" s="9"/>
      <c r="Y345" s="9"/>
      <c r="Z345" s="9"/>
      <c r="AA345" s="9"/>
      <c r="AB345" s="9"/>
      <c r="AC345" s="9"/>
    </row>
    <row r="346" spans="1:29" ht="12.75" customHeight="1" x14ac:dyDescent="0.25">
      <c r="A346" s="9"/>
      <c r="B346" s="9"/>
      <c r="C346" s="9"/>
      <c r="D346" s="9"/>
      <c r="E346" s="9"/>
      <c r="F346" s="9"/>
      <c r="G346" s="9"/>
      <c r="H346" s="581"/>
      <c r="I346" s="581"/>
      <c r="J346" s="581"/>
      <c r="K346" s="581"/>
      <c r="L346" s="581"/>
      <c r="M346" s="581"/>
      <c r="N346" s="581"/>
      <c r="O346" s="581"/>
      <c r="P346" s="581"/>
      <c r="Q346" s="581"/>
      <c r="R346" s="581"/>
      <c r="S346" s="581"/>
      <c r="T346" s="581"/>
      <c r="U346" s="9"/>
      <c r="V346" s="9"/>
      <c r="W346" s="9"/>
      <c r="X346" s="9"/>
      <c r="Y346" s="9"/>
      <c r="Z346" s="9"/>
      <c r="AA346" s="9"/>
      <c r="AB346" s="9"/>
      <c r="AC346" s="9"/>
    </row>
    <row r="347" spans="1:29" ht="12.75" customHeight="1" x14ac:dyDescent="0.25">
      <c r="A347" s="9"/>
      <c r="B347" s="9"/>
      <c r="C347" s="9"/>
      <c r="D347" s="9"/>
      <c r="E347" s="9"/>
      <c r="F347" s="9"/>
      <c r="G347" s="9"/>
      <c r="H347" s="581"/>
      <c r="I347" s="581"/>
      <c r="J347" s="581"/>
      <c r="K347" s="581"/>
      <c r="L347" s="581"/>
      <c r="M347" s="581"/>
      <c r="N347" s="581"/>
      <c r="O347" s="581"/>
      <c r="P347" s="581"/>
      <c r="Q347" s="581"/>
      <c r="R347" s="581"/>
      <c r="S347" s="581"/>
      <c r="T347" s="581"/>
      <c r="U347" s="9"/>
      <c r="V347" s="9"/>
      <c r="W347" s="9"/>
      <c r="X347" s="9"/>
      <c r="Y347" s="9"/>
      <c r="Z347" s="9"/>
      <c r="AA347" s="9"/>
      <c r="AB347" s="9"/>
      <c r="AC347" s="9"/>
    </row>
    <row r="348" spans="1:29" ht="12.75" customHeight="1" x14ac:dyDescent="0.25">
      <c r="A348" s="9"/>
      <c r="B348" s="9"/>
      <c r="C348" s="9"/>
      <c r="D348" s="9"/>
      <c r="E348" s="9"/>
      <c r="F348" s="9"/>
      <c r="G348" s="9"/>
      <c r="H348" s="581"/>
      <c r="I348" s="581"/>
      <c r="J348" s="581"/>
      <c r="K348" s="581"/>
      <c r="L348" s="581"/>
      <c r="M348" s="581"/>
      <c r="N348" s="581"/>
      <c r="O348" s="581"/>
      <c r="P348" s="581"/>
      <c r="Q348" s="581"/>
      <c r="R348" s="581"/>
      <c r="S348" s="581"/>
      <c r="T348" s="581"/>
      <c r="U348" s="9"/>
      <c r="V348" s="9"/>
      <c r="W348" s="9"/>
      <c r="X348" s="9"/>
      <c r="Y348" s="9"/>
      <c r="Z348" s="9"/>
      <c r="AA348" s="9"/>
      <c r="AB348" s="9"/>
      <c r="AC348" s="9"/>
    </row>
    <row r="349" spans="1:29" ht="12.75" customHeight="1" x14ac:dyDescent="0.25">
      <c r="A349" s="9"/>
      <c r="B349" s="9"/>
      <c r="C349" s="9"/>
      <c r="D349" s="9"/>
      <c r="E349" s="9"/>
      <c r="F349" s="9"/>
      <c r="G349" s="9"/>
      <c r="H349" s="581"/>
      <c r="I349" s="581"/>
      <c r="J349" s="581"/>
      <c r="K349" s="581"/>
      <c r="L349" s="581"/>
      <c r="M349" s="581"/>
      <c r="N349" s="581"/>
      <c r="O349" s="581"/>
      <c r="P349" s="581"/>
      <c r="Q349" s="581"/>
      <c r="R349" s="581"/>
      <c r="S349" s="581"/>
      <c r="T349" s="581"/>
      <c r="U349" s="9"/>
      <c r="V349" s="9"/>
      <c r="W349" s="9"/>
      <c r="X349" s="9"/>
      <c r="Y349" s="9"/>
      <c r="Z349" s="9"/>
      <c r="AA349" s="9"/>
      <c r="AB349" s="9"/>
      <c r="AC349" s="9"/>
    </row>
    <row r="350" spans="1:29" ht="12.75" customHeight="1" x14ac:dyDescent="0.25">
      <c r="A350" s="9"/>
      <c r="B350" s="9"/>
      <c r="C350" s="9"/>
      <c r="D350" s="9"/>
      <c r="E350" s="9"/>
      <c r="F350" s="9"/>
      <c r="G350" s="9"/>
      <c r="H350" s="581"/>
      <c r="I350" s="581"/>
      <c r="J350" s="581"/>
      <c r="K350" s="581"/>
      <c r="L350" s="581"/>
      <c r="M350" s="581"/>
      <c r="N350" s="581"/>
      <c r="O350" s="581"/>
      <c r="P350" s="581"/>
      <c r="Q350" s="581"/>
      <c r="R350" s="581"/>
      <c r="S350" s="581"/>
      <c r="T350" s="581"/>
      <c r="U350" s="9"/>
      <c r="V350" s="9"/>
      <c r="W350" s="9"/>
      <c r="X350" s="9"/>
      <c r="Y350" s="9"/>
      <c r="Z350" s="9"/>
      <c r="AA350" s="9"/>
      <c r="AB350" s="9"/>
      <c r="AC350" s="9"/>
    </row>
    <row r="351" spans="1:29" ht="12.75" customHeight="1" x14ac:dyDescent="0.25">
      <c r="A351" s="9"/>
      <c r="B351" s="9"/>
      <c r="C351" s="9"/>
      <c r="D351" s="9"/>
      <c r="E351" s="9"/>
      <c r="F351" s="9"/>
      <c r="G351" s="9"/>
      <c r="H351" s="581"/>
      <c r="I351" s="581"/>
      <c r="J351" s="581"/>
      <c r="K351" s="581"/>
      <c r="L351" s="581"/>
      <c r="M351" s="581"/>
      <c r="N351" s="581"/>
      <c r="O351" s="581"/>
      <c r="P351" s="581"/>
      <c r="Q351" s="581"/>
      <c r="R351" s="581"/>
      <c r="S351" s="581"/>
      <c r="T351" s="581"/>
      <c r="U351" s="9"/>
      <c r="V351" s="9"/>
      <c r="W351" s="9"/>
      <c r="X351" s="9"/>
      <c r="Y351" s="9"/>
      <c r="Z351" s="9"/>
      <c r="AA351" s="9"/>
      <c r="AB351" s="9"/>
      <c r="AC351" s="9"/>
    </row>
    <row r="352" spans="1:29" ht="12.75" customHeight="1" x14ac:dyDescent="0.25">
      <c r="A352" s="9"/>
      <c r="B352" s="9"/>
      <c r="C352" s="9"/>
      <c r="D352" s="9"/>
      <c r="E352" s="9"/>
      <c r="F352" s="9"/>
      <c r="G352" s="9"/>
      <c r="H352" s="581"/>
      <c r="I352" s="581"/>
      <c r="J352" s="581"/>
      <c r="K352" s="581"/>
      <c r="L352" s="581"/>
      <c r="M352" s="581"/>
      <c r="N352" s="581"/>
      <c r="O352" s="581"/>
      <c r="P352" s="581"/>
      <c r="Q352" s="581"/>
      <c r="R352" s="581"/>
      <c r="S352" s="581"/>
      <c r="T352" s="581"/>
      <c r="U352" s="9"/>
      <c r="V352" s="9"/>
      <c r="W352" s="9"/>
      <c r="X352" s="9"/>
      <c r="Y352" s="9"/>
      <c r="Z352" s="9"/>
      <c r="AA352" s="9"/>
      <c r="AB352" s="9"/>
      <c r="AC352" s="9"/>
    </row>
    <row r="353" spans="1:29" ht="12.75" customHeight="1" x14ac:dyDescent="0.25">
      <c r="A353" s="9"/>
      <c r="B353" s="9"/>
      <c r="C353" s="9"/>
      <c r="D353" s="9"/>
      <c r="E353" s="9"/>
      <c r="F353" s="9"/>
      <c r="G353" s="9"/>
      <c r="H353" s="581"/>
      <c r="I353" s="581"/>
      <c r="J353" s="581"/>
      <c r="K353" s="581"/>
      <c r="L353" s="581"/>
      <c r="M353" s="581"/>
      <c r="N353" s="581"/>
      <c r="O353" s="581"/>
      <c r="P353" s="581"/>
      <c r="Q353" s="581"/>
      <c r="R353" s="581"/>
      <c r="S353" s="581"/>
      <c r="T353" s="581"/>
      <c r="U353" s="9"/>
      <c r="V353" s="9"/>
      <c r="W353" s="9"/>
      <c r="X353" s="9"/>
      <c r="Y353" s="9"/>
      <c r="Z353" s="9"/>
      <c r="AA353" s="9"/>
      <c r="AB353" s="9"/>
      <c r="AC353" s="9"/>
    </row>
    <row r="354" spans="1:29" ht="12.75" customHeight="1" x14ac:dyDescent="0.25">
      <c r="A354" s="9"/>
      <c r="B354" s="9"/>
      <c r="C354" s="9"/>
      <c r="D354" s="9"/>
      <c r="E354" s="9"/>
      <c r="F354" s="9"/>
      <c r="G354" s="9"/>
      <c r="H354" s="581"/>
      <c r="I354" s="581"/>
      <c r="J354" s="581"/>
      <c r="K354" s="581"/>
      <c r="L354" s="581"/>
      <c r="M354" s="581"/>
      <c r="N354" s="581"/>
      <c r="O354" s="581"/>
      <c r="P354" s="581"/>
      <c r="Q354" s="581"/>
      <c r="R354" s="581"/>
      <c r="S354" s="581"/>
      <c r="T354" s="581"/>
      <c r="U354" s="9"/>
      <c r="V354" s="9"/>
      <c r="W354" s="9"/>
      <c r="X354" s="9"/>
      <c r="Y354" s="9"/>
      <c r="Z354" s="9"/>
      <c r="AA354" s="9"/>
      <c r="AB354" s="9"/>
      <c r="AC354" s="9"/>
    </row>
    <row r="355" spans="1:29" ht="12.75" customHeight="1" x14ac:dyDescent="0.25">
      <c r="A355" s="9"/>
      <c r="B355" s="9"/>
      <c r="C355" s="9"/>
      <c r="D355" s="9"/>
      <c r="E355" s="9"/>
      <c r="F355" s="9"/>
      <c r="G355" s="9"/>
      <c r="H355" s="581"/>
      <c r="I355" s="581"/>
      <c r="J355" s="581"/>
      <c r="K355" s="581"/>
      <c r="L355" s="581"/>
      <c r="M355" s="581"/>
      <c r="N355" s="581"/>
      <c r="O355" s="581"/>
      <c r="P355" s="581"/>
      <c r="Q355" s="581"/>
      <c r="R355" s="581"/>
      <c r="S355" s="581"/>
      <c r="T355" s="581"/>
      <c r="U355" s="9"/>
      <c r="V355" s="9"/>
      <c r="W355" s="9"/>
      <c r="X355" s="9"/>
      <c r="Y355" s="9"/>
      <c r="Z355" s="9"/>
      <c r="AA355" s="9"/>
      <c r="AB355" s="9"/>
      <c r="AC355" s="9"/>
    </row>
    <row r="356" spans="1:29" ht="12.75" customHeight="1" x14ac:dyDescent="0.25">
      <c r="A356" s="9"/>
      <c r="B356" s="9"/>
      <c r="C356" s="9"/>
      <c r="D356" s="9"/>
      <c r="E356" s="9"/>
      <c r="F356" s="9"/>
      <c r="G356" s="9"/>
      <c r="H356" s="581"/>
      <c r="I356" s="581"/>
      <c r="J356" s="581"/>
      <c r="K356" s="581"/>
      <c r="L356" s="581"/>
      <c r="M356" s="581"/>
      <c r="N356" s="581"/>
      <c r="O356" s="581"/>
      <c r="P356" s="581"/>
      <c r="Q356" s="581"/>
      <c r="R356" s="581"/>
      <c r="S356" s="581"/>
      <c r="T356" s="581"/>
      <c r="U356" s="9"/>
      <c r="V356" s="9"/>
      <c r="W356" s="9"/>
      <c r="X356" s="9"/>
      <c r="Y356" s="9"/>
      <c r="Z356" s="9"/>
      <c r="AA356" s="9"/>
      <c r="AB356" s="9"/>
      <c r="AC356" s="9"/>
    </row>
    <row r="357" spans="1:29" ht="12.75" customHeight="1" x14ac:dyDescent="0.25">
      <c r="A357" s="9"/>
      <c r="B357" s="9"/>
      <c r="C357" s="9"/>
      <c r="D357" s="9"/>
      <c r="E357" s="9"/>
      <c r="F357" s="9"/>
      <c r="G357" s="9"/>
      <c r="H357" s="581"/>
      <c r="I357" s="581"/>
      <c r="J357" s="581"/>
      <c r="K357" s="581"/>
      <c r="L357" s="581"/>
      <c r="M357" s="581"/>
      <c r="N357" s="581"/>
      <c r="O357" s="581"/>
      <c r="P357" s="581"/>
      <c r="Q357" s="581"/>
      <c r="R357" s="581"/>
      <c r="S357" s="581"/>
      <c r="T357" s="581"/>
      <c r="U357" s="9"/>
      <c r="V357" s="9"/>
      <c r="W357" s="9"/>
      <c r="X357" s="9"/>
      <c r="Y357" s="9"/>
      <c r="Z357" s="9"/>
      <c r="AA357" s="9"/>
      <c r="AB357" s="9"/>
      <c r="AC357" s="9"/>
    </row>
    <row r="358" spans="1:29" ht="12.75" customHeight="1" x14ac:dyDescent="0.25">
      <c r="A358" s="9"/>
      <c r="B358" s="9"/>
      <c r="C358" s="9"/>
      <c r="D358" s="9"/>
      <c r="E358" s="9"/>
      <c r="F358" s="9"/>
      <c r="G358" s="9"/>
      <c r="H358" s="581"/>
      <c r="I358" s="581"/>
      <c r="J358" s="581"/>
      <c r="K358" s="581"/>
      <c r="L358" s="581"/>
      <c r="M358" s="581"/>
      <c r="N358" s="581"/>
      <c r="O358" s="581"/>
      <c r="P358" s="581"/>
      <c r="Q358" s="581"/>
      <c r="R358" s="581"/>
      <c r="S358" s="581"/>
      <c r="T358" s="581"/>
      <c r="U358" s="9"/>
      <c r="V358" s="9"/>
      <c r="W358" s="9"/>
      <c r="X358" s="9"/>
      <c r="Y358" s="9"/>
      <c r="Z358" s="9"/>
      <c r="AA358" s="9"/>
      <c r="AB358" s="9"/>
      <c r="AC358" s="9"/>
    </row>
    <row r="359" spans="1:29" ht="12.75" customHeight="1" x14ac:dyDescent="0.25">
      <c r="A359" s="9"/>
      <c r="B359" s="9"/>
      <c r="C359" s="9"/>
      <c r="D359" s="9"/>
      <c r="E359" s="9"/>
      <c r="F359" s="9"/>
      <c r="G359" s="9"/>
      <c r="H359" s="581"/>
      <c r="I359" s="581"/>
      <c r="J359" s="581"/>
      <c r="K359" s="581"/>
      <c r="L359" s="581"/>
      <c r="M359" s="581"/>
      <c r="N359" s="581"/>
      <c r="O359" s="581"/>
      <c r="P359" s="581"/>
      <c r="Q359" s="581"/>
      <c r="R359" s="581"/>
      <c r="S359" s="581"/>
      <c r="T359" s="581"/>
      <c r="U359" s="9"/>
      <c r="V359" s="9"/>
      <c r="W359" s="9"/>
      <c r="X359" s="9"/>
      <c r="Y359" s="9"/>
      <c r="Z359" s="9"/>
      <c r="AA359" s="9"/>
      <c r="AB359" s="9"/>
      <c r="AC359" s="9"/>
    </row>
    <row r="360" spans="1:29" ht="12.75" customHeight="1" x14ac:dyDescent="0.25">
      <c r="A360" s="9"/>
      <c r="B360" s="9"/>
      <c r="C360" s="9"/>
      <c r="D360" s="9"/>
      <c r="E360" s="9"/>
      <c r="F360" s="9"/>
      <c r="G360" s="9"/>
      <c r="H360" s="581"/>
      <c r="I360" s="581"/>
      <c r="J360" s="581"/>
      <c r="K360" s="581"/>
      <c r="L360" s="581"/>
      <c r="M360" s="581"/>
      <c r="N360" s="581"/>
      <c r="O360" s="581"/>
      <c r="P360" s="581"/>
      <c r="Q360" s="581"/>
      <c r="R360" s="581"/>
      <c r="S360" s="581"/>
      <c r="T360" s="581"/>
      <c r="U360" s="9"/>
      <c r="V360" s="9"/>
      <c r="W360" s="9"/>
      <c r="X360" s="9"/>
      <c r="Y360" s="9"/>
      <c r="Z360" s="9"/>
      <c r="AA360" s="9"/>
      <c r="AB360" s="9"/>
      <c r="AC360" s="9"/>
    </row>
    <row r="361" spans="1:29" ht="12.75" customHeight="1" x14ac:dyDescent="0.25">
      <c r="A361" s="9"/>
      <c r="B361" s="9"/>
      <c r="C361" s="9"/>
      <c r="D361" s="9"/>
      <c r="E361" s="9"/>
      <c r="F361" s="9"/>
      <c r="G361" s="9"/>
      <c r="H361" s="581"/>
      <c r="I361" s="581"/>
      <c r="J361" s="581"/>
      <c r="K361" s="581"/>
      <c r="L361" s="581"/>
      <c r="M361" s="581"/>
      <c r="N361" s="581"/>
      <c r="O361" s="581"/>
      <c r="P361" s="581"/>
      <c r="Q361" s="581"/>
      <c r="R361" s="581"/>
      <c r="S361" s="581"/>
      <c r="T361" s="581"/>
      <c r="U361" s="9"/>
      <c r="V361" s="9"/>
      <c r="W361" s="9"/>
      <c r="X361" s="9"/>
      <c r="Y361" s="9"/>
      <c r="Z361" s="9"/>
      <c r="AA361" s="9"/>
      <c r="AB361" s="9"/>
      <c r="AC361" s="9"/>
    </row>
    <row r="362" spans="1:29" ht="12.75" customHeight="1" x14ac:dyDescent="0.25">
      <c r="A362" s="9"/>
      <c r="B362" s="9"/>
      <c r="C362" s="9"/>
      <c r="D362" s="9"/>
      <c r="E362" s="9"/>
      <c r="F362" s="9"/>
      <c r="G362" s="9"/>
      <c r="H362" s="581"/>
      <c r="I362" s="581"/>
      <c r="J362" s="581"/>
      <c r="K362" s="581"/>
      <c r="L362" s="581"/>
      <c r="M362" s="581"/>
      <c r="N362" s="581"/>
      <c r="O362" s="581"/>
      <c r="P362" s="581"/>
      <c r="Q362" s="581"/>
      <c r="R362" s="581"/>
      <c r="S362" s="581"/>
      <c r="T362" s="581"/>
      <c r="U362" s="9"/>
      <c r="V362" s="9"/>
      <c r="W362" s="9"/>
      <c r="X362" s="9"/>
      <c r="Y362" s="9"/>
      <c r="Z362" s="9"/>
      <c r="AA362" s="9"/>
      <c r="AB362" s="9"/>
      <c r="AC362" s="9"/>
    </row>
    <row r="363" spans="1:29" ht="12.75" customHeight="1" x14ac:dyDescent="0.25">
      <c r="A363" s="9"/>
      <c r="B363" s="9"/>
      <c r="C363" s="9"/>
      <c r="D363" s="9"/>
      <c r="E363" s="9"/>
      <c r="F363" s="9"/>
      <c r="G363" s="9"/>
      <c r="H363" s="581"/>
      <c r="I363" s="581"/>
      <c r="J363" s="581"/>
      <c r="K363" s="581"/>
      <c r="L363" s="581"/>
      <c r="M363" s="581"/>
      <c r="N363" s="581"/>
      <c r="O363" s="581"/>
      <c r="P363" s="581"/>
      <c r="Q363" s="581"/>
      <c r="R363" s="581"/>
      <c r="S363" s="581"/>
      <c r="T363" s="581"/>
      <c r="U363" s="9"/>
      <c r="V363" s="9"/>
      <c r="W363" s="9"/>
      <c r="X363" s="9"/>
      <c r="Y363" s="9"/>
      <c r="Z363" s="9"/>
      <c r="AA363" s="9"/>
      <c r="AB363" s="9"/>
      <c r="AC363" s="9"/>
    </row>
    <row r="364" spans="1:29" ht="12.75" customHeight="1" x14ac:dyDescent="0.25">
      <c r="A364" s="9"/>
      <c r="B364" s="9"/>
      <c r="C364" s="9"/>
      <c r="D364" s="9"/>
      <c r="E364" s="9"/>
      <c r="F364" s="9"/>
      <c r="G364" s="9"/>
      <c r="H364" s="581"/>
      <c r="I364" s="581"/>
      <c r="J364" s="581"/>
      <c r="K364" s="581"/>
      <c r="L364" s="581"/>
      <c r="M364" s="581"/>
      <c r="N364" s="581"/>
      <c r="O364" s="581"/>
      <c r="P364" s="581"/>
      <c r="Q364" s="581"/>
      <c r="R364" s="581"/>
      <c r="S364" s="581"/>
      <c r="T364" s="581"/>
      <c r="U364" s="9"/>
      <c r="V364" s="9"/>
      <c r="W364" s="9"/>
      <c r="X364" s="9"/>
      <c r="Y364" s="9"/>
      <c r="Z364" s="9"/>
      <c r="AA364" s="9"/>
      <c r="AB364" s="9"/>
      <c r="AC364" s="9"/>
    </row>
    <row r="365" spans="1:29" ht="12.75" customHeight="1" x14ac:dyDescent="0.25">
      <c r="A365" s="9"/>
      <c r="B365" s="9"/>
      <c r="C365" s="9"/>
      <c r="D365" s="9"/>
      <c r="E365" s="9"/>
      <c r="F365" s="9"/>
      <c r="G365" s="9"/>
      <c r="H365" s="581"/>
      <c r="I365" s="581"/>
      <c r="J365" s="581"/>
      <c r="K365" s="581"/>
      <c r="L365" s="581"/>
      <c r="M365" s="581"/>
      <c r="N365" s="581"/>
      <c r="O365" s="581"/>
      <c r="P365" s="581"/>
      <c r="Q365" s="581"/>
      <c r="R365" s="581"/>
      <c r="S365" s="581"/>
      <c r="T365" s="581"/>
      <c r="U365" s="9"/>
      <c r="V365" s="9"/>
      <c r="W365" s="9"/>
      <c r="X365" s="9"/>
      <c r="Y365" s="9"/>
      <c r="Z365" s="9"/>
      <c r="AA365" s="9"/>
      <c r="AB365" s="9"/>
      <c r="AC365" s="9"/>
    </row>
    <row r="366" spans="1:29" ht="12.75" customHeight="1" x14ac:dyDescent="0.25">
      <c r="A366" s="9"/>
      <c r="B366" s="9"/>
      <c r="C366" s="9"/>
      <c r="D366" s="9"/>
      <c r="E366" s="9"/>
      <c r="F366" s="9"/>
      <c r="G366" s="9"/>
      <c r="H366" s="581"/>
      <c r="I366" s="581"/>
      <c r="J366" s="581"/>
      <c r="K366" s="581"/>
      <c r="L366" s="581"/>
      <c r="M366" s="581"/>
      <c r="N366" s="581"/>
      <c r="O366" s="581"/>
      <c r="P366" s="581"/>
      <c r="Q366" s="581"/>
      <c r="R366" s="581"/>
      <c r="S366" s="581"/>
      <c r="T366" s="581"/>
      <c r="U366" s="9"/>
      <c r="V366" s="9"/>
      <c r="W366" s="9"/>
      <c r="X366" s="9"/>
      <c r="Y366" s="9"/>
      <c r="Z366" s="9"/>
      <c r="AA366" s="9"/>
      <c r="AB366" s="9"/>
      <c r="AC366" s="9"/>
    </row>
    <row r="367" spans="1:29" ht="12.75" customHeight="1" x14ac:dyDescent="0.25">
      <c r="A367" s="9"/>
      <c r="B367" s="9"/>
      <c r="C367" s="9"/>
      <c r="D367" s="9"/>
      <c r="E367" s="9"/>
      <c r="F367" s="9"/>
      <c r="G367" s="9"/>
      <c r="H367" s="581"/>
      <c r="I367" s="581"/>
      <c r="J367" s="581"/>
      <c r="K367" s="581"/>
      <c r="L367" s="581"/>
      <c r="M367" s="581"/>
      <c r="N367" s="581"/>
      <c r="O367" s="581"/>
      <c r="P367" s="581"/>
      <c r="Q367" s="581"/>
      <c r="R367" s="581"/>
      <c r="S367" s="581"/>
      <c r="T367" s="581"/>
      <c r="U367" s="9"/>
      <c r="V367" s="9"/>
      <c r="W367" s="9"/>
      <c r="X367" s="9"/>
      <c r="Y367" s="9"/>
      <c r="Z367" s="9"/>
      <c r="AA367" s="9"/>
      <c r="AB367" s="9"/>
      <c r="AC367" s="9"/>
    </row>
    <row r="368" spans="1:29" ht="12.75" customHeight="1" x14ac:dyDescent="0.25">
      <c r="A368" s="9"/>
      <c r="B368" s="9"/>
      <c r="C368" s="9"/>
      <c r="D368" s="9"/>
      <c r="E368" s="9"/>
      <c r="F368" s="9"/>
      <c r="G368" s="9"/>
      <c r="H368" s="581"/>
      <c r="I368" s="581"/>
      <c r="J368" s="581"/>
      <c r="K368" s="581"/>
      <c r="L368" s="581"/>
      <c r="M368" s="581"/>
      <c r="N368" s="581"/>
      <c r="O368" s="581"/>
      <c r="P368" s="581"/>
      <c r="Q368" s="581"/>
      <c r="R368" s="581"/>
      <c r="S368" s="581"/>
      <c r="T368" s="581"/>
      <c r="U368" s="9"/>
      <c r="V368" s="9"/>
      <c r="W368" s="9"/>
      <c r="X368" s="9"/>
      <c r="Y368" s="9"/>
      <c r="Z368" s="9"/>
      <c r="AA368" s="9"/>
      <c r="AB368" s="9"/>
      <c r="AC368" s="9"/>
    </row>
    <row r="369" spans="1:29" ht="12.75" customHeight="1" x14ac:dyDescent="0.25">
      <c r="A369" s="9"/>
      <c r="B369" s="9"/>
      <c r="C369" s="9"/>
      <c r="D369" s="9"/>
      <c r="E369" s="9"/>
      <c r="F369" s="9"/>
      <c r="G369" s="9"/>
      <c r="H369" s="581"/>
      <c r="I369" s="581"/>
      <c r="J369" s="581"/>
      <c r="K369" s="581"/>
      <c r="L369" s="581"/>
      <c r="M369" s="581"/>
      <c r="N369" s="581"/>
      <c r="O369" s="581"/>
      <c r="P369" s="581"/>
      <c r="Q369" s="581"/>
      <c r="R369" s="581"/>
      <c r="S369" s="581"/>
      <c r="T369" s="581"/>
      <c r="U369" s="9"/>
      <c r="V369" s="9"/>
      <c r="W369" s="9"/>
      <c r="X369" s="9"/>
      <c r="Y369" s="9"/>
      <c r="Z369" s="9"/>
      <c r="AA369" s="9"/>
      <c r="AB369" s="9"/>
      <c r="AC369" s="9"/>
    </row>
    <row r="370" spans="1:29" ht="12.75" customHeight="1" x14ac:dyDescent="0.25">
      <c r="A370" s="9"/>
      <c r="B370" s="9"/>
      <c r="C370" s="9"/>
      <c r="D370" s="9"/>
      <c r="E370" s="9"/>
      <c r="F370" s="9"/>
      <c r="G370" s="9"/>
      <c r="H370" s="581"/>
      <c r="I370" s="581"/>
      <c r="J370" s="581"/>
      <c r="K370" s="581"/>
      <c r="L370" s="581"/>
      <c r="M370" s="581"/>
      <c r="N370" s="581"/>
      <c r="O370" s="581"/>
      <c r="P370" s="581"/>
      <c r="Q370" s="581"/>
      <c r="R370" s="581"/>
      <c r="S370" s="581"/>
      <c r="T370" s="581"/>
      <c r="U370" s="9"/>
      <c r="V370" s="9"/>
      <c r="W370" s="9"/>
      <c r="X370" s="9"/>
      <c r="Y370" s="9"/>
      <c r="Z370" s="9"/>
      <c r="AA370" s="9"/>
      <c r="AB370" s="9"/>
      <c r="AC370" s="9"/>
    </row>
    <row r="371" spans="1:29" ht="12.75" customHeight="1" x14ac:dyDescent="0.25">
      <c r="A371" s="9"/>
      <c r="B371" s="9"/>
      <c r="C371" s="9"/>
      <c r="D371" s="9"/>
      <c r="E371" s="9"/>
      <c r="F371" s="9"/>
      <c r="G371" s="9"/>
      <c r="H371" s="581"/>
      <c r="I371" s="581"/>
      <c r="J371" s="581"/>
      <c r="K371" s="581"/>
      <c r="L371" s="581"/>
      <c r="M371" s="581"/>
      <c r="N371" s="581"/>
      <c r="O371" s="581"/>
      <c r="P371" s="581"/>
      <c r="Q371" s="581"/>
      <c r="R371" s="581"/>
      <c r="S371" s="581"/>
      <c r="T371" s="581"/>
      <c r="U371" s="9"/>
      <c r="V371" s="9"/>
      <c r="W371" s="9"/>
      <c r="X371" s="9"/>
      <c r="Y371" s="9"/>
      <c r="Z371" s="9"/>
      <c r="AA371" s="9"/>
      <c r="AB371" s="9"/>
      <c r="AC371" s="9"/>
    </row>
    <row r="372" spans="1:29" ht="12.75" customHeight="1" x14ac:dyDescent="0.25">
      <c r="A372" s="9"/>
      <c r="B372" s="9"/>
      <c r="C372" s="9"/>
      <c r="D372" s="9"/>
      <c r="E372" s="9"/>
      <c r="F372" s="9"/>
      <c r="G372" s="9"/>
      <c r="H372" s="581"/>
      <c r="I372" s="581"/>
      <c r="J372" s="581"/>
      <c r="K372" s="581"/>
      <c r="L372" s="581"/>
      <c r="M372" s="581"/>
      <c r="N372" s="581"/>
      <c r="O372" s="581"/>
      <c r="P372" s="581"/>
      <c r="Q372" s="581"/>
      <c r="R372" s="581"/>
      <c r="S372" s="581"/>
      <c r="T372" s="581"/>
      <c r="U372" s="9"/>
      <c r="V372" s="9"/>
      <c r="W372" s="9"/>
      <c r="X372" s="9"/>
      <c r="Y372" s="9"/>
      <c r="Z372" s="9"/>
      <c r="AA372" s="9"/>
      <c r="AB372" s="9"/>
      <c r="AC372" s="9"/>
    </row>
    <row r="373" spans="1:29" ht="12.75" customHeight="1" x14ac:dyDescent="0.25">
      <c r="A373" s="9"/>
      <c r="B373" s="9"/>
      <c r="C373" s="9"/>
      <c r="D373" s="9"/>
      <c r="E373" s="9"/>
      <c r="F373" s="9"/>
      <c r="G373" s="9"/>
      <c r="H373" s="581"/>
      <c r="I373" s="581"/>
      <c r="J373" s="581"/>
      <c r="K373" s="581"/>
      <c r="L373" s="581"/>
      <c r="M373" s="581"/>
      <c r="N373" s="581"/>
      <c r="O373" s="581"/>
      <c r="P373" s="581"/>
      <c r="Q373" s="581"/>
      <c r="R373" s="581"/>
      <c r="S373" s="581"/>
      <c r="T373" s="581"/>
      <c r="U373" s="9"/>
      <c r="V373" s="9"/>
      <c r="W373" s="9"/>
      <c r="X373" s="9"/>
      <c r="Y373" s="9"/>
      <c r="Z373" s="9"/>
      <c r="AA373" s="9"/>
      <c r="AB373" s="9"/>
      <c r="AC373" s="9"/>
    </row>
    <row r="374" spans="1:29" ht="12.75" customHeight="1" x14ac:dyDescent="0.25">
      <c r="A374" s="9"/>
      <c r="B374" s="9"/>
      <c r="C374" s="9"/>
      <c r="D374" s="9"/>
      <c r="E374" s="9"/>
      <c r="F374" s="9"/>
      <c r="G374" s="9"/>
      <c r="H374" s="581"/>
      <c r="I374" s="581"/>
      <c r="J374" s="581"/>
      <c r="K374" s="581"/>
      <c r="L374" s="581"/>
      <c r="M374" s="581"/>
      <c r="N374" s="581"/>
      <c r="O374" s="581"/>
      <c r="P374" s="581"/>
      <c r="Q374" s="581"/>
      <c r="R374" s="581"/>
      <c r="S374" s="581"/>
      <c r="T374" s="581"/>
      <c r="U374" s="9"/>
      <c r="V374" s="9"/>
      <c r="W374" s="9"/>
      <c r="X374" s="9"/>
      <c r="Y374" s="9"/>
      <c r="Z374" s="9"/>
      <c r="AA374" s="9"/>
      <c r="AB374" s="9"/>
      <c r="AC374" s="9"/>
    </row>
    <row r="375" spans="1:29" ht="12.75" customHeight="1" x14ac:dyDescent="0.25">
      <c r="A375" s="9"/>
      <c r="B375" s="9"/>
      <c r="C375" s="9"/>
      <c r="D375" s="9"/>
      <c r="E375" s="9"/>
      <c r="F375" s="9"/>
      <c r="G375" s="9"/>
      <c r="H375" s="581"/>
      <c r="I375" s="581"/>
      <c r="J375" s="581"/>
      <c r="K375" s="581"/>
      <c r="L375" s="581"/>
      <c r="M375" s="581"/>
      <c r="N375" s="581"/>
      <c r="O375" s="581"/>
      <c r="P375" s="581"/>
      <c r="Q375" s="581"/>
      <c r="R375" s="581"/>
      <c r="S375" s="581"/>
      <c r="T375" s="581"/>
      <c r="U375" s="9"/>
      <c r="V375" s="9"/>
      <c r="W375" s="9"/>
      <c r="X375" s="9"/>
      <c r="Y375" s="9"/>
      <c r="Z375" s="9"/>
      <c r="AA375" s="9"/>
      <c r="AB375" s="9"/>
      <c r="AC375" s="9"/>
    </row>
    <row r="376" spans="1:29" ht="12.75" customHeight="1" x14ac:dyDescent="0.25">
      <c r="A376" s="9"/>
      <c r="B376" s="9"/>
      <c r="C376" s="9"/>
      <c r="D376" s="9"/>
      <c r="E376" s="9"/>
      <c r="F376" s="9"/>
      <c r="G376" s="9"/>
      <c r="H376" s="581"/>
      <c r="I376" s="581"/>
      <c r="J376" s="581"/>
      <c r="K376" s="581"/>
      <c r="L376" s="581"/>
      <c r="M376" s="581"/>
      <c r="N376" s="581"/>
      <c r="O376" s="581"/>
      <c r="P376" s="581"/>
      <c r="Q376" s="581"/>
      <c r="R376" s="581"/>
      <c r="S376" s="581"/>
      <c r="T376" s="581"/>
      <c r="U376" s="9"/>
      <c r="V376" s="9"/>
      <c r="W376" s="9"/>
      <c r="X376" s="9"/>
      <c r="Y376" s="9"/>
      <c r="Z376" s="9"/>
      <c r="AA376" s="9"/>
      <c r="AB376" s="9"/>
      <c r="AC376" s="9"/>
    </row>
    <row r="377" spans="1:29" ht="12.75" customHeight="1" x14ac:dyDescent="0.25">
      <c r="A377" s="9"/>
      <c r="B377" s="9"/>
      <c r="C377" s="9"/>
      <c r="D377" s="9"/>
      <c r="E377" s="9"/>
      <c r="F377" s="9"/>
      <c r="G377" s="9"/>
      <c r="H377" s="581"/>
      <c r="I377" s="581"/>
      <c r="J377" s="581"/>
      <c r="K377" s="581"/>
      <c r="L377" s="581"/>
      <c r="M377" s="581"/>
      <c r="N377" s="581"/>
      <c r="O377" s="581"/>
      <c r="P377" s="581"/>
      <c r="Q377" s="581"/>
      <c r="R377" s="581"/>
      <c r="S377" s="581"/>
      <c r="T377" s="581"/>
      <c r="U377" s="9"/>
      <c r="V377" s="9"/>
      <c r="W377" s="9"/>
      <c r="X377" s="9"/>
      <c r="Y377" s="9"/>
      <c r="Z377" s="9"/>
      <c r="AA377" s="9"/>
      <c r="AB377" s="9"/>
      <c r="AC377" s="9"/>
    </row>
    <row r="378" spans="1:29" ht="12.75" customHeight="1" x14ac:dyDescent="0.25">
      <c r="A378" s="9"/>
      <c r="B378" s="9"/>
      <c r="C378" s="9"/>
      <c r="D378" s="9"/>
      <c r="E378" s="9"/>
      <c r="F378" s="9"/>
      <c r="G378" s="9"/>
      <c r="H378" s="581"/>
      <c r="I378" s="581"/>
      <c r="J378" s="581"/>
      <c r="K378" s="581"/>
      <c r="L378" s="581"/>
      <c r="M378" s="581"/>
      <c r="N378" s="581"/>
      <c r="O378" s="581"/>
      <c r="P378" s="581"/>
      <c r="Q378" s="581"/>
      <c r="R378" s="581"/>
      <c r="S378" s="581"/>
      <c r="T378" s="581"/>
      <c r="U378" s="9"/>
      <c r="V378" s="9"/>
      <c r="W378" s="9"/>
      <c r="X378" s="9"/>
      <c r="Y378" s="9"/>
      <c r="Z378" s="9"/>
      <c r="AA378" s="9"/>
      <c r="AB378" s="9"/>
      <c r="AC378" s="9"/>
    </row>
    <row r="379" spans="1:29" ht="12.75" customHeight="1" x14ac:dyDescent="0.25">
      <c r="A379" s="9"/>
      <c r="B379" s="9"/>
      <c r="C379" s="9"/>
      <c r="D379" s="9"/>
      <c r="E379" s="9"/>
      <c r="F379" s="9"/>
      <c r="G379" s="9"/>
      <c r="H379" s="581"/>
      <c r="I379" s="581"/>
      <c r="J379" s="581"/>
      <c r="K379" s="581"/>
      <c r="L379" s="581"/>
      <c r="M379" s="581"/>
      <c r="N379" s="581"/>
      <c r="O379" s="581"/>
      <c r="P379" s="581"/>
      <c r="Q379" s="581"/>
      <c r="R379" s="581"/>
      <c r="S379" s="581"/>
      <c r="T379" s="581"/>
      <c r="U379" s="9"/>
      <c r="V379" s="9"/>
      <c r="W379" s="9"/>
      <c r="X379" s="9"/>
      <c r="Y379" s="9"/>
      <c r="Z379" s="9"/>
      <c r="AA379" s="9"/>
      <c r="AB379" s="9"/>
      <c r="AC379" s="9"/>
    </row>
    <row r="380" spans="1:29" ht="12.75" customHeight="1" x14ac:dyDescent="0.25">
      <c r="A380" s="9"/>
      <c r="B380" s="9"/>
      <c r="C380" s="9"/>
      <c r="D380" s="9"/>
      <c r="E380" s="9"/>
      <c r="F380" s="9"/>
      <c r="G380" s="9"/>
      <c r="H380" s="581"/>
      <c r="I380" s="581"/>
      <c r="J380" s="581"/>
      <c r="K380" s="581"/>
      <c r="L380" s="581"/>
      <c r="M380" s="581"/>
      <c r="N380" s="581"/>
      <c r="O380" s="581"/>
      <c r="P380" s="581"/>
      <c r="Q380" s="581"/>
      <c r="R380" s="581"/>
      <c r="S380" s="581"/>
      <c r="T380" s="581"/>
      <c r="U380" s="9"/>
      <c r="V380" s="9"/>
      <c r="W380" s="9"/>
      <c r="X380" s="9"/>
      <c r="Y380" s="9"/>
      <c r="Z380" s="9"/>
      <c r="AA380" s="9"/>
      <c r="AB380" s="9"/>
      <c r="AC380" s="9"/>
    </row>
    <row r="381" spans="1:29" ht="12.75" customHeight="1" x14ac:dyDescent="0.25">
      <c r="A381" s="9"/>
      <c r="B381" s="9"/>
      <c r="C381" s="9"/>
      <c r="D381" s="9"/>
      <c r="E381" s="9"/>
      <c r="F381" s="9"/>
      <c r="G381" s="9"/>
      <c r="H381" s="581"/>
      <c r="I381" s="581"/>
      <c r="J381" s="581"/>
      <c r="K381" s="581"/>
      <c r="L381" s="581"/>
      <c r="M381" s="581"/>
      <c r="N381" s="581"/>
      <c r="O381" s="581"/>
      <c r="P381" s="581"/>
      <c r="Q381" s="581"/>
      <c r="R381" s="581"/>
      <c r="S381" s="581"/>
      <c r="T381" s="581"/>
      <c r="U381" s="9"/>
      <c r="V381" s="9"/>
      <c r="W381" s="9"/>
      <c r="X381" s="9"/>
      <c r="Y381" s="9"/>
      <c r="Z381" s="9"/>
      <c r="AA381" s="9"/>
      <c r="AB381" s="9"/>
      <c r="AC381" s="9"/>
    </row>
    <row r="382" spans="1:29" ht="12.75" customHeight="1" x14ac:dyDescent="0.25">
      <c r="A382" s="9"/>
      <c r="B382" s="9"/>
      <c r="C382" s="9"/>
      <c r="D382" s="9"/>
      <c r="E382" s="9"/>
      <c r="F382" s="9"/>
      <c r="G382" s="9"/>
      <c r="H382" s="581"/>
      <c r="I382" s="581"/>
      <c r="J382" s="581"/>
      <c r="K382" s="581"/>
      <c r="L382" s="581"/>
      <c r="M382" s="581"/>
      <c r="N382" s="581"/>
      <c r="O382" s="581"/>
      <c r="P382" s="581"/>
      <c r="Q382" s="581"/>
      <c r="R382" s="581"/>
      <c r="S382" s="581"/>
      <c r="T382" s="581"/>
      <c r="U382" s="9"/>
      <c r="V382" s="9"/>
      <c r="W382" s="9"/>
      <c r="X382" s="9"/>
      <c r="Y382" s="9"/>
      <c r="Z382" s="9"/>
      <c r="AA382" s="9"/>
      <c r="AB382" s="9"/>
      <c r="AC382" s="9"/>
    </row>
    <row r="383" spans="1:29" ht="12.75" customHeight="1" x14ac:dyDescent="0.25">
      <c r="A383" s="9"/>
      <c r="B383" s="9"/>
      <c r="C383" s="9"/>
      <c r="D383" s="9"/>
      <c r="E383" s="9"/>
      <c r="F383" s="9"/>
      <c r="G383" s="9"/>
      <c r="H383" s="581"/>
      <c r="I383" s="581"/>
      <c r="J383" s="581"/>
      <c r="K383" s="581"/>
      <c r="L383" s="581"/>
      <c r="M383" s="581"/>
      <c r="N383" s="581"/>
      <c r="O383" s="581"/>
      <c r="P383" s="581"/>
      <c r="Q383" s="581"/>
      <c r="R383" s="581"/>
      <c r="S383" s="581"/>
      <c r="T383" s="581"/>
      <c r="U383" s="9"/>
      <c r="V383" s="9"/>
      <c r="W383" s="9"/>
      <c r="X383" s="9"/>
      <c r="Y383" s="9"/>
      <c r="Z383" s="9"/>
      <c r="AA383" s="9"/>
      <c r="AB383" s="9"/>
      <c r="AC383" s="9"/>
    </row>
    <row r="384" spans="1:29" ht="12.75" customHeight="1" x14ac:dyDescent="0.25">
      <c r="A384" s="9"/>
      <c r="B384" s="9"/>
      <c r="C384" s="9"/>
      <c r="D384" s="9"/>
      <c r="E384" s="9"/>
      <c r="F384" s="9"/>
      <c r="G384" s="9"/>
      <c r="H384" s="581"/>
      <c r="I384" s="581"/>
      <c r="J384" s="581"/>
      <c r="K384" s="581"/>
      <c r="L384" s="581"/>
      <c r="M384" s="581"/>
      <c r="N384" s="581"/>
      <c r="O384" s="581"/>
      <c r="P384" s="581"/>
      <c r="Q384" s="581"/>
      <c r="R384" s="581"/>
      <c r="S384" s="581"/>
      <c r="T384" s="581"/>
      <c r="U384" s="9"/>
      <c r="V384" s="9"/>
      <c r="W384" s="9"/>
      <c r="X384" s="9"/>
      <c r="Y384" s="9"/>
      <c r="Z384" s="9"/>
      <c r="AA384" s="9"/>
      <c r="AB384" s="9"/>
      <c r="AC384" s="9"/>
    </row>
    <row r="385" spans="1:29" ht="12.75" customHeight="1" x14ac:dyDescent="0.25">
      <c r="A385" s="9"/>
      <c r="B385" s="9"/>
      <c r="C385" s="9"/>
      <c r="D385" s="9"/>
      <c r="E385" s="9"/>
      <c r="F385" s="9"/>
      <c r="G385" s="9"/>
      <c r="H385" s="581"/>
      <c r="I385" s="581"/>
      <c r="J385" s="581"/>
      <c r="K385" s="581"/>
      <c r="L385" s="581"/>
      <c r="M385" s="581"/>
      <c r="N385" s="581"/>
      <c r="O385" s="581"/>
      <c r="P385" s="581"/>
      <c r="Q385" s="581"/>
      <c r="R385" s="581"/>
      <c r="S385" s="581"/>
      <c r="T385" s="581"/>
      <c r="U385" s="9"/>
      <c r="V385" s="9"/>
      <c r="W385" s="9"/>
      <c r="X385" s="9"/>
      <c r="Y385" s="9"/>
      <c r="Z385" s="9"/>
      <c r="AA385" s="9"/>
      <c r="AB385" s="9"/>
      <c r="AC385" s="9"/>
    </row>
    <row r="386" spans="1:29" ht="12.75" customHeight="1" x14ac:dyDescent="0.25">
      <c r="A386" s="9"/>
      <c r="B386" s="9"/>
      <c r="C386" s="9"/>
      <c r="D386" s="9"/>
      <c r="E386" s="9"/>
      <c r="F386" s="9"/>
      <c r="G386" s="9"/>
      <c r="H386" s="581"/>
      <c r="I386" s="581"/>
      <c r="J386" s="581"/>
      <c r="K386" s="581"/>
      <c r="L386" s="581"/>
      <c r="M386" s="581"/>
      <c r="N386" s="581"/>
      <c r="O386" s="581"/>
      <c r="P386" s="581"/>
      <c r="Q386" s="581"/>
      <c r="R386" s="581"/>
      <c r="S386" s="581"/>
      <c r="T386" s="581"/>
      <c r="U386" s="9"/>
      <c r="V386" s="9"/>
      <c r="W386" s="9"/>
      <c r="X386" s="9"/>
      <c r="Y386" s="9"/>
      <c r="Z386" s="9"/>
      <c r="AA386" s="9"/>
      <c r="AB386" s="9"/>
      <c r="AC386" s="9"/>
    </row>
    <row r="387" spans="1:29" ht="12.75" customHeight="1" x14ac:dyDescent="0.25">
      <c r="A387" s="9"/>
      <c r="B387" s="9"/>
      <c r="C387" s="9"/>
      <c r="D387" s="9"/>
      <c r="E387" s="9"/>
      <c r="F387" s="9"/>
      <c r="G387" s="9"/>
      <c r="H387" s="581"/>
      <c r="I387" s="581"/>
      <c r="J387" s="581"/>
      <c r="K387" s="581"/>
      <c r="L387" s="581"/>
      <c r="M387" s="581"/>
      <c r="N387" s="581"/>
      <c r="O387" s="581"/>
      <c r="P387" s="581"/>
      <c r="Q387" s="581"/>
      <c r="R387" s="581"/>
      <c r="S387" s="581"/>
      <c r="T387" s="581"/>
      <c r="U387" s="9"/>
      <c r="V387" s="9"/>
      <c r="W387" s="9"/>
      <c r="X387" s="9"/>
      <c r="Y387" s="9"/>
      <c r="Z387" s="9"/>
      <c r="AA387" s="9"/>
      <c r="AB387" s="9"/>
      <c r="AC387" s="9"/>
    </row>
    <row r="388" spans="1:29" ht="12.75" customHeight="1" x14ac:dyDescent="0.25">
      <c r="A388" s="9"/>
      <c r="B388" s="9"/>
      <c r="C388" s="9"/>
      <c r="D388" s="9"/>
      <c r="E388" s="9"/>
      <c r="F388" s="9"/>
      <c r="G388" s="9"/>
      <c r="H388" s="581"/>
      <c r="I388" s="581"/>
      <c r="J388" s="581"/>
      <c r="K388" s="581"/>
      <c r="L388" s="581"/>
      <c r="M388" s="581"/>
      <c r="N388" s="581"/>
      <c r="O388" s="581"/>
      <c r="P388" s="581"/>
      <c r="Q388" s="581"/>
      <c r="R388" s="581"/>
      <c r="S388" s="581"/>
      <c r="T388" s="581"/>
      <c r="U388" s="9"/>
      <c r="V388" s="9"/>
      <c r="W388" s="9"/>
      <c r="X388" s="9"/>
      <c r="Y388" s="9"/>
      <c r="Z388" s="9"/>
      <c r="AA388" s="9"/>
      <c r="AB388" s="9"/>
      <c r="AC388" s="9"/>
    </row>
    <row r="389" spans="1:29" ht="12.75" customHeight="1" x14ac:dyDescent="0.25">
      <c r="A389" s="9"/>
      <c r="B389" s="9"/>
      <c r="C389" s="9"/>
      <c r="D389" s="9"/>
      <c r="E389" s="9"/>
      <c r="F389" s="9"/>
      <c r="G389" s="9"/>
      <c r="H389" s="581"/>
      <c r="I389" s="581"/>
      <c r="J389" s="581"/>
      <c r="K389" s="581"/>
      <c r="L389" s="581"/>
      <c r="M389" s="581"/>
      <c r="N389" s="581"/>
      <c r="O389" s="581"/>
      <c r="P389" s="581"/>
      <c r="Q389" s="581"/>
      <c r="R389" s="581"/>
      <c r="S389" s="581"/>
      <c r="T389" s="581"/>
      <c r="U389" s="9"/>
      <c r="V389" s="9"/>
      <c r="W389" s="9"/>
      <c r="X389" s="9"/>
      <c r="Y389" s="9"/>
      <c r="Z389" s="9"/>
      <c r="AA389" s="9"/>
      <c r="AB389" s="9"/>
      <c r="AC389" s="9"/>
    </row>
    <row r="390" spans="1:29" ht="12.75" customHeight="1" x14ac:dyDescent="0.25">
      <c r="A390" s="9"/>
      <c r="B390" s="9"/>
      <c r="C390" s="9"/>
      <c r="D390" s="9"/>
      <c r="E390" s="9"/>
      <c r="F390" s="9"/>
      <c r="G390" s="9"/>
      <c r="H390" s="581"/>
      <c r="I390" s="581"/>
      <c r="J390" s="581"/>
      <c r="K390" s="581"/>
      <c r="L390" s="581"/>
      <c r="M390" s="581"/>
      <c r="N390" s="581"/>
      <c r="O390" s="581"/>
      <c r="P390" s="581"/>
      <c r="Q390" s="581"/>
      <c r="R390" s="581"/>
      <c r="S390" s="581"/>
      <c r="T390" s="581"/>
      <c r="U390" s="9"/>
      <c r="V390" s="9"/>
      <c r="W390" s="9"/>
      <c r="X390" s="9"/>
      <c r="Y390" s="9"/>
      <c r="Z390" s="9"/>
      <c r="AA390" s="9"/>
      <c r="AB390" s="9"/>
      <c r="AC390" s="9"/>
    </row>
    <row r="391" spans="1:29" ht="12.75" customHeight="1" x14ac:dyDescent="0.25">
      <c r="A391" s="9"/>
      <c r="B391" s="9"/>
      <c r="C391" s="9"/>
      <c r="D391" s="9"/>
      <c r="E391" s="9"/>
      <c r="F391" s="9"/>
      <c r="G391" s="9"/>
      <c r="H391" s="581"/>
      <c r="I391" s="581"/>
      <c r="J391" s="581"/>
      <c r="K391" s="581"/>
      <c r="L391" s="581"/>
      <c r="M391" s="581"/>
      <c r="N391" s="581"/>
      <c r="O391" s="581"/>
      <c r="P391" s="581"/>
      <c r="Q391" s="581"/>
      <c r="R391" s="581"/>
      <c r="S391" s="581"/>
      <c r="T391" s="581"/>
      <c r="U391" s="9"/>
      <c r="V391" s="9"/>
      <c r="W391" s="9"/>
      <c r="X391" s="9"/>
      <c r="Y391" s="9"/>
      <c r="Z391" s="9"/>
      <c r="AA391" s="9"/>
      <c r="AB391" s="9"/>
      <c r="AC391" s="9"/>
    </row>
    <row r="392" spans="1:29" ht="12.75" customHeight="1" x14ac:dyDescent="0.25">
      <c r="A392" s="9"/>
      <c r="B392" s="9"/>
      <c r="C392" s="9"/>
      <c r="D392" s="9"/>
      <c r="E392" s="9"/>
      <c r="F392" s="9"/>
      <c r="G392" s="9"/>
      <c r="H392" s="581"/>
      <c r="I392" s="581"/>
      <c r="J392" s="581"/>
      <c r="K392" s="581"/>
      <c r="L392" s="581"/>
      <c r="M392" s="581"/>
      <c r="N392" s="581"/>
      <c r="O392" s="581"/>
      <c r="P392" s="581"/>
      <c r="Q392" s="581"/>
      <c r="R392" s="581"/>
      <c r="S392" s="581"/>
      <c r="T392" s="581"/>
      <c r="U392" s="9"/>
      <c r="V392" s="9"/>
      <c r="W392" s="9"/>
      <c r="X392" s="9"/>
      <c r="Y392" s="9"/>
      <c r="Z392" s="9"/>
      <c r="AA392" s="9"/>
      <c r="AB392" s="9"/>
      <c r="AC392" s="9"/>
    </row>
    <row r="393" spans="1:29" ht="12.75" customHeight="1" x14ac:dyDescent="0.25">
      <c r="A393" s="9"/>
      <c r="B393" s="9"/>
      <c r="C393" s="9"/>
      <c r="D393" s="9"/>
      <c r="E393" s="9"/>
      <c r="F393" s="9"/>
      <c r="G393" s="9"/>
      <c r="H393" s="581"/>
      <c r="I393" s="581"/>
      <c r="J393" s="581"/>
      <c r="K393" s="581"/>
      <c r="L393" s="581"/>
      <c r="M393" s="581"/>
      <c r="N393" s="581"/>
      <c r="O393" s="581"/>
      <c r="P393" s="581"/>
      <c r="Q393" s="581"/>
      <c r="R393" s="581"/>
      <c r="S393" s="581"/>
      <c r="T393" s="581"/>
      <c r="U393" s="9"/>
      <c r="V393" s="9"/>
      <c r="W393" s="9"/>
      <c r="X393" s="9"/>
      <c r="Y393" s="9"/>
      <c r="Z393" s="9"/>
      <c r="AA393" s="9"/>
      <c r="AB393" s="9"/>
      <c r="AC393" s="9"/>
    </row>
    <row r="394" spans="1:29" ht="12.75" customHeight="1" x14ac:dyDescent="0.25">
      <c r="A394" s="9"/>
      <c r="B394" s="9"/>
      <c r="C394" s="9"/>
      <c r="D394" s="9"/>
      <c r="E394" s="9"/>
      <c r="F394" s="9"/>
      <c r="G394" s="9"/>
      <c r="H394" s="581"/>
      <c r="I394" s="581"/>
      <c r="J394" s="581"/>
      <c r="K394" s="581"/>
      <c r="L394" s="581"/>
      <c r="M394" s="581"/>
      <c r="N394" s="581"/>
      <c r="O394" s="581"/>
      <c r="P394" s="581"/>
      <c r="Q394" s="581"/>
      <c r="R394" s="581"/>
      <c r="S394" s="581"/>
      <c r="T394" s="581"/>
      <c r="U394" s="9"/>
      <c r="V394" s="9"/>
      <c r="W394" s="9"/>
      <c r="X394" s="9"/>
      <c r="Y394" s="9"/>
      <c r="Z394" s="9"/>
      <c r="AA394" s="9"/>
      <c r="AB394" s="9"/>
      <c r="AC394" s="9"/>
    </row>
    <row r="395" spans="1:29" ht="12.75" customHeight="1" x14ac:dyDescent="0.25">
      <c r="A395" s="9"/>
      <c r="B395" s="9"/>
      <c r="C395" s="9"/>
      <c r="D395" s="9"/>
      <c r="E395" s="9"/>
      <c r="F395" s="9"/>
      <c r="G395" s="9"/>
      <c r="H395" s="581"/>
      <c r="I395" s="581"/>
      <c r="J395" s="581"/>
      <c r="K395" s="581"/>
      <c r="L395" s="581"/>
      <c r="M395" s="581"/>
      <c r="N395" s="581"/>
      <c r="O395" s="581"/>
      <c r="P395" s="581"/>
      <c r="Q395" s="581"/>
      <c r="R395" s="581"/>
      <c r="S395" s="581"/>
      <c r="T395" s="581"/>
      <c r="U395" s="9"/>
      <c r="V395" s="9"/>
      <c r="W395" s="9"/>
      <c r="X395" s="9"/>
      <c r="Y395" s="9"/>
      <c r="Z395" s="9"/>
      <c r="AA395" s="9"/>
      <c r="AB395" s="9"/>
      <c r="AC395" s="9"/>
    </row>
    <row r="396" spans="1:29" ht="12.75" customHeight="1" x14ac:dyDescent="0.25">
      <c r="A396" s="9"/>
      <c r="B396" s="9"/>
      <c r="C396" s="9"/>
      <c r="D396" s="9"/>
      <c r="E396" s="9"/>
      <c r="F396" s="9"/>
      <c r="G396" s="9"/>
      <c r="H396" s="581"/>
      <c r="I396" s="581"/>
      <c r="J396" s="581"/>
      <c r="K396" s="581"/>
      <c r="L396" s="581"/>
      <c r="M396" s="581"/>
      <c r="N396" s="581"/>
      <c r="O396" s="581"/>
      <c r="P396" s="581"/>
      <c r="Q396" s="581"/>
      <c r="R396" s="581"/>
      <c r="S396" s="581"/>
      <c r="T396" s="581"/>
      <c r="U396" s="9"/>
      <c r="V396" s="9"/>
      <c r="W396" s="9"/>
      <c r="X396" s="9"/>
      <c r="Y396" s="9"/>
      <c r="Z396" s="9"/>
      <c r="AA396" s="9"/>
      <c r="AB396" s="9"/>
      <c r="AC396" s="9"/>
    </row>
    <row r="397" spans="1:29" ht="12.75" customHeight="1" x14ac:dyDescent="0.25">
      <c r="A397" s="9"/>
      <c r="B397" s="9"/>
      <c r="C397" s="9"/>
      <c r="D397" s="9"/>
      <c r="E397" s="9"/>
      <c r="F397" s="9"/>
      <c r="G397" s="9"/>
      <c r="H397" s="581"/>
      <c r="I397" s="581"/>
      <c r="J397" s="581"/>
      <c r="K397" s="581"/>
      <c r="L397" s="581"/>
      <c r="M397" s="581"/>
      <c r="N397" s="581"/>
      <c r="O397" s="581"/>
      <c r="P397" s="581"/>
      <c r="Q397" s="581"/>
      <c r="R397" s="581"/>
      <c r="S397" s="581"/>
      <c r="T397" s="581"/>
      <c r="U397" s="9"/>
      <c r="V397" s="9"/>
      <c r="W397" s="9"/>
      <c r="X397" s="9"/>
      <c r="Y397" s="9"/>
      <c r="Z397" s="9"/>
      <c r="AA397" s="9"/>
      <c r="AB397" s="9"/>
      <c r="AC397" s="9"/>
    </row>
    <row r="398" spans="1:29" ht="12.75" customHeight="1" x14ac:dyDescent="0.25">
      <c r="A398" s="9"/>
      <c r="B398" s="9"/>
      <c r="C398" s="9"/>
      <c r="D398" s="9"/>
      <c r="E398" s="9"/>
      <c r="F398" s="9"/>
      <c r="G398" s="9"/>
      <c r="H398" s="581"/>
      <c r="I398" s="581"/>
      <c r="J398" s="581"/>
      <c r="K398" s="581"/>
      <c r="L398" s="581"/>
      <c r="M398" s="581"/>
      <c r="N398" s="581"/>
      <c r="O398" s="581"/>
      <c r="P398" s="581"/>
      <c r="Q398" s="581"/>
      <c r="R398" s="581"/>
      <c r="S398" s="581"/>
      <c r="T398" s="581"/>
      <c r="U398" s="9"/>
      <c r="V398" s="9"/>
      <c r="W398" s="9"/>
      <c r="X398" s="9"/>
      <c r="Y398" s="9"/>
      <c r="Z398" s="9"/>
      <c r="AA398" s="9"/>
      <c r="AB398" s="9"/>
      <c r="AC398" s="9"/>
    </row>
    <row r="399" spans="1:29" ht="12.75" customHeight="1" x14ac:dyDescent="0.25">
      <c r="A399" s="9"/>
      <c r="B399" s="9"/>
      <c r="C399" s="9"/>
      <c r="D399" s="9"/>
      <c r="E399" s="9"/>
      <c r="F399" s="9"/>
      <c r="G399" s="9"/>
      <c r="H399" s="581"/>
      <c r="I399" s="581"/>
      <c r="J399" s="581"/>
      <c r="K399" s="581"/>
      <c r="L399" s="581"/>
      <c r="M399" s="581"/>
      <c r="N399" s="581"/>
      <c r="O399" s="581"/>
      <c r="P399" s="581"/>
      <c r="Q399" s="581"/>
      <c r="R399" s="581"/>
      <c r="S399" s="581"/>
      <c r="T399" s="581"/>
      <c r="U399" s="9"/>
      <c r="V399" s="9"/>
      <c r="W399" s="9"/>
      <c r="X399" s="9"/>
      <c r="Y399" s="9"/>
      <c r="Z399" s="9"/>
      <c r="AA399" s="9"/>
      <c r="AB399" s="9"/>
      <c r="AC399" s="9"/>
    </row>
    <row r="400" spans="1:29" ht="12.75" customHeight="1" x14ac:dyDescent="0.25">
      <c r="A400" s="9"/>
      <c r="B400" s="9"/>
      <c r="C400" s="9"/>
      <c r="D400" s="9"/>
      <c r="E400" s="9"/>
      <c r="F400" s="9"/>
      <c r="G400" s="9"/>
      <c r="H400" s="581"/>
      <c r="I400" s="581"/>
      <c r="J400" s="581"/>
      <c r="K400" s="581"/>
      <c r="L400" s="581"/>
      <c r="M400" s="581"/>
      <c r="N400" s="581"/>
      <c r="O400" s="581"/>
      <c r="P400" s="581"/>
      <c r="Q400" s="581"/>
      <c r="R400" s="581"/>
      <c r="S400" s="581"/>
      <c r="T400" s="581"/>
      <c r="U400" s="9"/>
      <c r="V400" s="9"/>
      <c r="W400" s="9"/>
      <c r="X400" s="9"/>
      <c r="Y400" s="9"/>
      <c r="Z400" s="9"/>
      <c r="AA400" s="9"/>
      <c r="AB400" s="9"/>
      <c r="AC400" s="9"/>
    </row>
    <row r="401" spans="1:29" ht="12.75" customHeight="1" x14ac:dyDescent="0.25">
      <c r="A401" s="9"/>
      <c r="B401" s="9"/>
      <c r="C401" s="9"/>
      <c r="D401" s="9"/>
      <c r="E401" s="9"/>
      <c r="F401" s="9"/>
      <c r="G401" s="9"/>
      <c r="H401" s="581"/>
      <c r="I401" s="581"/>
      <c r="J401" s="581"/>
      <c r="K401" s="581"/>
      <c r="L401" s="581"/>
      <c r="M401" s="581"/>
      <c r="N401" s="581"/>
      <c r="O401" s="581"/>
      <c r="P401" s="581"/>
      <c r="Q401" s="581"/>
      <c r="R401" s="581"/>
      <c r="S401" s="581"/>
      <c r="T401" s="581"/>
      <c r="U401" s="9"/>
      <c r="V401" s="9"/>
      <c r="W401" s="9"/>
      <c r="X401" s="9"/>
      <c r="Y401" s="9"/>
      <c r="Z401" s="9"/>
      <c r="AA401" s="9"/>
      <c r="AB401" s="9"/>
      <c r="AC401" s="9"/>
    </row>
    <row r="402" spans="1:29" ht="12.75" customHeight="1" x14ac:dyDescent="0.25">
      <c r="A402" s="9"/>
      <c r="B402" s="9"/>
      <c r="C402" s="9"/>
      <c r="D402" s="9"/>
      <c r="E402" s="9"/>
      <c r="F402" s="9"/>
      <c r="G402" s="9"/>
      <c r="H402" s="581"/>
      <c r="I402" s="581"/>
      <c r="J402" s="581"/>
      <c r="K402" s="581"/>
      <c r="L402" s="581"/>
      <c r="M402" s="581"/>
      <c r="N402" s="581"/>
      <c r="O402" s="581"/>
      <c r="P402" s="581"/>
      <c r="Q402" s="581"/>
      <c r="R402" s="581"/>
      <c r="S402" s="581"/>
      <c r="T402" s="581"/>
      <c r="U402" s="9"/>
      <c r="V402" s="9"/>
      <c r="W402" s="9"/>
      <c r="X402" s="9"/>
      <c r="Y402" s="9"/>
      <c r="Z402" s="9"/>
      <c r="AA402" s="9"/>
      <c r="AB402" s="9"/>
      <c r="AC402" s="9"/>
    </row>
    <row r="403" spans="1:29" ht="12.75" customHeight="1" x14ac:dyDescent="0.25">
      <c r="A403" s="9"/>
      <c r="B403" s="9"/>
      <c r="C403" s="9"/>
      <c r="D403" s="9"/>
      <c r="E403" s="9"/>
      <c r="F403" s="9"/>
      <c r="G403" s="9"/>
      <c r="H403" s="581"/>
      <c r="I403" s="581"/>
      <c r="J403" s="581"/>
      <c r="K403" s="581"/>
      <c r="L403" s="581"/>
      <c r="M403" s="581"/>
      <c r="N403" s="581"/>
      <c r="O403" s="581"/>
      <c r="P403" s="581"/>
      <c r="Q403" s="581"/>
      <c r="R403" s="581"/>
      <c r="S403" s="581"/>
      <c r="T403" s="581"/>
      <c r="U403" s="9"/>
      <c r="V403" s="9"/>
      <c r="W403" s="9"/>
      <c r="X403" s="9"/>
      <c r="Y403" s="9"/>
      <c r="Z403" s="9"/>
      <c r="AA403" s="9"/>
      <c r="AB403" s="9"/>
      <c r="AC403" s="9"/>
    </row>
    <row r="404" spans="1:29" ht="12.75" customHeight="1" x14ac:dyDescent="0.25">
      <c r="A404" s="9"/>
      <c r="B404" s="9"/>
      <c r="C404" s="9"/>
      <c r="D404" s="9"/>
      <c r="E404" s="9"/>
      <c r="F404" s="9"/>
      <c r="G404" s="9"/>
      <c r="H404" s="581"/>
      <c r="I404" s="581"/>
      <c r="J404" s="581"/>
      <c r="K404" s="581"/>
      <c r="L404" s="581"/>
      <c r="M404" s="581"/>
      <c r="N404" s="581"/>
      <c r="O404" s="581"/>
      <c r="P404" s="581"/>
      <c r="Q404" s="581"/>
      <c r="R404" s="581"/>
      <c r="S404" s="581"/>
      <c r="T404" s="581"/>
      <c r="U404" s="9"/>
      <c r="V404" s="9"/>
      <c r="W404" s="9"/>
      <c r="X404" s="9"/>
      <c r="Y404" s="9"/>
      <c r="Z404" s="9"/>
      <c r="AA404" s="9"/>
      <c r="AB404" s="9"/>
      <c r="AC404" s="9"/>
    </row>
    <row r="405" spans="1:29" ht="12.75" customHeight="1" x14ac:dyDescent="0.25">
      <c r="A405" s="9"/>
      <c r="B405" s="9"/>
      <c r="C405" s="9"/>
      <c r="D405" s="9"/>
      <c r="E405" s="9"/>
      <c r="F405" s="9"/>
      <c r="G405" s="9"/>
      <c r="H405" s="581"/>
      <c r="I405" s="581"/>
      <c r="J405" s="581"/>
      <c r="K405" s="581"/>
      <c r="L405" s="581"/>
      <c r="M405" s="581"/>
      <c r="N405" s="581"/>
      <c r="O405" s="581"/>
      <c r="P405" s="581"/>
      <c r="Q405" s="581"/>
      <c r="R405" s="581"/>
      <c r="S405" s="581"/>
      <c r="T405" s="581"/>
      <c r="U405" s="9"/>
      <c r="V405" s="9"/>
      <c r="W405" s="9"/>
      <c r="X405" s="9"/>
      <c r="Y405" s="9"/>
      <c r="Z405" s="9"/>
      <c r="AA405" s="9"/>
      <c r="AB405" s="9"/>
      <c r="AC405" s="9"/>
    </row>
    <row r="406" spans="1:29" ht="12.75" customHeight="1" x14ac:dyDescent="0.25">
      <c r="A406" s="9"/>
      <c r="B406" s="9"/>
      <c r="C406" s="9"/>
      <c r="D406" s="9"/>
      <c r="E406" s="9"/>
      <c r="F406" s="9"/>
      <c r="G406" s="9"/>
      <c r="H406" s="581"/>
      <c r="I406" s="581"/>
      <c r="J406" s="581"/>
      <c r="K406" s="581"/>
      <c r="L406" s="581"/>
      <c r="M406" s="581"/>
      <c r="N406" s="581"/>
      <c r="O406" s="581"/>
      <c r="P406" s="581"/>
      <c r="Q406" s="581"/>
      <c r="R406" s="581"/>
      <c r="S406" s="581"/>
      <c r="T406" s="581"/>
      <c r="U406" s="9"/>
      <c r="V406" s="9"/>
      <c r="W406" s="9"/>
      <c r="X406" s="9"/>
      <c r="Y406" s="9"/>
      <c r="Z406" s="9"/>
      <c r="AA406" s="9"/>
      <c r="AB406" s="9"/>
      <c r="AC406" s="9"/>
    </row>
    <row r="407" spans="1:29" ht="12.75" customHeight="1" x14ac:dyDescent="0.25">
      <c r="A407" s="9"/>
      <c r="B407" s="9"/>
      <c r="C407" s="9"/>
      <c r="D407" s="9"/>
      <c r="E407" s="9"/>
      <c r="F407" s="9"/>
      <c r="G407" s="9"/>
      <c r="H407" s="581"/>
      <c r="I407" s="581"/>
      <c r="J407" s="581"/>
      <c r="K407" s="581"/>
      <c r="L407" s="581"/>
      <c r="M407" s="581"/>
      <c r="N407" s="581"/>
      <c r="O407" s="581"/>
      <c r="P407" s="581"/>
      <c r="Q407" s="581"/>
      <c r="R407" s="581"/>
      <c r="S407" s="581"/>
      <c r="T407" s="581"/>
      <c r="U407" s="9"/>
      <c r="V407" s="9"/>
      <c r="W407" s="9"/>
      <c r="X407" s="9"/>
      <c r="Y407" s="9"/>
      <c r="Z407" s="9"/>
      <c r="AA407" s="9"/>
      <c r="AB407" s="9"/>
      <c r="AC407" s="9"/>
    </row>
    <row r="408" spans="1:29" ht="12.75" customHeight="1" x14ac:dyDescent="0.25">
      <c r="A408" s="9"/>
      <c r="B408" s="9"/>
      <c r="C408" s="9"/>
      <c r="D408" s="9"/>
      <c r="E408" s="9"/>
      <c r="F408" s="9"/>
      <c r="G408" s="9"/>
      <c r="H408" s="581"/>
      <c r="I408" s="581"/>
      <c r="J408" s="581"/>
      <c r="K408" s="581"/>
      <c r="L408" s="581"/>
      <c r="M408" s="581"/>
      <c r="N408" s="581"/>
      <c r="O408" s="581"/>
      <c r="P408" s="581"/>
      <c r="Q408" s="581"/>
      <c r="R408" s="581"/>
      <c r="S408" s="581"/>
      <c r="T408" s="581"/>
      <c r="U408" s="9"/>
      <c r="V408" s="9"/>
      <c r="W408" s="9"/>
      <c r="X408" s="9"/>
      <c r="Y408" s="9"/>
      <c r="Z408" s="9"/>
      <c r="AA408" s="9"/>
      <c r="AB408" s="9"/>
      <c r="AC408" s="9"/>
    </row>
    <row r="409" spans="1:29" ht="12.75" customHeight="1" x14ac:dyDescent="0.25">
      <c r="A409" s="9"/>
      <c r="B409" s="9"/>
      <c r="C409" s="9"/>
      <c r="D409" s="9"/>
      <c r="E409" s="9"/>
      <c r="F409" s="9"/>
      <c r="G409" s="9"/>
      <c r="H409" s="581"/>
      <c r="I409" s="581"/>
      <c r="J409" s="581"/>
      <c r="K409" s="581"/>
      <c r="L409" s="581"/>
      <c r="M409" s="581"/>
      <c r="N409" s="581"/>
      <c r="O409" s="581"/>
      <c r="P409" s="581"/>
      <c r="Q409" s="581"/>
      <c r="R409" s="581"/>
      <c r="S409" s="581"/>
      <c r="T409" s="581"/>
      <c r="U409" s="9"/>
      <c r="V409" s="9"/>
      <c r="W409" s="9"/>
      <c r="X409" s="9"/>
      <c r="Y409" s="9"/>
      <c r="Z409" s="9"/>
      <c r="AA409" s="9"/>
      <c r="AB409" s="9"/>
      <c r="AC409" s="9"/>
    </row>
    <row r="410" spans="1:29" ht="12.75" customHeight="1" x14ac:dyDescent="0.25">
      <c r="A410" s="9"/>
      <c r="B410" s="9"/>
      <c r="C410" s="9"/>
      <c r="D410" s="9"/>
      <c r="E410" s="9"/>
      <c r="F410" s="9"/>
      <c r="G410" s="9"/>
      <c r="H410" s="581"/>
      <c r="I410" s="581"/>
      <c r="J410" s="581"/>
      <c r="K410" s="581"/>
      <c r="L410" s="581"/>
      <c r="M410" s="581"/>
      <c r="N410" s="581"/>
      <c r="O410" s="581"/>
      <c r="P410" s="581"/>
      <c r="Q410" s="581"/>
      <c r="R410" s="581"/>
      <c r="S410" s="581"/>
      <c r="T410" s="581"/>
      <c r="U410" s="9"/>
      <c r="V410" s="9"/>
      <c r="W410" s="9"/>
      <c r="X410" s="9"/>
      <c r="Y410" s="9"/>
      <c r="Z410" s="9"/>
      <c r="AA410" s="9"/>
      <c r="AB410" s="9"/>
      <c r="AC410" s="9"/>
    </row>
    <row r="411" spans="1:29" ht="12.75" customHeight="1" x14ac:dyDescent="0.25">
      <c r="A411" s="9"/>
      <c r="B411" s="9"/>
      <c r="C411" s="9"/>
      <c r="D411" s="9"/>
      <c r="E411" s="9"/>
      <c r="F411" s="9"/>
      <c r="G411" s="9"/>
      <c r="H411" s="581"/>
      <c r="I411" s="581"/>
      <c r="J411" s="581"/>
      <c r="K411" s="581"/>
      <c r="L411" s="581"/>
      <c r="M411" s="581"/>
      <c r="N411" s="581"/>
      <c r="O411" s="581"/>
      <c r="P411" s="581"/>
      <c r="Q411" s="581"/>
      <c r="R411" s="581"/>
      <c r="S411" s="581"/>
      <c r="T411" s="581"/>
      <c r="U411" s="9"/>
      <c r="V411" s="9"/>
      <c r="W411" s="9"/>
      <c r="X411" s="9"/>
      <c r="Y411" s="9"/>
      <c r="Z411" s="9"/>
      <c r="AA411" s="9"/>
      <c r="AB411" s="9"/>
      <c r="AC411" s="9"/>
    </row>
    <row r="412" spans="1:29" ht="12.75" customHeight="1" x14ac:dyDescent="0.25">
      <c r="A412" s="9"/>
      <c r="B412" s="9"/>
      <c r="C412" s="9"/>
      <c r="D412" s="9"/>
      <c r="E412" s="9"/>
      <c r="F412" s="9"/>
      <c r="G412" s="9"/>
      <c r="H412" s="581"/>
      <c r="I412" s="581"/>
      <c r="J412" s="581"/>
      <c r="K412" s="581"/>
      <c r="L412" s="581"/>
      <c r="M412" s="581"/>
      <c r="N412" s="581"/>
      <c r="O412" s="581"/>
      <c r="P412" s="581"/>
      <c r="Q412" s="581"/>
      <c r="R412" s="581"/>
      <c r="S412" s="581"/>
      <c r="T412" s="581"/>
      <c r="U412" s="9"/>
      <c r="V412" s="9"/>
      <c r="W412" s="9"/>
      <c r="X412" s="9"/>
      <c r="Y412" s="9"/>
      <c r="Z412" s="9"/>
      <c r="AA412" s="9"/>
      <c r="AB412" s="9"/>
      <c r="AC412" s="9"/>
    </row>
    <row r="413" spans="1:29" ht="12.75" customHeight="1" x14ac:dyDescent="0.25">
      <c r="A413" s="9"/>
      <c r="B413" s="9"/>
      <c r="C413" s="9"/>
      <c r="D413" s="9"/>
      <c r="E413" s="9"/>
      <c r="F413" s="9"/>
      <c r="G413" s="9"/>
      <c r="H413" s="581"/>
      <c r="I413" s="581"/>
      <c r="J413" s="581"/>
      <c r="K413" s="581"/>
      <c r="L413" s="581"/>
      <c r="M413" s="581"/>
      <c r="N413" s="581"/>
      <c r="O413" s="581"/>
      <c r="P413" s="581"/>
      <c r="Q413" s="581"/>
      <c r="R413" s="581"/>
      <c r="S413" s="581"/>
      <c r="T413" s="581"/>
      <c r="U413" s="9"/>
      <c r="V413" s="9"/>
      <c r="W413" s="9"/>
      <c r="X413" s="9"/>
      <c r="Y413" s="9"/>
      <c r="Z413" s="9"/>
      <c r="AA413" s="9"/>
      <c r="AB413" s="9"/>
      <c r="AC413" s="9"/>
    </row>
    <row r="414" spans="1:29" ht="12.75" customHeight="1" x14ac:dyDescent="0.25">
      <c r="A414" s="9"/>
      <c r="B414" s="9"/>
      <c r="C414" s="9"/>
      <c r="D414" s="9"/>
      <c r="E414" s="9"/>
      <c r="F414" s="9"/>
      <c r="G414" s="9"/>
      <c r="H414" s="581"/>
      <c r="I414" s="581"/>
      <c r="J414" s="581"/>
      <c r="K414" s="581"/>
      <c r="L414" s="581"/>
      <c r="M414" s="581"/>
      <c r="N414" s="581"/>
      <c r="O414" s="581"/>
      <c r="P414" s="581"/>
      <c r="Q414" s="581"/>
      <c r="R414" s="581"/>
      <c r="S414" s="581"/>
      <c r="T414" s="581"/>
      <c r="U414" s="9"/>
      <c r="V414" s="9"/>
      <c r="W414" s="9"/>
      <c r="X414" s="9"/>
      <c r="Y414" s="9"/>
      <c r="Z414" s="9"/>
      <c r="AA414" s="9"/>
      <c r="AB414" s="9"/>
      <c r="AC414" s="9"/>
    </row>
    <row r="415" spans="1:29" ht="12.75" customHeight="1" x14ac:dyDescent="0.25">
      <c r="A415" s="9"/>
      <c r="B415" s="9"/>
      <c r="C415" s="9"/>
      <c r="D415" s="9"/>
      <c r="E415" s="9"/>
      <c r="F415" s="9"/>
      <c r="G415" s="9"/>
      <c r="H415" s="581"/>
      <c r="I415" s="581"/>
      <c r="J415" s="581"/>
      <c r="K415" s="581"/>
      <c r="L415" s="581"/>
      <c r="M415" s="581"/>
      <c r="N415" s="581"/>
      <c r="O415" s="581"/>
      <c r="P415" s="581"/>
      <c r="Q415" s="581"/>
      <c r="R415" s="581"/>
      <c r="S415" s="581"/>
      <c r="T415" s="581"/>
      <c r="U415" s="9"/>
      <c r="V415" s="9"/>
      <c r="W415" s="9"/>
      <c r="X415" s="9"/>
      <c r="Y415" s="9"/>
      <c r="Z415" s="9"/>
      <c r="AA415" s="9"/>
      <c r="AB415" s="9"/>
      <c r="AC415" s="9"/>
    </row>
    <row r="416" spans="1:29" ht="12.75" customHeight="1" x14ac:dyDescent="0.25">
      <c r="A416" s="9"/>
      <c r="B416" s="9"/>
      <c r="C416" s="9"/>
      <c r="D416" s="9"/>
      <c r="E416" s="9"/>
      <c r="F416" s="9"/>
      <c r="G416" s="9"/>
      <c r="H416" s="581"/>
      <c r="I416" s="581"/>
      <c r="J416" s="581"/>
      <c r="K416" s="581"/>
      <c r="L416" s="581"/>
      <c r="M416" s="581"/>
      <c r="N416" s="581"/>
      <c r="O416" s="581"/>
      <c r="P416" s="581"/>
      <c r="Q416" s="581"/>
      <c r="R416" s="581"/>
      <c r="S416" s="581"/>
      <c r="T416" s="581"/>
      <c r="U416" s="9"/>
      <c r="V416" s="9"/>
      <c r="W416" s="9"/>
      <c r="X416" s="9"/>
      <c r="Y416" s="9"/>
      <c r="Z416" s="9"/>
      <c r="AA416" s="9"/>
      <c r="AB416" s="9"/>
      <c r="AC416" s="9"/>
    </row>
    <row r="417" spans="1:29" ht="12.75" customHeight="1" x14ac:dyDescent="0.25">
      <c r="A417" s="9"/>
      <c r="B417" s="9"/>
      <c r="C417" s="9"/>
      <c r="D417" s="9"/>
      <c r="E417" s="9"/>
      <c r="F417" s="9"/>
      <c r="G417" s="9"/>
      <c r="H417" s="581"/>
      <c r="I417" s="581"/>
      <c r="J417" s="581"/>
      <c r="K417" s="581"/>
      <c r="L417" s="581"/>
      <c r="M417" s="581"/>
      <c r="N417" s="581"/>
      <c r="O417" s="581"/>
      <c r="P417" s="581"/>
      <c r="Q417" s="581"/>
      <c r="R417" s="581"/>
      <c r="S417" s="581"/>
      <c r="T417" s="581"/>
      <c r="U417" s="9"/>
      <c r="V417" s="9"/>
      <c r="W417" s="9"/>
      <c r="X417" s="9"/>
      <c r="Y417" s="9"/>
      <c r="Z417" s="9"/>
      <c r="AA417" s="9"/>
      <c r="AB417" s="9"/>
      <c r="AC417" s="9"/>
    </row>
    <row r="418" spans="1:29" ht="12.75" customHeight="1" x14ac:dyDescent="0.25">
      <c r="A418" s="9"/>
      <c r="B418" s="9"/>
      <c r="C418" s="9"/>
      <c r="D418" s="9"/>
      <c r="E418" s="9"/>
      <c r="F418" s="9"/>
      <c r="G418" s="9"/>
      <c r="H418" s="581"/>
      <c r="I418" s="581"/>
      <c r="J418" s="581"/>
      <c r="K418" s="581"/>
      <c r="L418" s="581"/>
      <c r="M418" s="581"/>
      <c r="N418" s="581"/>
      <c r="O418" s="581"/>
      <c r="P418" s="581"/>
      <c r="Q418" s="581"/>
      <c r="R418" s="581"/>
      <c r="S418" s="581"/>
      <c r="T418" s="581"/>
      <c r="U418" s="9"/>
      <c r="V418" s="9"/>
      <c r="W418" s="9"/>
      <c r="X418" s="9"/>
      <c r="Y418" s="9"/>
      <c r="Z418" s="9"/>
      <c r="AA418" s="9"/>
      <c r="AB418" s="9"/>
      <c r="AC418" s="9"/>
    </row>
    <row r="419" spans="1:29" ht="12.75" customHeight="1" x14ac:dyDescent="0.25">
      <c r="A419" s="9"/>
      <c r="B419" s="9"/>
      <c r="C419" s="9"/>
      <c r="D419" s="9"/>
      <c r="E419" s="9"/>
      <c r="F419" s="9"/>
      <c r="G419" s="9"/>
      <c r="H419" s="581"/>
      <c r="I419" s="581"/>
      <c r="J419" s="581"/>
      <c r="K419" s="581"/>
      <c r="L419" s="581"/>
      <c r="M419" s="581"/>
      <c r="N419" s="581"/>
      <c r="O419" s="581"/>
      <c r="P419" s="581"/>
      <c r="Q419" s="581"/>
      <c r="R419" s="581"/>
      <c r="S419" s="581"/>
      <c r="T419" s="581"/>
      <c r="U419" s="9"/>
      <c r="V419" s="9"/>
      <c r="W419" s="9"/>
      <c r="X419" s="9"/>
      <c r="Y419" s="9"/>
      <c r="Z419" s="9"/>
      <c r="AA419" s="9"/>
      <c r="AB419" s="9"/>
      <c r="AC419" s="9"/>
    </row>
    <row r="420" spans="1:29" ht="12.75" customHeight="1" x14ac:dyDescent="0.25">
      <c r="A420" s="9"/>
      <c r="B420" s="9"/>
      <c r="C420" s="9"/>
      <c r="D420" s="9"/>
      <c r="E420" s="9"/>
      <c r="F420" s="9"/>
      <c r="G420" s="9"/>
      <c r="H420" s="581"/>
      <c r="I420" s="581"/>
      <c r="J420" s="581"/>
      <c r="K420" s="581"/>
      <c r="L420" s="581"/>
      <c r="M420" s="581"/>
      <c r="N420" s="581"/>
      <c r="O420" s="581"/>
      <c r="P420" s="581"/>
      <c r="Q420" s="581"/>
      <c r="R420" s="581"/>
      <c r="S420" s="581"/>
      <c r="T420" s="581"/>
      <c r="U420" s="9"/>
      <c r="V420" s="9"/>
      <c r="W420" s="9"/>
      <c r="X420" s="9"/>
      <c r="Y420" s="9"/>
      <c r="Z420" s="9"/>
      <c r="AA420" s="9"/>
      <c r="AB420" s="9"/>
      <c r="AC420" s="9"/>
    </row>
    <row r="421" spans="1:29" ht="12.75" customHeight="1" x14ac:dyDescent="0.25">
      <c r="A421" s="9"/>
      <c r="B421" s="9"/>
      <c r="C421" s="9"/>
      <c r="D421" s="9"/>
      <c r="E421" s="9"/>
      <c r="F421" s="9"/>
      <c r="G421" s="9"/>
      <c r="H421" s="581"/>
      <c r="I421" s="581"/>
      <c r="J421" s="581"/>
      <c r="K421" s="581"/>
      <c r="L421" s="581"/>
      <c r="M421" s="581"/>
      <c r="N421" s="581"/>
      <c r="O421" s="581"/>
      <c r="P421" s="581"/>
      <c r="Q421" s="581"/>
      <c r="R421" s="581"/>
      <c r="S421" s="581"/>
      <c r="T421" s="581"/>
      <c r="U421" s="9"/>
      <c r="V421" s="9"/>
      <c r="W421" s="9"/>
      <c r="X421" s="9"/>
      <c r="Y421" s="9"/>
      <c r="Z421" s="9"/>
      <c r="AA421" s="9"/>
      <c r="AB421" s="9"/>
      <c r="AC421" s="9"/>
    </row>
    <row r="422" spans="1:29" ht="12.75" customHeight="1" x14ac:dyDescent="0.25">
      <c r="A422" s="9"/>
      <c r="B422" s="9"/>
      <c r="C422" s="9"/>
      <c r="D422" s="9"/>
      <c r="E422" s="9"/>
      <c r="F422" s="9"/>
      <c r="G422" s="9"/>
      <c r="H422" s="581"/>
      <c r="I422" s="581"/>
      <c r="J422" s="581"/>
      <c r="K422" s="581"/>
      <c r="L422" s="581"/>
      <c r="M422" s="581"/>
      <c r="N422" s="581"/>
      <c r="O422" s="581"/>
      <c r="P422" s="581"/>
      <c r="Q422" s="581"/>
      <c r="R422" s="581"/>
      <c r="S422" s="581"/>
      <c r="T422" s="581"/>
      <c r="U422" s="9"/>
      <c r="V422" s="9"/>
      <c r="W422" s="9"/>
      <c r="X422" s="9"/>
      <c r="Y422" s="9"/>
      <c r="Z422" s="9"/>
      <c r="AA422" s="9"/>
      <c r="AB422" s="9"/>
      <c r="AC422" s="9"/>
    </row>
    <row r="423" spans="1:29" ht="12.75" customHeight="1" x14ac:dyDescent="0.25">
      <c r="A423" s="9"/>
      <c r="B423" s="9"/>
      <c r="C423" s="9"/>
      <c r="D423" s="9"/>
      <c r="E423" s="9"/>
      <c r="F423" s="9"/>
      <c r="G423" s="9"/>
      <c r="H423" s="581"/>
      <c r="I423" s="581"/>
      <c r="J423" s="581"/>
      <c r="K423" s="581"/>
      <c r="L423" s="581"/>
      <c r="M423" s="581"/>
      <c r="N423" s="581"/>
      <c r="O423" s="581"/>
      <c r="P423" s="581"/>
      <c r="Q423" s="581"/>
      <c r="R423" s="581"/>
      <c r="S423" s="581"/>
      <c r="T423" s="581"/>
      <c r="U423" s="9"/>
      <c r="V423" s="9"/>
      <c r="W423" s="9"/>
      <c r="X423" s="9"/>
      <c r="Y423" s="9"/>
      <c r="Z423" s="9"/>
      <c r="AA423" s="9"/>
      <c r="AB423" s="9"/>
      <c r="AC423" s="9"/>
    </row>
    <row r="424" spans="1:29" ht="12.75" customHeight="1" x14ac:dyDescent="0.25">
      <c r="A424" s="9"/>
      <c r="B424" s="9"/>
      <c r="C424" s="9"/>
      <c r="D424" s="9"/>
      <c r="E424" s="9"/>
      <c r="F424" s="9"/>
      <c r="G424" s="9"/>
      <c r="H424" s="581"/>
      <c r="I424" s="581"/>
      <c r="J424" s="581"/>
      <c r="K424" s="581"/>
      <c r="L424" s="581"/>
      <c r="M424" s="581"/>
      <c r="N424" s="581"/>
      <c r="O424" s="581"/>
      <c r="P424" s="581"/>
      <c r="Q424" s="581"/>
      <c r="R424" s="581"/>
      <c r="S424" s="581"/>
      <c r="T424" s="581"/>
      <c r="U424" s="9"/>
      <c r="V424" s="9"/>
      <c r="W424" s="9"/>
      <c r="X424" s="9"/>
      <c r="Y424" s="9"/>
      <c r="Z424" s="9"/>
      <c r="AA424" s="9"/>
      <c r="AB424" s="9"/>
      <c r="AC424" s="9"/>
    </row>
    <row r="425" spans="1:29" ht="12.75" customHeight="1" x14ac:dyDescent="0.25">
      <c r="A425" s="9"/>
      <c r="B425" s="9"/>
      <c r="C425" s="9"/>
      <c r="D425" s="9"/>
      <c r="E425" s="9"/>
      <c r="F425" s="9"/>
      <c r="G425" s="9"/>
      <c r="H425" s="581"/>
      <c r="I425" s="581"/>
      <c r="J425" s="581"/>
      <c r="K425" s="581"/>
      <c r="L425" s="581"/>
      <c r="M425" s="581"/>
      <c r="N425" s="581"/>
      <c r="O425" s="581"/>
      <c r="P425" s="581"/>
      <c r="Q425" s="581"/>
      <c r="R425" s="581"/>
      <c r="S425" s="581"/>
      <c r="T425" s="581"/>
      <c r="U425" s="9"/>
      <c r="V425" s="9"/>
      <c r="W425" s="9"/>
      <c r="X425" s="9"/>
      <c r="Y425" s="9"/>
      <c r="Z425" s="9"/>
      <c r="AA425" s="9"/>
      <c r="AB425" s="9"/>
      <c r="AC425" s="9"/>
    </row>
    <row r="426" spans="1:29" ht="12.75" customHeight="1" x14ac:dyDescent="0.25">
      <c r="A426" s="9"/>
      <c r="B426" s="9"/>
      <c r="C426" s="9"/>
      <c r="D426" s="9"/>
      <c r="E426" s="9"/>
      <c r="F426" s="9"/>
      <c r="G426" s="9"/>
      <c r="H426" s="581"/>
      <c r="I426" s="581"/>
      <c r="J426" s="581"/>
      <c r="K426" s="581"/>
      <c r="L426" s="581"/>
      <c r="M426" s="581"/>
      <c r="N426" s="581"/>
      <c r="O426" s="581"/>
      <c r="P426" s="581"/>
      <c r="Q426" s="581"/>
      <c r="R426" s="581"/>
      <c r="S426" s="581"/>
      <c r="T426" s="581"/>
      <c r="U426" s="9"/>
      <c r="V426" s="9"/>
      <c r="W426" s="9"/>
      <c r="X426" s="9"/>
      <c r="Y426" s="9"/>
      <c r="Z426" s="9"/>
      <c r="AA426" s="9"/>
      <c r="AB426" s="9"/>
      <c r="AC426" s="9"/>
    </row>
    <row r="427" spans="1:29" ht="12.75" customHeight="1" x14ac:dyDescent="0.25">
      <c r="A427" s="9"/>
      <c r="B427" s="9"/>
      <c r="C427" s="9"/>
      <c r="D427" s="9"/>
      <c r="E427" s="9"/>
      <c r="F427" s="9"/>
      <c r="G427" s="9"/>
      <c r="H427" s="581"/>
      <c r="I427" s="581"/>
      <c r="J427" s="581"/>
      <c r="K427" s="581"/>
      <c r="L427" s="581"/>
      <c r="M427" s="581"/>
      <c r="N427" s="581"/>
      <c r="O427" s="581"/>
      <c r="P427" s="581"/>
      <c r="Q427" s="581"/>
      <c r="R427" s="581"/>
      <c r="S427" s="581"/>
      <c r="T427" s="581"/>
      <c r="U427" s="9"/>
      <c r="V427" s="9"/>
      <c r="W427" s="9"/>
      <c r="X427" s="9"/>
      <c r="Y427" s="9"/>
      <c r="Z427" s="9"/>
      <c r="AA427" s="9"/>
      <c r="AB427" s="9"/>
      <c r="AC427" s="9"/>
    </row>
    <row r="428" spans="1:29" ht="12.75" customHeight="1" x14ac:dyDescent="0.25">
      <c r="A428" s="9"/>
      <c r="B428" s="9"/>
      <c r="C428" s="9"/>
      <c r="D428" s="9"/>
      <c r="E428" s="9"/>
      <c r="F428" s="9"/>
      <c r="G428" s="9"/>
      <c r="H428" s="581"/>
      <c r="I428" s="581"/>
      <c r="J428" s="581"/>
      <c r="K428" s="581"/>
      <c r="L428" s="581"/>
      <c r="M428" s="581"/>
      <c r="N428" s="581"/>
      <c r="O428" s="581"/>
      <c r="P428" s="581"/>
      <c r="Q428" s="581"/>
      <c r="R428" s="581"/>
      <c r="S428" s="581"/>
      <c r="T428" s="581"/>
      <c r="U428" s="9"/>
      <c r="V428" s="9"/>
      <c r="W428" s="9"/>
      <c r="X428" s="9"/>
      <c r="Y428" s="9"/>
      <c r="Z428" s="9"/>
      <c r="AA428" s="9"/>
      <c r="AB428" s="9"/>
      <c r="AC428" s="9"/>
    </row>
    <row r="429" spans="1:29" ht="12.75" customHeight="1" x14ac:dyDescent="0.25">
      <c r="A429" s="9"/>
      <c r="B429" s="9"/>
      <c r="C429" s="9"/>
      <c r="D429" s="9"/>
      <c r="E429" s="9"/>
      <c r="F429" s="9"/>
      <c r="G429" s="9"/>
      <c r="H429" s="581"/>
      <c r="I429" s="581"/>
      <c r="J429" s="581"/>
      <c r="K429" s="581"/>
      <c r="L429" s="581"/>
      <c r="M429" s="581"/>
      <c r="N429" s="581"/>
      <c r="O429" s="581"/>
      <c r="P429" s="581"/>
      <c r="Q429" s="581"/>
      <c r="R429" s="581"/>
      <c r="S429" s="581"/>
      <c r="T429" s="581"/>
      <c r="U429" s="9"/>
      <c r="V429" s="9"/>
      <c r="W429" s="9"/>
      <c r="X429" s="9"/>
      <c r="Y429" s="9"/>
      <c r="Z429" s="9"/>
      <c r="AA429" s="9"/>
      <c r="AB429" s="9"/>
      <c r="AC429" s="9"/>
    </row>
    <row r="430" spans="1:29" ht="12.75" customHeight="1" x14ac:dyDescent="0.25">
      <c r="A430" s="9"/>
      <c r="B430" s="9"/>
      <c r="C430" s="9"/>
      <c r="D430" s="9"/>
      <c r="E430" s="9"/>
      <c r="F430" s="9"/>
      <c r="G430" s="9"/>
      <c r="H430" s="581"/>
      <c r="I430" s="581"/>
      <c r="J430" s="581"/>
      <c r="K430" s="581"/>
      <c r="L430" s="581"/>
      <c r="M430" s="581"/>
      <c r="N430" s="581"/>
      <c r="O430" s="581"/>
      <c r="P430" s="581"/>
      <c r="Q430" s="581"/>
      <c r="R430" s="581"/>
      <c r="S430" s="581"/>
      <c r="T430" s="581"/>
      <c r="U430" s="9"/>
      <c r="V430" s="9"/>
      <c r="W430" s="9"/>
      <c r="X430" s="9"/>
      <c r="Y430" s="9"/>
      <c r="Z430" s="9"/>
      <c r="AA430" s="9"/>
      <c r="AB430" s="9"/>
      <c r="AC430" s="9"/>
    </row>
    <row r="431" spans="1:29" ht="12.75" customHeight="1" x14ac:dyDescent="0.25">
      <c r="A431" s="9"/>
      <c r="B431" s="9"/>
      <c r="C431" s="9"/>
      <c r="D431" s="9"/>
      <c r="E431" s="9"/>
      <c r="F431" s="9"/>
      <c r="G431" s="9"/>
      <c r="H431" s="581"/>
      <c r="I431" s="581"/>
      <c r="J431" s="581"/>
      <c r="K431" s="581"/>
      <c r="L431" s="581"/>
      <c r="M431" s="581"/>
      <c r="N431" s="581"/>
      <c r="O431" s="581"/>
      <c r="P431" s="581"/>
      <c r="Q431" s="581"/>
      <c r="R431" s="581"/>
      <c r="S431" s="581"/>
      <c r="T431" s="581"/>
      <c r="U431" s="9"/>
      <c r="V431" s="9"/>
      <c r="W431" s="9"/>
      <c r="X431" s="9"/>
      <c r="Y431" s="9"/>
      <c r="Z431" s="9"/>
      <c r="AA431" s="9"/>
      <c r="AB431" s="9"/>
      <c r="AC431" s="9"/>
    </row>
    <row r="432" spans="1:29" ht="12.75" customHeight="1" x14ac:dyDescent="0.25">
      <c r="A432" s="9"/>
      <c r="B432" s="9"/>
      <c r="C432" s="9"/>
      <c r="D432" s="9"/>
      <c r="E432" s="9"/>
      <c r="F432" s="9"/>
      <c r="G432" s="9"/>
      <c r="H432" s="581"/>
      <c r="I432" s="581"/>
      <c r="J432" s="581"/>
      <c r="K432" s="581"/>
      <c r="L432" s="581"/>
      <c r="M432" s="581"/>
      <c r="N432" s="581"/>
      <c r="O432" s="581"/>
      <c r="P432" s="581"/>
      <c r="Q432" s="581"/>
      <c r="R432" s="581"/>
      <c r="S432" s="581"/>
      <c r="T432" s="581"/>
      <c r="U432" s="9"/>
      <c r="V432" s="9"/>
      <c r="W432" s="9"/>
      <c r="X432" s="9"/>
      <c r="Y432" s="9"/>
      <c r="Z432" s="9"/>
      <c r="AA432" s="9"/>
      <c r="AB432" s="9"/>
      <c r="AC432" s="9"/>
    </row>
    <row r="433" spans="1:29" ht="12.75" customHeight="1" x14ac:dyDescent="0.25">
      <c r="A433" s="9"/>
      <c r="B433" s="9"/>
      <c r="C433" s="9"/>
      <c r="D433" s="9"/>
      <c r="E433" s="9"/>
      <c r="F433" s="9"/>
      <c r="G433" s="9"/>
      <c r="H433" s="581"/>
      <c r="I433" s="581"/>
      <c r="J433" s="581"/>
      <c r="K433" s="581"/>
      <c r="L433" s="581"/>
      <c r="M433" s="581"/>
      <c r="N433" s="581"/>
      <c r="O433" s="581"/>
      <c r="P433" s="581"/>
      <c r="Q433" s="581"/>
      <c r="R433" s="581"/>
      <c r="S433" s="581"/>
      <c r="T433" s="581"/>
      <c r="U433" s="9"/>
      <c r="V433" s="9"/>
      <c r="W433" s="9"/>
      <c r="X433" s="9"/>
      <c r="Y433" s="9"/>
      <c r="Z433" s="9"/>
      <c r="AA433" s="9"/>
      <c r="AB433" s="9"/>
      <c r="AC433" s="9"/>
    </row>
    <row r="434" spans="1:29" ht="12.75" customHeight="1" x14ac:dyDescent="0.25">
      <c r="A434" s="9"/>
      <c r="B434" s="9"/>
      <c r="C434" s="9"/>
      <c r="D434" s="9"/>
      <c r="E434" s="9"/>
      <c r="F434" s="9"/>
      <c r="G434" s="9"/>
      <c r="H434" s="581"/>
      <c r="I434" s="581"/>
      <c r="J434" s="581"/>
      <c r="K434" s="581"/>
      <c r="L434" s="581"/>
      <c r="M434" s="581"/>
      <c r="N434" s="581"/>
      <c r="O434" s="581"/>
      <c r="P434" s="581"/>
      <c r="Q434" s="581"/>
      <c r="R434" s="581"/>
      <c r="S434" s="581"/>
      <c r="T434" s="581"/>
      <c r="U434" s="9"/>
      <c r="V434" s="9"/>
      <c r="W434" s="9"/>
      <c r="X434" s="9"/>
      <c r="Y434" s="9"/>
      <c r="Z434" s="9"/>
      <c r="AA434" s="9"/>
      <c r="AB434" s="9"/>
      <c r="AC434" s="9"/>
    </row>
    <row r="435" spans="1:29" ht="12.75" customHeight="1" x14ac:dyDescent="0.25">
      <c r="A435" s="9"/>
      <c r="B435" s="9"/>
      <c r="C435" s="9"/>
      <c r="D435" s="9"/>
      <c r="E435" s="9"/>
      <c r="F435" s="9"/>
      <c r="G435" s="9"/>
      <c r="H435" s="581"/>
      <c r="I435" s="581"/>
      <c r="J435" s="581"/>
      <c r="K435" s="581"/>
      <c r="L435" s="581"/>
      <c r="M435" s="581"/>
      <c r="N435" s="581"/>
      <c r="O435" s="581"/>
      <c r="P435" s="581"/>
      <c r="Q435" s="581"/>
      <c r="R435" s="581"/>
      <c r="S435" s="581"/>
      <c r="T435" s="581"/>
      <c r="U435" s="9"/>
      <c r="V435" s="9"/>
      <c r="W435" s="9"/>
      <c r="X435" s="9"/>
      <c r="Y435" s="9"/>
      <c r="Z435" s="9"/>
      <c r="AA435" s="9"/>
      <c r="AB435" s="9"/>
      <c r="AC435" s="9"/>
    </row>
    <row r="436" spans="1:29" ht="12.75" customHeight="1" x14ac:dyDescent="0.25">
      <c r="A436" s="9"/>
      <c r="B436" s="9"/>
      <c r="C436" s="9"/>
      <c r="D436" s="9"/>
      <c r="E436" s="9"/>
      <c r="F436" s="9"/>
      <c r="G436" s="9"/>
      <c r="H436" s="581"/>
      <c r="I436" s="581"/>
      <c r="J436" s="581"/>
      <c r="K436" s="581"/>
      <c r="L436" s="581"/>
      <c r="M436" s="581"/>
      <c r="N436" s="581"/>
      <c r="O436" s="581"/>
      <c r="P436" s="581"/>
      <c r="Q436" s="581"/>
      <c r="R436" s="581"/>
      <c r="S436" s="581"/>
      <c r="T436" s="581"/>
      <c r="U436" s="9"/>
      <c r="V436" s="9"/>
      <c r="W436" s="9"/>
      <c r="X436" s="9"/>
      <c r="Y436" s="9"/>
      <c r="Z436" s="9"/>
      <c r="AA436" s="9"/>
      <c r="AB436" s="9"/>
      <c r="AC436" s="9"/>
    </row>
    <row r="437" spans="1:29" ht="12.75" customHeight="1" x14ac:dyDescent="0.25">
      <c r="A437" s="9"/>
      <c r="B437" s="9"/>
      <c r="C437" s="9"/>
      <c r="D437" s="9"/>
      <c r="E437" s="9"/>
      <c r="F437" s="9"/>
      <c r="G437" s="9"/>
      <c r="H437" s="581"/>
      <c r="I437" s="581"/>
      <c r="J437" s="581"/>
      <c r="K437" s="581"/>
      <c r="L437" s="581"/>
      <c r="M437" s="581"/>
      <c r="N437" s="581"/>
      <c r="O437" s="581"/>
      <c r="P437" s="581"/>
      <c r="Q437" s="581"/>
      <c r="R437" s="581"/>
      <c r="S437" s="581"/>
      <c r="T437" s="581"/>
      <c r="U437" s="9"/>
      <c r="V437" s="9"/>
      <c r="W437" s="9"/>
      <c r="X437" s="9"/>
      <c r="Y437" s="9"/>
      <c r="Z437" s="9"/>
      <c r="AA437" s="9"/>
      <c r="AB437" s="9"/>
      <c r="AC437" s="9"/>
    </row>
    <row r="438" spans="1:29" ht="12.75" customHeight="1" x14ac:dyDescent="0.25">
      <c r="A438" s="9"/>
      <c r="B438" s="9"/>
      <c r="C438" s="9"/>
      <c r="D438" s="9"/>
      <c r="E438" s="9"/>
      <c r="F438" s="9"/>
      <c r="G438" s="9"/>
      <c r="H438" s="581"/>
      <c r="I438" s="581"/>
      <c r="J438" s="581"/>
      <c r="K438" s="581"/>
      <c r="L438" s="581"/>
      <c r="M438" s="581"/>
      <c r="N438" s="581"/>
      <c r="O438" s="581"/>
      <c r="P438" s="581"/>
      <c r="Q438" s="581"/>
      <c r="R438" s="581"/>
      <c r="S438" s="581"/>
      <c r="T438" s="581"/>
      <c r="U438" s="9"/>
      <c r="V438" s="9"/>
      <c r="W438" s="9"/>
      <c r="X438" s="9"/>
      <c r="Y438" s="9"/>
      <c r="Z438" s="9"/>
      <c r="AA438" s="9"/>
      <c r="AB438" s="9"/>
      <c r="AC438" s="9"/>
    </row>
    <row r="439" spans="1:29" ht="12.75" customHeight="1" x14ac:dyDescent="0.25">
      <c r="A439" s="9"/>
      <c r="B439" s="9"/>
      <c r="C439" s="9"/>
      <c r="D439" s="9"/>
      <c r="E439" s="9"/>
      <c r="F439" s="9"/>
      <c r="G439" s="9"/>
      <c r="H439" s="581"/>
      <c r="I439" s="581"/>
      <c r="J439" s="581"/>
      <c r="K439" s="581"/>
      <c r="L439" s="581"/>
      <c r="M439" s="581"/>
      <c r="N439" s="581"/>
      <c r="O439" s="581"/>
      <c r="P439" s="581"/>
      <c r="Q439" s="581"/>
      <c r="R439" s="581"/>
      <c r="S439" s="581"/>
      <c r="T439" s="581"/>
      <c r="U439" s="9"/>
      <c r="V439" s="9"/>
      <c r="W439" s="9"/>
      <c r="X439" s="9"/>
      <c r="Y439" s="9"/>
      <c r="Z439" s="9"/>
      <c r="AA439" s="9"/>
      <c r="AB439" s="9"/>
      <c r="AC439" s="9"/>
    </row>
    <row r="440" spans="1:29" ht="12.75" customHeight="1" x14ac:dyDescent="0.25">
      <c r="A440" s="9"/>
      <c r="B440" s="9"/>
      <c r="C440" s="9"/>
      <c r="D440" s="9"/>
      <c r="E440" s="9"/>
      <c r="F440" s="9"/>
      <c r="G440" s="9"/>
      <c r="H440" s="581"/>
      <c r="I440" s="581"/>
      <c r="J440" s="581"/>
      <c r="K440" s="581"/>
      <c r="L440" s="581"/>
      <c r="M440" s="581"/>
      <c r="N440" s="581"/>
      <c r="O440" s="581"/>
      <c r="P440" s="581"/>
      <c r="Q440" s="581"/>
      <c r="R440" s="581"/>
      <c r="S440" s="581"/>
      <c r="T440" s="581"/>
      <c r="U440" s="9"/>
      <c r="V440" s="9"/>
      <c r="W440" s="9"/>
      <c r="X440" s="9"/>
      <c r="Y440" s="9"/>
      <c r="Z440" s="9"/>
      <c r="AA440" s="9"/>
      <c r="AB440" s="9"/>
      <c r="AC440" s="9"/>
    </row>
    <row r="441" spans="1:29" ht="12.75" customHeight="1" x14ac:dyDescent="0.25">
      <c r="A441" s="9"/>
      <c r="B441" s="9"/>
      <c r="C441" s="9"/>
      <c r="D441" s="9"/>
      <c r="E441" s="9"/>
      <c r="F441" s="9"/>
      <c r="G441" s="9"/>
      <c r="H441" s="581"/>
      <c r="I441" s="581"/>
      <c r="J441" s="581"/>
      <c r="K441" s="581"/>
      <c r="L441" s="581"/>
      <c r="M441" s="581"/>
      <c r="N441" s="581"/>
      <c r="O441" s="581"/>
      <c r="P441" s="581"/>
      <c r="Q441" s="581"/>
      <c r="R441" s="581"/>
      <c r="S441" s="581"/>
      <c r="T441" s="581"/>
      <c r="U441" s="9"/>
      <c r="V441" s="9"/>
      <c r="W441" s="9"/>
      <c r="X441" s="9"/>
      <c r="Y441" s="9"/>
      <c r="Z441" s="9"/>
      <c r="AA441" s="9"/>
      <c r="AB441" s="9"/>
      <c r="AC441" s="9"/>
    </row>
    <row r="442" spans="1:29" ht="12.75" customHeight="1" x14ac:dyDescent="0.25">
      <c r="A442" s="9"/>
      <c r="B442" s="9"/>
      <c r="C442" s="9"/>
      <c r="D442" s="9"/>
      <c r="E442" s="9"/>
      <c r="F442" s="9"/>
      <c r="G442" s="9"/>
      <c r="H442" s="581"/>
      <c r="I442" s="581"/>
      <c r="J442" s="581"/>
      <c r="K442" s="581"/>
      <c r="L442" s="581"/>
      <c r="M442" s="581"/>
      <c r="N442" s="581"/>
      <c r="O442" s="581"/>
      <c r="P442" s="581"/>
      <c r="Q442" s="581"/>
      <c r="R442" s="581"/>
      <c r="S442" s="581"/>
      <c r="T442" s="581"/>
      <c r="U442" s="9"/>
      <c r="V442" s="9"/>
      <c r="W442" s="9"/>
      <c r="X442" s="9"/>
      <c r="Y442" s="9"/>
      <c r="Z442" s="9"/>
      <c r="AA442" s="9"/>
      <c r="AB442" s="9"/>
      <c r="AC442" s="9"/>
    </row>
    <row r="443" spans="1:29" ht="12.75" customHeight="1" x14ac:dyDescent="0.25">
      <c r="A443" s="9"/>
      <c r="B443" s="9"/>
      <c r="C443" s="9"/>
      <c r="D443" s="9"/>
      <c r="E443" s="9"/>
      <c r="F443" s="9"/>
      <c r="G443" s="9"/>
      <c r="H443" s="581"/>
      <c r="I443" s="581"/>
      <c r="J443" s="581"/>
      <c r="K443" s="581"/>
      <c r="L443" s="581"/>
      <c r="M443" s="581"/>
      <c r="N443" s="581"/>
      <c r="O443" s="581"/>
      <c r="P443" s="581"/>
      <c r="Q443" s="581"/>
      <c r="R443" s="581"/>
      <c r="S443" s="581"/>
      <c r="T443" s="581"/>
      <c r="U443" s="9"/>
      <c r="V443" s="9"/>
      <c r="W443" s="9"/>
      <c r="X443" s="9"/>
      <c r="Y443" s="9"/>
      <c r="Z443" s="9"/>
      <c r="AA443" s="9"/>
      <c r="AB443" s="9"/>
      <c r="AC443" s="9"/>
    </row>
    <row r="444" spans="1:29" ht="12.75" customHeight="1" x14ac:dyDescent="0.25">
      <c r="A444" s="9"/>
      <c r="B444" s="9"/>
      <c r="C444" s="9"/>
      <c r="D444" s="9"/>
      <c r="E444" s="9"/>
      <c r="F444" s="9"/>
      <c r="G444" s="9"/>
      <c r="H444" s="581"/>
      <c r="I444" s="581"/>
      <c r="J444" s="581"/>
      <c r="K444" s="581"/>
      <c r="L444" s="581"/>
      <c r="M444" s="581"/>
      <c r="N444" s="581"/>
      <c r="O444" s="581"/>
      <c r="P444" s="581"/>
      <c r="Q444" s="581"/>
      <c r="R444" s="581"/>
      <c r="S444" s="581"/>
      <c r="T444" s="581"/>
      <c r="U444" s="9"/>
      <c r="V444" s="9"/>
      <c r="W444" s="9"/>
      <c r="X444" s="9"/>
      <c r="Y444" s="9"/>
      <c r="Z444" s="9"/>
      <c r="AA444" s="9"/>
      <c r="AB444" s="9"/>
      <c r="AC444" s="9"/>
    </row>
    <row r="445" spans="1:29" ht="12.75" customHeight="1" x14ac:dyDescent="0.25">
      <c r="A445" s="9"/>
      <c r="B445" s="9"/>
      <c r="C445" s="9"/>
      <c r="D445" s="9"/>
      <c r="E445" s="9"/>
      <c r="F445" s="9"/>
      <c r="G445" s="9"/>
      <c r="H445" s="581"/>
      <c r="I445" s="581"/>
      <c r="J445" s="581"/>
      <c r="K445" s="581"/>
      <c r="L445" s="581"/>
      <c r="M445" s="581"/>
      <c r="N445" s="581"/>
      <c r="O445" s="581"/>
      <c r="P445" s="581"/>
      <c r="Q445" s="581"/>
      <c r="R445" s="581"/>
      <c r="S445" s="581"/>
      <c r="T445" s="581"/>
      <c r="U445" s="9"/>
      <c r="V445" s="9"/>
      <c r="W445" s="9"/>
      <c r="X445" s="9"/>
      <c r="Y445" s="9"/>
      <c r="Z445" s="9"/>
      <c r="AA445" s="9"/>
      <c r="AB445" s="9"/>
      <c r="AC445" s="9"/>
    </row>
    <row r="446" spans="1:29" ht="12.75" customHeight="1" x14ac:dyDescent="0.25">
      <c r="A446" s="9"/>
      <c r="B446" s="9"/>
      <c r="C446" s="9"/>
      <c r="D446" s="9"/>
      <c r="E446" s="9"/>
      <c r="F446" s="9"/>
      <c r="G446" s="9"/>
      <c r="H446" s="581"/>
      <c r="I446" s="581"/>
      <c r="J446" s="581"/>
      <c r="K446" s="581"/>
      <c r="L446" s="581"/>
      <c r="M446" s="581"/>
      <c r="N446" s="581"/>
      <c r="O446" s="581"/>
      <c r="P446" s="581"/>
      <c r="Q446" s="581"/>
      <c r="R446" s="581"/>
      <c r="S446" s="581"/>
      <c r="T446" s="581"/>
      <c r="U446" s="9"/>
      <c r="V446" s="9"/>
      <c r="W446" s="9"/>
      <c r="X446" s="9"/>
      <c r="Y446" s="9"/>
      <c r="Z446" s="9"/>
      <c r="AA446" s="9"/>
      <c r="AB446" s="9"/>
      <c r="AC446" s="9"/>
    </row>
    <row r="447" spans="1:29" ht="12.75" customHeight="1" x14ac:dyDescent="0.25">
      <c r="A447" s="9"/>
      <c r="B447" s="9"/>
      <c r="C447" s="9"/>
      <c r="D447" s="9"/>
      <c r="E447" s="9"/>
      <c r="F447" s="9"/>
      <c r="G447" s="9"/>
      <c r="H447" s="581"/>
      <c r="I447" s="581"/>
      <c r="J447" s="581"/>
      <c r="K447" s="581"/>
      <c r="L447" s="581"/>
      <c r="M447" s="581"/>
      <c r="N447" s="581"/>
      <c r="O447" s="581"/>
      <c r="P447" s="581"/>
      <c r="Q447" s="581"/>
      <c r="R447" s="581"/>
      <c r="S447" s="581"/>
      <c r="T447" s="581"/>
      <c r="U447" s="9"/>
      <c r="V447" s="9"/>
      <c r="W447" s="9"/>
      <c r="X447" s="9"/>
      <c r="Y447" s="9"/>
      <c r="Z447" s="9"/>
      <c r="AA447" s="9"/>
      <c r="AB447" s="9"/>
      <c r="AC447" s="9"/>
    </row>
    <row r="448" spans="1:29" ht="12.75" customHeight="1" x14ac:dyDescent="0.25">
      <c r="A448" s="9"/>
      <c r="B448" s="9"/>
      <c r="C448" s="9"/>
      <c r="D448" s="9"/>
      <c r="E448" s="9"/>
      <c r="F448" s="9"/>
      <c r="G448" s="9"/>
      <c r="H448" s="581"/>
      <c r="I448" s="581"/>
      <c r="J448" s="581"/>
      <c r="K448" s="581"/>
      <c r="L448" s="581"/>
      <c r="M448" s="581"/>
      <c r="N448" s="581"/>
      <c r="O448" s="581"/>
      <c r="P448" s="581"/>
      <c r="Q448" s="581"/>
      <c r="R448" s="581"/>
      <c r="S448" s="581"/>
      <c r="T448" s="581"/>
      <c r="U448" s="9"/>
      <c r="V448" s="9"/>
      <c r="W448" s="9"/>
      <c r="X448" s="9"/>
      <c r="Y448" s="9"/>
      <c r="Z448" s="9"/>
      <c r="AA448" s="9"/>
      <c r="AB448" s="9"/>
      <c r="AC448" s="9"/>
    </row>
    <row r="449" spans="1:29" ht="12.75" customHeight="1" x14ac:dyDescent="0.25">
      <c r="A449" s="9"/>
      <c r="B449" s="9"/>
      <c r="C449" s="9"/>
      <c r="D449" s="9"/>
      <c r="E449" s="9"/>
      <c r="F449" s="9"/>
      <c r="G449" s="9"/>
      <c r="H449" s="581"/>
      <c r="I449" s="581"/>
      <c r="J449" s="581"/>
      <c r="K449" s="581"/>
      <c r="L449" s="581"/>
      <c r="M449" s="581"/>
      <c r="N449" s="581"/>
      <c r="O449" s="581"/>
      <c r="P449" s="581"/>
      <c r="Q449" s="581"/>
      <c r="R449" s="581"/>
      <c r="S449" s="581"/>
      <c r="T449" s="581"/>
      <c r="U449" s="9"/>
      <c r="V449" s="9"/>
      <c r="W449" s="9"/>
      <c r="X449" s="9"/>
      <c r="Y449" s="9"/>
      <c r="Z449" s="9"/>
      <c r="AA449" s="9"/>
      <c r="AB449" s="9"/>
      <c r="AC449" s="9"/>
    </row>
    <row r="450" spans="1:29" ht="12.75" customHeight="1" x14ac:dyDescent="0.25">
      <c r="A450" s="9"/>
      <c r="B450" s="9"/>
      <c r="C450" s="9"/>
      <c r="D450" s="9"/>
      <c r="E450" s="9"/>
      <c r="F450" s="9"/>
      <c r="G450" s="9"/>
      <c r="H450" s="581"/>
      <c r="I450" s="581"/>
      <c r="J450" s="581"/>
      <c r="K450" s="581"/>
      <c r="L450" s="581"/>
      <c r="M450" s="581"/>
      <c r="N450" s="581"/>
      <c r="O450" s="581"/>
      <c r="P450" s="581"/>
      <c r="Q450" s="581"/>
      <c r="R450" s="581"/>
      <c r="S450" s="581"/>
      <c r="T450" s="581"/>
      <c r="U450" s="9"/>
      <c r="V450" s="9"/>
      <c r="W450" s="9"/>
      <c r="X450" s="9"/>
      <c r="Y450" s="9"/>
      <c r="Z450" s="9"/>
      <c r="AA450" s="9"/>
      <c r="AB450" s="9"/>
      <c r="AC450" s="9"/>
    </row>
    <row r="451" spans="1:29" ht="12.75" customHeight="1" x14ac:dyDescent="0.25">
      <c r="A451" s="9"/>
      <c r="B451" s="9"/>
      <c r="C451" s="9"/>
      <c r="D451" s="9"/>
      <c r="E451" s="9"/>
      <c r="F451" s="9"/>
      <c r="G451" s="9"/>
      <c r="H451" s="581"/>
      <c r="I451" s="581"/>
      <c r="J451" s="581"/>
      <c r="K451" s="581"/>
      <c r="L451" s="581"/>
      <c r="M451" s="581"/>
      <c r="N451" s="581"/>
      <c r="O451" s="581"/>
      <c r="P451" s="581"/>
      <c r="Q451" s="581"/>
      <c r="R451" s="581"/>
      <c r="S451" s="581"/>
      <c r="T451" s="581"/>
      <c r="U451" s="9"/>
      <c r="V451" s="9"/>
      <c r="W451" s="9"/>
      <c r="X451" s="9"/>
      <c r="Y451" s="9"/>
      <c r="Z451" s="9"/>
      <c r="AA451" s="9"/>
      <c r="AB451" s="9"/>
      <c r="AC451" s="9"/>
    </row>
    <row r="452" spans="1:29" ht="12.75" customHeight="1" x14ac:dyDescent="0.25">
      <c r="A452" s="9"/>
      <c r="B452" s="9"/>
      <c r="C452" s="9"/>
      <c r="D452" s="9"/>
      <c r="E452" s="9"/>
      <c r="F452" s="9"/>
      <c r="G452" s="9"/>
      <c r="H452" s="581"/>
      <c r="I452" s="581"/>
      <c r="J452" s="581"/>
      <c r="K452" s="581"/>
      <c r="L452" s="581"/>
      <c r="M452" s="581"/>
      <c r="N452" s="581"/>
      <c r="O452" s="581"/>
      <c r="P452" s="581"/>
      <c r="Q452" s="581"/>
      <c r="R452" s="581"/>
      <c r="S452" s="581"/>
      <c r="T452" s="581"/>
      <c r="U452" s="9"/>
      <c r="V452" s="9"/>
      <c r="W452" s="9"/>
      <c r="X452" s="9"/>
      <c r="Y452" s="9"/>
      <c r="Z452" s="9"/>
      <c r="AA452" s="9"/>
      <c r="AB452" s="9"/>
      <c r="AC452" s="9"/>
    </row>
    <row r="453" spans="1:29" ht="12.75" customHeight="1" x14ac:dyDescent="0.25">
      <c r="A453" s="9"/>
      <c r="B453" s="9"/>
      <c r="C453" s="9"/>
      <c r="D453" s="9"/>
      <c r="E453" s="9"/>
      <c r="F453" s="9"/>
      <c r="G453" s="9"/>
      <c r="H453" s="581"/>
      <c r="I453" s="581"/>
      <c r="J453" s="581"/>
      <c r="K453" s="581"/>
      <c r="L453" s="581"/>
      <c r="M453" s="581"/>
      <c r="N453" s="581"/>
      <c r="O453" s="581"/>
      <c r="P453" s="581"/>
      <c r="Q453" s="581"/>
      <c r="R453" s="581"/>
      <c r="S453" s="581"/>
      <c r="T453" s="581"/>
      <c r="U453" s="9"/>
      <c r="V453" s="9"/>
      <c r="W453" s="9"/>
      <c r="X453" s="9"/>
      <c r="Y453" s="9"/>
      <c r="Z453" s="9"/>
      <c r="AA453" s="9"/>
      <c r="AB453" s="9"/>
      <c r="AC453" s="9"/>
    </row>
    <row r="454" spans="1:29" ht="12.75" customHeight="1" x14ac:dyDescent="0.25">
      <c r="A454" s="9"/>
      <c r="B454" s="9"/>
      <c r="C454" s="9"/>
      <c r="D454" s="9"/>
      <c r="E454" s="9"/>
      <c r="F454" s="9"/>
      <c r="G454" s="9"/>
      <c r="H454" s="581"/>
      <c r="I454" s="581"/>
      <c r="J454" s="581"/>
      <c r="K454" s="581"/>
      <c r="L454" s="581"/>
      <c r="M454" s="581"/>
      <c r="N454" s="581"/>
      <c r="O454" s="581"/>
      <c r="P454" s="581"/>
      <c r="Q454" s="581"/>
      <c r="R454" s="581"/>
      <c r="S454" s="581"/>
      <c r="T454" s="581"/>
      <c r="U454" s="9"/>
      <c r="V454" s="9"/>
      <c r="W454" s="9"/>
      <c r="X454" s="9"/>
      <c r="Y454" s="9"/>
      <c r="Z454" s="9"/>
      <c r="AA454" s="9"/>
      <c r="AB454" s="9"/>
      <c r="AC454" s="9"/>
    </row>
    <row r="455" spans="1:29" ht="12.75" customHeight="1" x14ac:dyDescent="0.25">
      <c r="A455" s="9"/>
      <c r="B455" s="9"/>
      <c r="C455" s="9"/>
      <c r="D455" s="9"/>
      <c r="E455" s="9"/>
      <c r="F455" s="9"/>
      <c r="G455" s="9"/>
      <c r="H455" s="581"/>
      <c r="I455" s="581"/>
      <c r="J455" s="581"/>
      <c r="K455" s="581"/>
      <c r="L455" s="581"/>
      <c r="M455" s="581"/>
      <c r="N455" s="581"/>
      <c r="O455" s="581"/>
      <c r="P455" s="581"/>
      <c r="Q455" s="581"/>
      <c r="R455" s="581"/>
      <c r="S455" s="581"/>
      <c r="T455" s="581"/>
      <c r="U455" s="9"/>
      <c r="V455" s="9"/>
      <c r="W455" s="9"/>
      <c r="X455" s="9"/>
      <c r="Y455" s="9"/>
      <c r="Z455" s="9"/>
      <c r="AA455" s="9"/>
      <c r="AB455" s="9"/>
      <c r="AC455" s="9"/>
    </row>
    <row r="456" spans="1:29" ht="12.75" customHeight="1" x14ac:dyDescent="0.25">
      <c r="A456" s="9"/>
      <c r="B456" s="9"/>
      <c r="C456" s="9"/>
      <c r="D456" s="9"/>
      <c r="E456" s="9"/>
      <c r="F456" s="9"/>
      <c r="G456" s="9"/>
      <c r="H456" s="581"/>
      <c r="I456" s="581"/>
      <c r="J456" s="581"/>
      <c r="K456" s="581"/>
      <c r="L456" s="581"/>
      <c r="M456" s="581"/>
      <c r="N456" s="581"/>
      <c r="O456" s="581"/>
      <c r="P456" s="581"/>
      <c r="Q456" s="581"/>
      <c r="R456" s="581"/>
      <c r="S456" s="581"/>
      <c r="T456" s="581"/>
      <c r="U456" s="9"/>
      <c r="V456" s="9"/>
      <c r="W456" s="9"/>
      <c r="X456" s="9"/>
      <c r="Y456" s="9"/>
      <c r="Z456" s="9"/>
      <c r="AA456" s="9"/>
      <c r="AB456" s="9"/>
      <c r="AC456" s="9"/>
    </row>
    <row r="457" spans="1:29" ht="12.75" customHeight="1" x14ac:dyDescent="0.25">
      <c r="A457" s="9"/>
      <c r="B457" s="9"/>
      <c r="C457" s="9"/>
      <c r="D457" s="9"/>
      <c r="E457" s="9"/>
      <c r="F457" s="9"/>
      <c r="G457" s="9"/>
      <c r="H457" s="581"/>
      <c r="I457" s="581"/>
      <c r="J457" s="581"/>
      <c r="K457" s="581"/>
      <c r="L457" s="581"/>
      <c r="M457" s="581"/>
      <c r="N457" s="581"/>
      <c r="O457" s="581"/>
      <c r="P457" s="581"/>
      <c r="Q457" s="581"/>
      <c r="R457" s="581"/>
      <c r="S457" s="581"/>
      <c r="T457" s="581"/>
      <c r="U457" s="9"/>
      <c r="V457" s="9"/>
      <c r="W457" s="9"/>
      <c r="X457" s="9"/>
      <c r="Y457" s="9"/>
      <c r="Z457" s="9"/>
      <c r="AA457" s="9"/>
      <c r="AB457" s="9"/>
      <c r="AC457" s="9"/>
    </row>
    <row r="458" spans="1:29" ht="12.75" customHeight="1" x14ac:dyDescent="0.25">
      <c r="A458" s="9"/>
      <c r="B458" s="9"/>
      <c r="C458" s="9"/>
      <c r="D458" s="9"/>
      <c r="E458" s="9"/>
      <c r="F458" s="9"/>
      <c r="G458" s="9"/>
      <c r="H458" s="581"/>
      <c r="I458" s="581"/>
      <c r="J458" s="581"/>
      <c r="K458" s="581"/>
      <c r="L458" s="581"/>
      <c r="M458" s="581"/>
      <c r="N458" s="581"/>
      <c r="O458" s="581"/>
      <c r="P458" s="581"/>
      <c r="Q458" s="581"/>
      <c r="R458" s="581"/>
      <c r="S458" s="581"/>
      <c r="T458" s="581"/>
      <c r="U458" s="9"/>
      <c r="V458" s="9"/>
      <c r="W458" s="9"/>
      <c r="X458" s="9"/>
      <c r="Y458" s="9"/>
      <c r="Z458" s="9"/>
      <c r="AA458" s="9"/>
      <c r="AB458" s="9"/>
      <c r="AC458" s="9"/>
    </row>
    <row r="459" spans="1:29" ht="12.75" customHeight="1" x14ac:dyDescent="0.25">
      <c r="A459" s="9"/>
      <c r="B459" s="9"/>
      <c r="C459" s="9"/>
      <c r="D459" s="9"/>
      <c r="E459" s="9"/>
      <c r="F459" s="9"/>
      <c r="G459" s="9"/>
      <c r="H459" s="581"/>
      <c r="I459" s="581"/>
      <c r="J459" s="581"/>
      <c r="K459" s="581"/>
      <c r="L459" s="581"/>
      <c r="M459" s="581"/>
      <c r="N459" s="581"/>
      <c r="O459" s="581"/>
      <c r="P459" s="581"/>
      <c r="Q459" s="581"/>
      <c r="R459" s="581"/>
      <c r="S459" s="581"/>
      <c r="T459" s="581"/>
      <c r="U459" s="9"/>
      <c r="V459" s="9"/>
      <c r="W459" s="9"/>
      <c r="X459" s="9"/>
      <c r="Y459" s="9"/>
      <c r="Z459" s="9"/>
      <c r="AA459" s="9"/>
      <c r="AB459" s="9"/>
      <c r="AC459" s="9"/>
    </row>
    <row r="460" spans="1:29" ht="12.75" customHeight="1" x14ac:dyDescent="0.25">
      <c r="A460" s="9"/>
      <c r="B460" s="9"/>
      <c r="C460" s="9"/>
      <c r="D460" s="9"/>
      <c r="E460" s="9"/>
      <c r="F460" s="9"/>
      <c r="G460" s="9"/>
      <c r="H460" s="581"/>
      <c r="I460" s="581"/>
      <c r="J460" s="581"/>
      <c r="K460" s="581"/>
      <c r="L460" s="581"/>
      <c r="M460" s="581"/>
      <c r="N460" s="581"/>
      <c r="O460" s="581"/>
      <c r="P460" s="581"/>
      <c r="Q460" s="581"/>
      <c r="R460" s="581"/>
      <c r="S460" s="581"/>
      <c r="T460" s="581"/>
      <c r="U460" s="9"/>
      <c r="V460" s="9"/>
      <c r="W460" s="9"/>
      <c r="X460" s="9"/>
      <c r="Y460" s="9"/>
      <c r="Z460" s="9"/>
      <c r="AA460" s="9"/>
      <c r="AB460" s="9"/>
      <c r="AC460" s="9"/>
    </row>
    <row r="461" spans="1:29" ht="12.75" customHeight="1" x14ac:dyDescent="0.25">
      <c r="A461" s="9"/>
      <c r="B461" s="9"/>
      <c r="C461" s="9"/>
      <c r="D461" s="9"/>
      <c r="E461" s="9"/>
      <c r="F461" s="9"/>
      <c r="G461" s="9"/>
      <c r="H461" s="581"/>
      <c r="I461" s="581"/>
      <c r="J461" s="581"/>
      <c r="K461" s="581"/>
      <c r="L461" s="581"/>
      <c r="M461" s="581"/>
      <c r="N461" s="581"/>
      <c r="O461" s="581"/>
      <c r="P461" s="581"/>
      <c r="Q461" s="581"/>
      <c r="R461" s="581"/>
      <c r="S461" s="581"/>
      <c r="T461" s="581"/>
      <c r="U461" s="9"/>
      <c r="V461" s="9"/>
      <c r="W461" s="9"/>
      <c r="X461" s="9"/>
      <c r="Y461" s="9"/>
      <c r="Z461" s="9"/>
      <c r="AA461" s="9"/>
      <c r="AB461" s="9"/>
      <c r="AC461" s="9"/>
    </row>
    <row r="462" spans="1:29" ht="12.75" customHeight="1" x14ac:dyDescent="0.25">
      <c r="A462" s="9"/>
      <c r="B462" s="9"/>
      <c r="C462" s="9"/>
      <c r="D462" s="9"/>
      <c r="E462" s="9"/>
      <c r="F462" s="9"/>
      <c r="G462" s="9"/>
      <c r="H462" s="581"/>
      <c r="I462" s="581"/>
      <c r="J462" s="581"/>
      <c r="K462" s="581"/>
      <c r="L462" s="581"/>
      <c r="M462" s="581"/>
      <c r="N462" s="581"/>
      <c r="O462" s="581"/>
      <c r="P462" s="581"/>
      <c r="Q462" s="581"/>
      <c r="R462" s="581"/>
      <c r="S462" s="581"/>
      <c r="T462" s="581"/>
      <c r="U462" s="9"/>
      <c r="V462" s="9"/>
      <c r="W462" s="9"/>
      <c r="X462" s="9"/>
      <c r="Y462" s="9"/>
      <c r="Z462" s="9"/>
      <c r="AA462" s="9"/>
      <c r="AB462" s="9"/>
      <c r="AC462" s="9"/>
    </row>
    <row r="463" spans="1:29" ht="12.75" customHeight="1" x14ac:dyDescent="0.25">
      <c r="A463" s="9"/>
      <c r="B463" s="9"/>
      <c r="C463" s="9"/>
      <c r="D463" s="9"/>
      <c r="E463" s="9"/>
      <c r="F463" s="9"/>
      <c r="G463" s="9"/>
      <c r="H463" s="581"/>
      <c r="I463" s="581"/>
      <c r="J463" s="581"/>
      <c r="K463" s="581"/>
      <c r="L463" s="581"/>
      <c r="M463" s="581"/>
      <c r="N463" s="581"/>
      <c r="O463" s="581"/>
      <c r="P463" s="581"/>
      <c r="Q463" s="581"/>
      <c r="R463" s="581"/>
      <c r="S463" s="581"/>
      <c r="T463" s="581"/>
      <c r="U463" s="9"/>
      <c r="V463" s="9"/>
      <c r="W463" s="9"/>
      <c r="X463" s="9"/>
      <c r="Y463" s="9"/>
      <c r="Z463" s="9"/>
      <c r="AA463" s="9"/>
      <c r="AB463" s="9"/>
      <c r="AC463" s="9"/>
    </row>
    <row r="464" spans="1:29" ht="12.75" customHeight="1" x14ac:dyDescent="0.25">
      <c r="A464" s="9"/>
      <c r="B464" s="9"/>
      <c r="C464" s="9"/>
      <c r="D464" s="9"/>
      <c r="E464" s="9"/>
      <c r="F464" s="9"/>
      <c r="G464" s="9"/>
      <c r="H464" s="581"/>
      <c r="I464" s="581"/>
      <c r="J464" s="581"/>
      <c r="K464" s="581"/>
      <c r="L464" s="581"/>
      <c r="M464" s="581"/>
      <c r="N464" s="581"/>
      <c r="O464" s="581"/>
      <c r="P464" s="581"/>
      <c r="Q464" s="581"/>
      <c r="R464" s="581"/>
      <c r="S464" s="581"/>
      <c r="T464" s="581"/>
      <c r="U464" s="9"/>
      <c r="V464" s="9"/>
      <c r="W464" s="9"/>
      <c r="X464" s="9"/>
      <c r="Y464" s="9"/>
      <c r="Z464" s="9"/>
      <c r="AA464" s="9"/>
      <c r="AB464" s="9"/>
      <c r="AC464" s="9"/>
    </row>
    <row r="465" spans="1:29" ht="12.75" customHeight="1" x14ac:dyDescent="0.25">
      <c r="A465" s="9"/>
      <c r="B465" s="9"/>
      <c r="C465" s="9"/>
      <c r="D465" s="9"/>
      <c r="E465" s="9"/>
      <c r="F465" s="9"/>
      <c r="G465" s="9"/>
      <c r="H465" s="581"/>
      <c r="I465" s="581"/>
      <c r="J465" s="581"/>
      <c r="K465" s="581"/>
      <c r="L465" s="581"/>
      <c r="M465" s="581"/>
      <c r="N465" s="581"/>
      <c r="O465" s="581"/>
      <c r="P465" s="581"/>
      <c r="Q465" s="581"/>
      <c r="R465" s="581"/>
      <c r="S465" s="581"/>
      <c r="T465" s="581"/>
      <c r="U465" s="9"/>
      <c r="V465" s="9"/>
      <c r="W465" s="9"/>
      <c r="X465" s="9"/>
      <c r="Y465" s="9"/>
      <c r="Z465" s="9"/>
      <c r="AA465" s="9"/>
      <c r="AB465" s="9"/>
      <c r="AC465" s="9"/>
    </row>
    <row r="466" spans="1:29" ht="12.75" customHeight="1" x14ac:dyDescent="0.25">
      <c r="A466" s="9"/>
      <c r="B466" s="9"/>
      <c r="C466" s="9"/>
      <c r="D466" s="9"/>
      <c r="E466" s="9"/>
      <c r="F466" s="9"/>
      <c r="G466" s="9"/>
      <c r="H466" s="581"/>
      <c r="I466" s="581"/>
      <c r="J466" s="581"/>
      <c r="K466" s="581"/>
      <c r="L466" s="581"/>
      <c r="M466" s="581"/>
      <c r="N466" s="581"/>
      <c r="O466" s="581"/>
      <c r="P466" s="581"/>
      <c r="Q466" s="581"/>
      <c r="R466" s="581"/>
      <c r="S466" s="581"/>
      <c r="T466" s="581"/>
      <c r="U466" s="9"/>
      <c r="V466" s="9"/>
      <c r="W466" s="9"/>
      <c r="X466" s="9"/>
      <c r="Y466" s="9"/>
      <c r="Z466" s="9"/>
      <c r="AA466" s="9"/>
      <c r="AB466" s="9"/>
      <c r="AC466" s="9"/>
    </row>
    <row r="467" spans="1:29" ht="12.75" customHeight="1" x14ac:dyDescent="0.25">
      <c r="A467" s="9"/>
      <c r="B467" s="9"/>
      <c r="C467" s="9"/>
      <c r="D467" s="9"/>
      <c r="E467" s="9"/>
      <c r="F467" s="9"/>
      <c r="G467" s="9"/>
      <c r="H467" s="581"/>
      <c r="I467" s="581"/>
      <c r="J467" s="581"/>
      <c r="K467" s="581"/>
      <c r="L467" s="581"/>
      <c r="M467" s="581"/>
      <c r="N467" s="581"/>
      <c r="O467" s="581"/>
      <c r="P467" s="581"/>
      <c r="Q467" s="581"/>
      <c r="R467" s="581"/>
      <c r="S467" s="581"/>
      <c r="T467" s="581"/>
      <c r="U467" s="9"/>
      <c r="V467" s="9"/>
      <c r="W467" s="9"/>
      <c r="X467" s="9"/>
      <c r="Y467" s="9"/>
      <c r="Z467" s="9"/>
      <c r="AA467" s="9"/>
      <c r="AB467" s="9"/>
      <c r="AC467" s="9"/>
    </row>
    <row r="468" spans="1:29" ht="12.75" customHeight="1" x14ac:dyDescent="0.25">
      <c r="A468" s="9"/>
      <c r="B468" s="9"/>
      <c r="C468" s="9"/>
      <c r="D468" s="9"/>
      <c r="E468" s="9"/>
      <c r="F468" s="9"/>
      <c r="G468" s="9"/>
      <c r="H468" s="581"/>
      <c r="I468" s="581"/>
      <c r="J468" s="581"/>
      <c r="K468" s="581"/>
      <c r="L468" s="581"/>
      <c r="M468" s="581"/>
      <c r="N468" s="581"/>
      <c r="O468" s="581"/>
      <c r="P468" s="581"/>
      <c r="Q468" s="581"/>
      <c r="R468" s="581"/>
      <c r="S468" s="581"/>
      <c r="T468" s="581"/>
      <c r="U468" s="9"/>
      <c r="V468" s="9"/>
      <c r="W468" s="9"/>
      <c r="X468" s="9"/>
      <c r="Y468" s="9"/>
      <c r="Z468" s="9"/>
      <c r="AA468" s="9"/>
      <c r="AB468" s="9"/>
      <c r="AC468" s="9"/>
    </row>
    <row r="469" spans="1:29" ht="12.75" customHeight="1" x14ac:dyDescent="0.25">
      <c r="A469" s="9"/>
      <c r="B469" s="9"/>
      <c r="C469" s="9"/>
      <c r="D469" s="9"/>
      <c r="E469" s="9"/>
      <c r="F469" s="9"/>
      <c r="G469" s="9"/>
      <c r="H469" s="581"/>
      <c r="I469" s="581"/>
      <c r="J469" s="581"/>
      <c r="K469" s="581"/>
      <c r="L469" s="581"/>
      <c r="M469" s="581"/>
      <c r="N469" s="581"/>
      <c r="O469" s="581"/>
      <c r="P469" s="581"/>
      <c r="Q469" s="581"/>
      <c r="R469" s="581"/>
      <c r="S469" s="581"/>
      <c r="T469" s="581"/>
      <c r="U469" s="9"/>
      <c r="V469" s="9"/>
      <c r="W469" s="9"/>
      <c r="X469" s="9"/>
      <c r="Y469" s="9"/>
      <c r="Z469" s="9"/>
      <c r="AA469" s="9"/>
      <c r="AB469" s="9"/>
      <c r="AC469" s="9"/>
    </row>
    <row r="470" spans="1:29" ht="12.75" customHeight="1" x14ac:dyDescent="0.25">
      <c r="A470" s="9"/>
      <c r="B470" s="9"/>
      <c r="C470" s="9"/>
      <c r="D470" s="9"/>
      <c r="E470" s="9"/>
      <c r="F470" s="9"/>
      <c r="G470" s="9"/>
      <c r="H470" s="581"/>
      <c r="I470" s="581"/>
      <c r="J470" s="581"/>
      <c r="K470" s="581"/>
      <c r="L470" s="581"/>
      <c r="M470" s="581"/>
      <c r="N470" s="581"/>
      <c r="O470" s="581"/>
      <c r="P470" s="581"/>
      <c r="Q470" s="581"/>
      <c r="R470" s="581"/>
      <c r="S470" s="581"/>
      <c r="T470" s="581"/>
      <c r="U470" s="9"/>
      <c r="V470" s="9"/>
      <c r="W470" s="9"/>
      <c r="X470" s="9"/>
      <c r="Y470" s="9"/>
      <c r="Z470" s="9"/>
      <c r="AA470" s="9"/>
      <c r="AB470" s="9"/>
      <c r="AC470" s="9"/>
    </row>
    <row r="471" spans="1:29" ht="12.75" customHeight="1" x14ac:dyDescent="0.25">
      <c r="A471" s="9"/>
      <c r="B471" s="9"/>
      <c r="C471" s="9"/>
      <c r="D471" s="9"/>
      <c r="E471" s="9"/>
      <c r="F471" s="9"/>
      <c r="G471" s="9"/>
      <c r="H471" s="581"/>
      <c r="I471" s="581"/>
      <c r="J471" s="581"/>
      <c r="K471" s="581"/>
      <c r="L471" s="581"/>
      <c r="M471" s="581"/>
      <c r="N471" s="581"/>
      <c r="O471" s="581"/>
      <c r="P471" s="581"/>
      <c r="Q471" s="581"/>
      <c r="R471" s="581"/>
      <c r="S471" s="581"/>
      <c r="T471" s="581"/>
      <c r="U471" s="9"/>
      <c r="V471" s="9"/>
      <c r="W471" s="9"/>
      <c r="X471" s="9"/>
      <c r="Y471" s="9"/>
      <c r="Z471" s="9"/>
      <c r="AA471" s="9"/>
      <c r="AB471" s="9"/>
      <c r="AC471" s="9"/>
    </row>
    <row r="472" spans="1:29" ht="12.75" customHeight="1" x14ac:dyDescent="0.25">
      <c r="A472" s="9"/>
      <c r="B472" s="9"/>
      <c r="C472" s="9"/>
      <c r="D472" s="9"/>
      <c r="E472" s="9"/>
      <c r="F472" s="9"/>
      <c r="G472" s="9"/>
      <c r="H472" s="581"/>
      <c r="I472" s="581"/>
      <c r="J472" s="581"/>
      <c r="K472" s="581"/>
      <c r="L472" s="581"/>
      <c r="M472" s="581"/>
      <c r="N472" s="581"/>
      <c r="O472" s="581"/>
      <c r="P472" s="581"/>
      <c r="Q472" s="581"/>
      <c r="R472" s="581"/>
      <c r="S472" s="581"/>
      <c r="T472" s="581"/>
      <c r="U472" s="9"/>
      <c r="V472" s="9"/>
      <c r="W472" s="9"/>
      <c r="X472" s="9"/>
      <c r="Y472" s="9"/>
      <c r="Z472" s="9"/>
      <c r="AA472" s="9"/>
      <c r="AB472" s="9"/>
      <c r="AC472" s="9"/>
    </row>
    <row r="473" spans="1:29" ht="12.75" customHeight="1" x14ac:dyDescent="0.25">
      <c r="A473" s="9"/>
      <c r="B473" s="9"/>
      <c r="C473" s="9"/>
      <c r="D473" s="9"/>
      <c r="E473" s="9"/>
      <c r="F473" s="9"/>
      <c r="G473" s="9"/>
      <c r="H473" s="581"/>
      <c r="I473" s="581"/>
      <c r="J473" s="581"/>
      <c r="K473" s="581"/>
      <c r="L473" s="581"/>
      <c r="M473" s="581"/>
      <c r="N473" s="581"/>
      <c r="O473" s="581"/>
      <c r="P473" s="581"/>
      <c r="Q473" s="581"/>
      <c r="R473" s="581"/>
      <c r="S473" s="581"/>
      <c r="T473" s="581"/>
      <c r="U473" s="9"/>
      <c r="V473" s="9"/>
      <c r="W473" s="9"/>
      <c r="X473" s="9"/>
      <c r="Y473" s="9"/>
      <c r="Z473" s="9"/>
      <c r="AA473" s="9"/>
      <c r="AB473" s="9"/>
      <c r="AC473" s="9"/>
    </row>
    <row r="474" spans="1:29" ht="12.75" customHeight="1" x14ac:dyDescent="0.25">
      <c r="A474" s="9"/>
      <c r="B474" s="9"/>
      <c r="C474" s="9"/>
      <c r="D474" s="9"/>
      <c r="E474" s="9"/>
      <c r="F474" s="9"/>
      <c r="G474" s="9"/>
      <c r="H474" s="581"/>
      <c r="I474" s="581"/>
      <c r="J474" s="581"/>
      <c r="K474" s="581"/>
      <c r="L474" s="581"/>
      <c r="M474" s="581"/>
      <c r="N474" s="581"/>
      <c r="O474" s="581"/>
      <c r="P474" s="581"/>
      <c r="Q474" s="581"/>
      <c r="R474" s="581"/>
      <c r="S474" s="581"/>
      <c r="T474" s="581"/>
      <c r="U474" s="9"/>
      <c r="V474" s="9"/>
      <c r="W474" s="9"/>
      <c r="X474" s="9"/>
      <c r="Y474" s="9"/>
      <c r="Z474" s="9"/>
      <c r="AA474" s="9"/>
      <c r="AB474" s="9"/>
      <c r="AC474" s="9"/>
    </row>
    <row r="475" spans="1:29" ht="12.75" customHeight="1" x14ac:dyDescent="0.25">
      <c r="A475" s="9"/>
      <c r="B475" s="9"/>
      <c r="C475" s="9"/>
      <c r="D475" s="9"/>
      <c r="E475" s="9"/>
      <c r="F475" s="9"/>
      <c r="G475" s="9"/>
      <c r="H475" s="581"/>
      <c r="I475" s="581"/>
      <c r="J475" s="581"/>
      <c r="K475" s="581"/>
      <c r="L475" s="581"/>
      <c r="M475" s="581"/>
      <c r="N475" s="581"/>
      <c r="O475" s="581"/>
      <c r="P475" s="581"/>
      <c r="Q475" s="581"/>
      <c r="R475" s="581"/>
      <c r="S475" s="581"/>
      <c r="T475" s="581"/>
      <c r="U475" s="9"/>
      <c r="V475" s="9"/>
      <c r="W475" s="9"/>
      <c r="X475" s="9"/>
      <c r="Y475" s="9"/>
      <c r="Z475" s="9"/>
      <c r="AA475" s="9"/>
      <c r="AB475" s="9"/>
      <c r="AC475" s="9"/>
    </row>
    <row r="476" spans="1:29" ht="12.75" customHeight="1" x14ac:dyDescent="0.25">
      <c r="A476" s="9"/>
      <c r="B476" s="9"/>
      <c r="C476" s="9"/>
      <c r="D476" s="9"/>
      <c r="E476" s="9"/>
      <c r="F476" s="9"/>
      <c r="G476" s="9"/>
      <c r="H476" s="581"/>
      <c r="I476" s="581"/>
      <c r="J476" s="581"/>
      <c r="K476" s="581"/>
      <c r="L476" s="581"/>
      <c r="M476" s="581"/>
      <c r="N476" s="581"/>
      <c r="O476" s="581"/>
      <c r="P476" s="581"/>
      <c r="Q476" s="581"/>
      <c r="R476" s="581"/>
      <c r="S476" s="581"/>
      <c r="T476" s="581"/>
      <c r="U476" s="9"/>
      <c r="V476" s="9"/>
      <c r="W476" s="9"/>
      <c r="X476" s="9"/>
      <c r="Y476" s="9"/>
      <c r="Z476" s="9"/>
      <c r="AA476" s="9"/>
      <c r="AB476" s="9"/>
      <c r="AC476" s="9"/>
    </row>
    <row r="477" spans="1:29" ht="12.75" customHeight="1" x14ac:dyDescent="0.25">
      <c r="A477" s="9"/>
      <c r="B477" s="9"/>
      <c r="C477" s="9"/>
      <c r="D477" s="9"/>
      <c r="E477" s="9"/>
      <c r="F477" s="9"/>
      <c r="G477" s="9"/>
      <c r="H477" s="581"/>
      <c r="I477" s="581"/>
      <c r="J477" s="581"/>
      <c r="K477" s="581"/>
      <c r="L477" s="581"/>
      <c r="M477" s="581"/>
      <c r="N477" s="581"/>
      <c r="O477" s="581"/>
      <c r="P477" s="581"/>
      <c r="Q477" s="581"/>
      <c r="R477" s="581"/>
      <c r="S477" s="581"/>
      <c r="T477" s="581"/>
      <c r="U477" s="9"/>
      <c r="V477" s="9"/>
      <c r="W477" s="9"/>
      <c r="X477" s="9"/>
      <c r="Y477" s="9"/>
      <c r="Z477" s="9"/>
      <c r="AA477" s="9"/>
      <c r="AB477" s="9"/>
      <c r="AC477" s="9"/>
    </row>
    <row r="478" spans="1:29" ht="12.75" customHeight="1" x14ac:dyDescent="0.25">
      <c r="A478" s="9"/>
      <c r="B478" s="9"/>
      <c r="C478" s="9"/>
      <c r="D478" s="9"/>
      <c r="E478" s="9"/>
      <c r="F478" s="9"/>
      <c r="G478" s="9"/>
      <c r="H478" s="581"/>
      <c r="I478" s="581"/>
      <c r="J478" s="581"/>
      <c r="K478" s="581"/>
      <c r="L478" s="581"/>
      <c r="M478" s="581"/>
      <c r="N478" s="581"/>
      <c r="O478" s="581"/>
      <c r="P478" s="581"/>
      <c r="Q478" s="581"/>
      <c r="R478" s="581"/>
      <c r="S478" s="581"/>
      <c r="T478" s="581"/>
      <c r="U478" s="9"/>
      <c r="V478" s="9"/>
      <c r="W478" s="9"/>
      <c r="X478" s="9"/>
      <c r="Y478" s="9"/>
      <c r="Z478" s="9"/>
      <c r="AA478" s="9"/>
      <c r="AB478" s="9"/>
      <c r="AC478" s="9"/>
    </row>
    <row r="479" spans="1:29" ht="12.75" customHeight="1" x14ac:dyDescent="0.25">
      <c r="A479" s="9"/>
      <c r="B479" s="9"/>
      <c r="C479" s="9"/>
      <c r="D479" s="9"/>
      <c r="E479" s="9"/>
      <c r="F479" s="9"/>
      <c r="G479" s="9"/>
      <c r="H479" s="581"/>
      <c r="I479" s="581"/>
      <c r="J479" s="581"/>
      <c r="K479" s="581"/>
      <c r="L479" s="581"/>
      <c r="M479" s="581"/>
      <c r="N479" s="581"/>
      <c r="O479" s="581"/>
      <c r="P479" s="581"/>
      <c r="Q479" s="581"/>
      <c r="R479" s="581"/>
      <c r="S479" s="581"/>
      <c r="T479" s="581"/>
      <c r="U479" s="9"/>
      <c r="V479" s="9"/>
      <c r="W479" s="9"/>
      <c r="X479" s="9"/>
      <c r="Y479" s="9"/>
      <c r="Z479" s="9"/>
      <c r="AA479" s="9"/>
      <c r="AB479" s="9"/>
      <c r="AC479" s="9"/>
    </row>
    <row r="480" spans="1:29" ht="12.75" customHeight="1" x14ac:dyDescent="0.25">
      <c r="A480" s="9"/>
      <c r="B480" s="9"/>
      <c r="C480" s="9"/>
      <c r="D480" s="9"/>
      <c r="E480" s="9"/>
      <c r="F480" s="9"/>
      <c r="G480" s="9"/>
      <c r="H480" s="581"/>
      <c r="I480" s="581"/>
      <c r="J480" s="581"/>
      <c r="K480" s="581"/>
      <c r="L480" s="581"/>
      <c r="M480" s="581"/>
      <c r="N480" s="581"/>
      <c r="O480" s="581"/>
      <c r="P480" s="581"/>
      <c r="Q480" s="581"/>
      <c r="R480" s="581"/>
      <c r="S480" s="581"/>
      <c r="T480" s="581"/>
      <c r="U480" s="9"/>
      <c r="V480" s="9"/>
      <c r="W480" s="9"/>
      <c r="X480" s="9"/>
      <c r="Y480" s="9"/>
      <c r="Z480" s="9"/>
      <c r="AA480" s="9"/>
      <c r="AB480" s="9"/>
      <c r="AC480" s="9"/>
    </row>
    <row r="481" spans="1:29" ht="12.75" customHeight="1" x14ac:dyDescent="0.25">
      <c r="A481" s="9"/>
      <c r="B481" s="9"/>
      <c r="C481" s="9"/>
      <c r="D481" s="9"/>
      <c r="E481" s="9"/>
      <c r="F481" s="9"/>
      <c r="G481" s="9"/>
      <c r="H481" s="581"/>
      <c r="I481" s="581"/>
      <c r="J481" s="581"/>
      <c r="K481" s="581"/>
      <c r="L481" s="581"/>
      <c r="M481" s="581"/>
      <c r="N481" s="581"/>
      <c r="O481" s="581"/>
      <c r="P481" s="581"/>
      <c r="Q481" s="581"/>
      <c r="R481" s="581"/>
      <c r="S481" s="581"/>
      <c r="T481" s="581"/>
      <c r="U481" s="9"/>
      <c r="V481" s="9"/>
      <c r="W481" s="9"/>
      <c r="X481" s="9"/>
      <c r="Y481" s="9"/>
      <c r="Z481" s="9"/>
      <c r="AA481" s="9"/>
      <c r="AB481" s="9"/>
      <c r="AC481" s="9"/>
    </row>
    <row r="482" spans="1:29" ht="12.75" customHeight="1" x14ac:dyDescent="0.25">
      <c r="A482" s="9"/>
      <c r="B482" s="9"/>
      <c r="C482" s="9"/>
      <c r="D482" s="9"/>
      <c r="E482" s="9"/>
      <c r="F482" s="9"/>
      <c r="G482" s="9"/>
      <c r="H482" s="581"/>
      <c r="I482" s="581"/>
      <c r="J482" s="581"/>
      <c r="K482" s="581"/>
      <c r="L482" s="581"/>
      <c r="M482" s="581"/>
      <c r="N482" s="581"/>
      <c r="O482" s="581"/>
      <c r="P482" s="581"/>
      <c r="Q482" s="581"/>
      <c r="R482" s="581"/>
      <c r="S482" s="581"/>
      <c r="T482" s="581"/>
      <c r="U482" s="9"/>
      <c r="V482" s="9"/>
      <c r="W482" s="9"/>
      <c r="X482" s="9"/>
      <c r="Y482" s="9"/>
      <c r="Z482" s="9"/>
      <c r="AA482" s="9"/>
      <c r="AB482" s="9"/>
      <c r="AC482" s="9"/>
    </row>
    <row r="483" spans="1:29" ht="12.75" customHeight="1" x14ac:dyDescent="0.25">
      <c r="A483" s="9"/>
      <c r="B483" s="9"/>
      <c r="C483" s="9"/>
      <c r="D483" s="9"/>
      <c r="E483" s="9"/>
      <c r="F483" s="9"/>
      <c r="G483" s="9"/>
      <c r="H483" s="581"/>
      <c r="I483" s="581"/>
      <c r="J483" s="581"/>
      <c r="K483" s="581"/>
      <c r="L483" s="581"/>
      <c r="M483" s="581"/>
      <c r="N483" s="581"/>
      <c r="O483" s="581"/>
      <c r="P483" s="581"/>
      <c r="Q483" s="581"/>
      <c r="R483" s="581"/>
      <c r="S483" s="581"/>
      <c r="T483" s="581"/>
      <c r="U483" s="9"/>
      <c r="V483" s="9"/>
      <c r="W483" s="9"/>
      <c r="X483" s="9"/>
      <c r="Y483" s="9"/>
      <c r="Z483" s="9"/>
      <c r="AA483" s="9"/>
      <c r="AB483" s="9"/>
      <c r="AC483" s="9"/>
    </row>
    <row r="484" spans="1:29" ht="12.75" customHeight="1" x14ac:dyDescent="0.25">
      <c r="A484" s="9"/>
      <c r="B484" s="9"/>
      <c r="C484" s="9"/>
      <c r="D484" s="9"/>
      <c r="E484" s="9"/>
      <c r="F484" s="9"/>
      <c r="G484" s="9"/>
      <c r="H484" s="581"/>
      <c r="I484" s="581"/>
      <c r="J484" s="581"/>
      <c r="K484" s="581"/>
      <c r="L484" s="581"/>
      <c r="M484" s="581"/>
      <c r="N484" s="581"/>
      <c r="O484" s="581"/>
      <c r="P484" s="581"/>
      <c r="Q484" s="581"/>
      <c r="R484" s="581"/>
      <c r="S484" s="581"/>
      <c r="T484" s="581"/>
      <c r="U484" s="9"/>
      <c r="V484" s="9"/>
      <c r="W484" s="9"/>
      <c r="X484" s="9"/>
      <c r="Y484" s="9"/>
      <c r="Z484" s="9"/>
      <c r="AA484" s="9"/>
      <c r="AB484" s="9"/>
      <c r="AC484" s="9"/>
    </row>
    <row r="485" spans="1:29" ht="12.75" customHeight="1" x14ac:dyDescent="0.25">
      <c r="A485" s="9"/>
      <c r="B485" s="9"/>
      <c r="C485" s="9"/>
      <c r="D485" s="9"/>
      <c r="E485" s="9"/>
      <c r="F485" s="9"/>
      <c r="G485" s="9"/>
      <c r="H485" s="581"/>
      <c r="I485" s="581"/>
      <c r="J485" s="581"/>
      <c r="K485" s="581"/>
      <c r="L485" s="581"/>
      <c r="M485" s="581"/>
      <c r="N485" s="581"/>
      <c r="O485" s="581"/>
      <c r="P485" s="581"/>
      <c r="Q485" s="581"/>
      <c r="R485" s="581"/>
      <c r="S485" s="581"/>
      <c r="T485" s="581"/>
      <c r="U485" s="9"/>
      <c r="V485" s="9"/>
      <c r="W485" s="9"/>
      <c r="X485" s="9"/>
      <c r="Y485" s="9"/>
      <c r="Z485" s="9"/>
      <c r="AA485" s="9"/>
      <c r="AB485" s="9"/>
      <c r="AC485" s="9"/>
    </row>
    <row r="486" spans="1:29" ht="12.75" customHeight="1" x14ac:dyDescent="0.25">
      <c r="A486" s="9"/>
      <c r="B486" s="9"/>
      <c r="C486" s="9"/>
      <c r="D486" s="9"/>
      <c r="E486" s="9"/>
      <c r="F486" s="9"/>
      <c r="G486" s="9"/>
      <c r="H486" s="581"/>
      <c r="I486" s="581"/>
      <c r="J486" s="581"/>
      <c r="K486" s="581"/>
      <c r="L486" s="581"/>
      <c r="M486" s="581"/>
      <c r="N486" s="581"/>
      <c r="O486" s="581"/>
      <c r="P486" s="581"/>
      <c r="Q486" s="581"/>
      <c r="R486" s="581"/>
      <c r="S486" s="581"/>
      <c r="T486" s="581"/>
      <c r="U486" s="9"/>
      <c r="V486" s="9"/>
      <c r="W486" s="9"/>
      <c r="X486" s="9"/>
      <c r="Y486" s="9"/>
      <c r="Z486" s="9"/>
      <c r="AA486" s="9"/>
      <c r="AB486" s="9"/>
      <c r="AC486" s="9"/>
    </row>
    <row r="487" spans="1:29" ht="12.75" customHeight="1" x14ac:dyDescent="0.25">
      <c r="A487" s="9"/>
      <c r="B487" s="9"/>
      <c r="C487" s="9"/>
      <c r="D487" s="9"/>
      <c r="E487" s="9"/>
      <c r="F487" s="9"/>
      <c r="G487" s="9"/>
      <c r="H487" s="581"/>
      <c r="I487" s="581"/>
      <c r="J487" s="581"/>
      <c r="K487" s="581"/>
      <c r="L487" s="581"/>
      <c r="M487" s="581"/>
      <c r="N487" s="581"/>
      <c r="O487" s="581"/>
      <c r="P487" s="581"/>
      <c r="Q487" s="581"/>
      <c r="R487" s="581"/>
      <c r="S487" s="581"/>
      <c r="T487" s="581"/>
      <c r="U487" s="9"/>
      <c r="V487" s="9"/>
      <c r="W487" s="9"/>
      <c r="X487" s="9"/>
      <c r="Y487" s="9"/>
      <c r="Z487" s="9"/>
      <c r="AA487" s="9"/>
      <c r="AB487" s="9"/>
      <c r="AC487" s="9"/>
    </row>
    <row r="488" spans="1:29" ht="12.75" customHeight="1" x14ac:dyDescent="0.25">
      <c r="A488" s="9"/>
      <c r="B488" s="9"/>
      <c r="C488" s="9"/>
      <c r="D488" s="9"/>
      <c r="E488" s="9"/>
      <c r="F488" s="9"/>
      <c r="G488" s="9"/>
      <c r="H488" s="581"/>
      <c r="I488" s="581"/>
      <c r="J488" s="581"/>
      <c r="K488" s="581"/>
      <c r="L488" s="581"/>
      <c r="M488" s="581"/>
      <c r="N488" s="581"/>
      <c r="O488" s="581"/>
      <c r="P488" s="581"/>
      <c r="Q488" s="581"/>
      <c r="R488" s="581"/>
      <c r="S488" s="581"/>
      <c r="T488" s="581"/>
      <c r="U488" s="9"/>
      <c r="V488" s="9"/>
      <c r="W488" s="9"/>
      <c r="X488" s="9"/>
      <c r="Y488" s="9"/>
      <c r="Z488" s="9"/>
      <c r="AA488" s="9"/>
      <c r="AB488" s="9"/>
      <c r="AC488" s="9"/>
    </row>
    <row r="489" spans="1:29" ht="12.75" customHeight="1" x14ac:dyDescent="0.25">
      <c r="A489" s="9"/>
      <c r="B489" s="9"/>
      <c r="C489" s="9"/>
      <c r="D489" s="9"/>
      <c r="E489" s="9"/>
      <c r="F489" s="9"/>
      <c r="G489" s="9"/>
      <c r="H489" s="581"/>
      <c r="I489" s="581"/>
      <c r="J489" s="581"/>
      <c r="K489" s="581"/>
      <c r="L489" s="581"/>
      <c r="M489" s="581"/>
      <c r="N489" s="581"/>
      <c r="O489" s="581"/>
      <c r="P489" s="581"/>
      <c r="Q489" s="581"/>
      <c r="R489" s="581"/>
      <c r="S489" s="581"/>
      <c r="T489" s="581"/>
      <c r="U489" s="9"/>
      <c r="V489" s="9"/>
      <c r="W489" s="9"/>
      <c r="X489" s="9"/>
      <c r="Y489" s="9"/>
      <c r="Z489" s="9"/>
      <c r="AA489" s="9"/>
      <c r="AB489" s="9"/>
      <c r="AC489" s="9"/>
    </row>
    <row r="490" spans="1:29" ht="12.75" customHeight="1" x14ac:dyDescent="0.25">
      <c r="A490" s="9"/>
      <c r="B490" s="9"/>
      <c r="C490" s="9"/>
      <c r="D490" s="9"/>
      <c r="E490" s="9"/>
      <c r="F490" s="9"/>
      <c r="G490" s="9"/>
      <c r="H490" s="581"/>
      <c r="I490" s="581"/>
      <c r="J490" s="581"/>
      <c r="K490" s="581"/>
      <c r="L490" s="581"/>
      <c r="M490" s="581"/>
      <c r="N490" s="581"/>
      <c r="O490" s="581"/>
      <c r="P490" s="581"/>
      <c r="Q490" s="581"/>
      <c r="R490" s="581"/>
      <c r="S490" s="581"/>
      <c r="T490" s="581"/>
      <c r="U490" s="9"/>
      <c r="V490" s="9"/>
      <c r="W490" s="9"/>
      <c r="X490" s="9"/>
      <c r="Y490" s="9"/>
      <c r="Z490" s="9"/>
      <c r="AA490" s="9"/>
      <c r="AB490" s="9"/>
      <c r="AC490" s="9"/>
    </row>
    <row r="491" spans="1:29" ht="12.75" customHeight="1" x14ac:dyDescent="0.25">
      <c r="A491" s="9"/>
      <c r="B491" s="9"/>
      <c r="C491" s="9"/>
      <c r="D491" s="9"/>
      <c r="E491" s="9"/>
      <c r="F491" s="9"/>
      <c r="G491" s="9"/>
      <c r="H491" s="581"/>
      <c r="I491" s="581"/>
      <c r="J491" s="581"/>
      <c r="K491" s="581"/>
      <c r="L491" s="581"/>
      <c r="M491" s="581"/>
      <c r="N491" s="581"/>
      <c r="O491" s="581"/>
      <c r="P491" s="581"/>
      <c r="Q491" s="581"/>
      <c r="R491" s="581"/>
      <c r="S491" s="581"/>
      <c r="T491" s="581"/>
      <c r="U491" s="9"/>
      <c r="V491" s="9"/>
      <c r="W491" s="9"/>
      <c r="X491" s="9"/>
      <c r="Y491" s="9"/>
      <c r="Z491" s="9"/>
      <c r="AA491" s="9"/>
      <c r="AB491" s="9"/>
      <c r="AC491" s="9"/>
    </row>
    <row r="492" spans="1:29" ht="12.75" customHeight="1" x14ac:dyDescent="0.25">
      <c r="A492" s="9"/>
      <c r="B492" s="9"/>
      <c r="C492" s="9"/>
      <c r="D492" s="9"/>
      <c r="E492" s="9"/>
      <c r="F492" s="9"/>
      <c r="G492" s="9"/>
      <c r="H492" s="581"/>
      <c r="I492" s="581"/>
      <c r="J492" s="581"/>
      <c r="K492" s="581"/>
      <c r="L492" s="581"/>
      <c r="M492" s="581"/>
      <c r="N492" s="581"/>
      <c r="O492" s="581"/>
      <c r="P492" s="581"/>
      <c r="Q492" s="581"/>
      <c r="R492" s="581"/>
      <c r="S492" s="581"/>
      <c r="T492" s="581"/>
      <c r="U492" s="9"/>
      <c r="V492" s="9"/>
      <c r="W492" s="9"/>
      <c r="X492" s="9"/>
      <c r="Y492" s="9"/>
      <c r="Z492" s="9"/>
      <c r="AA492" s="9"/>
      <c r="AB492" s="9"/>
      <c r="AC492" s="9"/>
    </row>
    <row r="493" spans="1:29" ht="12.75" customHeight="1" x14ac:dyDescent="0.25">
      <c r="A493" s="9"/>
      <c r="B493" s="9"/>
      <c r="C493" s="9"/>
      <c r="D493" s="9"/>
      <c r="E493" s="9"/>
      <c r="F493" s="9"/>
      <c r="G493" s="9"/>
      <c r="H493" s="581"/>
      <c r="I493" s="581"/>
      <c r="J493" s="581"/>
      <c r="K493" s="581"/>
      <c r="L493" s="581"/>
      <c r="M493" s="581"/>
      <c r="N493" s="581"/>
      <c r="O493" s="581"/>
      <c r="P493" s="581"/>
      <c r="Q493" s="581"/>
      <c r="R493" s="581"/>
      <c r="S493" s="581"/>
      <c r="T493" s="581"/>
      <c r="U493" s="9"/>
      <c r="V493" s="9"/>
      <c r="W493" s="9"/>
      <c r="X493" s="9"/>
      <c r="Y493" s="9"/>
      <c r="Z493" s="9"/>
      <c r="AA493" s="9"/>
      <c r="AB493" s="9"/>
      <c r="AC493" s="9"/>
    </row>
    <row r="494" spans="1:29" ht="12.75" customHeight="1" x14ac:dyDescent="0.25">
      <c r="A494" s="9"/>
      <c r="B494" s="9"/>
      <c r="C494" s="9"/>
      <c r="D494" s="9"/>
      <c r="E494" s="9"/>
      <c r="F494" s="9"/>
      <c r="G494" s="9"/>
      <c r="H494" s="581"/>
      <c r="I494" s="581"/>
      <c r="J494" s="581"/>
      <c r="K494" s="581"/>
      <c r="L494" s="581"/>
      <c r="M494" s="581"/>
      <c r="N494" s="581"/>
      <c r="O494" s="581"/>
      <c r="P494" s="581"/>
      <c r="Q494" s="581"/>
      <c r="R494" s="581"/>
      <c r="S494" s="581"/>
      <c r="T494" s="581"/>
      <c r="U494" s="9"/>
      <c r="V494" s="9"/>
      <c r="W494" s="9"/>
      <c r="X494" s="9"/>
      <c r="Y494" s="9"/>
      <c r="Z494" s="9"/>
      <c r="AA494" s="9"/>
      <c r="AB494" s="9"/>
      <c r="AC494" s="9"/>
    </row>
    <row r="495" spans="1:29" ht="12.75" customHeight="1" x14ac:dyDescent="0.25">
      <c r="A495" s="9"/>
      <c r="B495" s="9"/>
      <c r="C495" s="9"/>
      <c r="D495" s="9"/>
      <c r="E495" s="9"/>
      <c r="F495" s="9"/>
      <c r="G495" s="9"/>
      <c r="H495" s="581"/>
      <c r="I495" s="581"/>
      <c r="J495" s="581"/>
      <c r="K495" s="581"/>
      <c r="L495" s="581"/>
      <c r="M495" s="581"/>
      <c r="N495" s="581"/>
      <c r="O495" s="581"/>
      <c r="P495" s="581"/>
      <c r="Q495" s="581"/>
      <c r="R495" s="581"/>
      <c r="S495" s="581"/>
      <c r="T495" s="581"/>
      <c r="U495" s="9"/>
      <c r="V495" s="9"/>
      <c r="W495" s="9"/>
      <c r="X495" s="9"/>
      <c r="Y495" s="9"/>
      <c r="Z495" s="9"/>
      <c r="AA495" s="9"/>
      <c r="AB495" s="9"/>
      <c r="AC495" s="9"/>
    </row>
    <row r="496" spans="1:29" ht="12.75" customHeight="1" x14ac:dyDescent="0.25">
      <c r="A496" s="9"/>
      <c r="B496" s="9"/>
      <c r="C496" s="9"/>
      <c r="D496" s="9"/>
      <c r="E496" s="9"/>
      <c r="F496" s="9"/>
      <c r="G496" s="9"/>
      <c r="H496" s="581"/>
      <c r="I496" s="581"/>
      <c r="J496" s="581"/>
      <c r="K496" s="581"/>
      <c r="L496" s="581"/>
      <c r="M496" s="581"/>
      <c r="N496" s="581"/>
      <c r="O496" s="581"/>
      <c r="P496" s="581"/>
      <c r="Q496" s="581"/>
      <c r="R496" s="581"/>
      <c r="S496" s="581"/>
      <c r="T496" s="581"/>
      <c r="U496" s="9"/>
      <c r="V496" s="9"/>
      <c r="W496" s="9"/>
      <c r="X496" s="9"/>
      <c r="Y496" s="9"/>
      <c r="Z496" s="9"/>
      <c r="AA496" s="9"/>
      <c r="AB496" s="9"/>
      <c r="AC496" s="9"/>
    </row>
    <row r="497" spans="1:29" ht="12.75" customHeight="1" x14ac:dyDescent="0.25">
      <c r="A497" s="9"/>
      <c r="B497" s="9"/>
      <c r="C497" s="9"/>
      <c r="D497" s="9"/>
      <c r="E497" s="9"/>
      <c r="F497" s="9"/>
      <c r="G497" s="9"/>
      <c r="H497" s="581"/>
      <c r="I497" s="581"/>
      <c r="J497" s="581"/>
      <c r="K497" s="581"/>
      <c r="L497" s="581"/>
      <c r="M497" s="581"/>
      <c r="N497" s="581"/>
      <c r="O497" s="581"/>
      <c r="P497" s="581"/>
      <c r="Q497" s="581"/>
      <c r="R497" s="581"/>
      <c r="S497" s="581"/>
      <c r="T497" s="581"/>
      <c r="U497" s="9"/>
      <c r="V497" s="9"/>
      <c r="W497" s="9"/>
      <c r="X497" s="9"/>
      <c r="Y497" s="9"/>
      <c r="Z497" s="9"/>
      <c r="AA497" s="9"/>
      <c r="AB497" s="9"/>
      <c r="AC497" s="9"/>
    </row>
    <row r="498" spans="1:29" ht="12.75" customHeight="1" x14ac:dyDescent="0.25">
      <c r="A498" s="9"/>
      <c r="B498" s="9"/>
      <c r="C498" s="9"/>
      <c r="D498" s="9"/>
      <c r="E498" s="9"/>
      <c r="F498" s="9"/>
      <c r="G498" s="9"/>
      <c r="H498" s="581"/>
      <c r="I498" s="581"/>
      <c r="J498" s="581"/>
      <c r="K498" s="581"/>
      <c r="L498" s="581"/>
      <c r="M498" s="581"/>
      <c r="N498" s="581"/>
      <c r="O498" s="581"/>
      <c r="P498" s="581"/>
      <c r="Q498" s="581"/>
      <c r="R498" s="581"/>
      <c r="S498" s="581"/>
      <c r="T498" s="581"/>
      <c r="U498" s="9"/>
      <c r="V498" s="9"/>
      <c r="W498" s="9"/>
      <c r="X498" s="9"/>
      <c r="Y498" s="9"/>
      <c r="Z498" s="9"/>
      <c r="AA498" s="9"/>
      <c r="AB498" s="9"/>
      <c r="AC498" s="9"/>
    </row>
    <row r="499" spans="1:29" ht="12.75" customHeight="1" x14ac:dyDescent="0.25">
      <c r="A499" s="9"/>
      <c r="B499" s="9"/>
      <c r="C499" s="9"/>
      <c r="D499" s="9"/>
      <c r="E499" s="9"/>
      <c r="F499" s="9"/>
      <c r="G499" s="9"/>
      <c r="H499" s="581"/>
      <c r="I499" s="581"/>
      <c r="J499" s="581"/>
      <c r="K499" s="581"/>
      <c r="L499" s="581"/>
      <c r="M499" s="581"/>
      <c r="N499" s="581"/>
      <c r="O499" s="581"/>
      <c r="P499" s="581"/>
      <c r="Q499" s="581"/>
      <c r="R499" s="581"/>
      <c r="S499" s="581"/>
      <c r="T499" s="581"/>
      <c r="U499" s="9"/>
      <c r="V499" s="9"/>
      <c r="W499" s="9"/>
      <c r="X499" s="9"/>
      <c r="Y499" s="9"/>
      <c r="Z499" s="9"/>
      <c r="AA499" s="9"/>
      <c r="AB499" s="9"/>
      <c r="AC499" s="9"/>
    </row>
    <row r="500" spans="1:29" ht="12.75" customHeight="1" x14ac:dyDescent="0.25">
      <c r="A500" s="9"/>
      <c r="B500" s="9"/>
      <c r="C500" s="9"/>
      <c r="D500" s="9"/>
      <c r="E500" s="9"/>
      <c r="F500" s="9"/>
      <c r="G500" s="9"/>
      <c r="H500" s="581"/>
      <c r="I500" s="581"/>
      <c r="J500" s="581"/>
      <c r="K500" s="581"/>
      <c r="L500" s="581"/>
      <c r="M500" s="581"/>
      <c r="N500" s="581"/>
      <c r="O500" s="581"/>
      <c r="P500" s="581"/>
      <c r="Q500" s="581"/>
      <c r="R500" s="581"/>
      <c r="S500" s="581"/>
      <c r="T500" s="581"/>
      <c r="U500" s="9"/>
      <c r="V500" s="9"/>
      <c r="W500" s="9"/>
      <c r="X500" s="9"/>
      <c r="Y500" s="9"/>
      <c r="Z500" s="9"/>
      <c r="AA500" s="9"/>
      <c r="AB500" s="9"/>
      <c r="AC500" s="9"/>
    </row>
    <row r="501" spans="1:29" ht="12.75" customHeight="1" x14ac:dyDescent="0.25">
      <c r="A501" s="9"/>
      <c r="B501" s="9"/>
      <c r="C501" s="9"/>
      <c r="D501" s="9"/>
      <c r="E501" s="9"/>
      <c r="F501" s="9"/>
      <c r="G501" s="9"/>
      <c r="H501" s="581"/>
      <c r="I501" s="581"/>
      <c r="J501" s="581"/>
      <c r="K501" s="581"/>
      <c r="L501" s="581"/>
      <c r="M501" s="581"/>
      <c r="N501" s="581"/>
      <c r="O501" s="581"/>
      <c r="P501" s="581"/>
      <c r="Q501" s="581"/>
      <c r="R501" s="581"/>
      <c r="S501" s="581"/>
      <c r="T501" s="581"/>
      <c r="U501" s="9"/>
      <c r="V501" s="9"/>
      <c r="W501" s="9"/>
      <c r="X501" s="9"/>
      <c r="Y501" s="9"/>
      <c r="Z501" s="9"/>
      <c r="AA501" s="9"/>
      <c r="AB501" s="9"/>
      <c r="AC501" s="9"/>
    </row>
    <row r="502" spans="1:29" ht="12.75" customHeight="1" x14ac:dyDescent="0.25">
      <c r="A502" s="9"/>
      <c r="B502" s="9"/>
      <c r="C502" s="9"/>
      <c r="D502" s="9"/>
      <c r="E502" s="9"/>
      <c r="F502" s="9"/>
      <c r="G502" s="9"/>
      <c r="H502" s="581"/>
      <c r="I502" s="581"/>
      <c r="J502" s="581"/>
      <c r="K502" s="581"/>
      <c r="L502" s="581"/>
      <c r="M502" s="581"/>
      <c r="N502" s="581"/>
      <c r="O502" s="581"/>
      <c r="P502" s="581"/>
      <c r="Q502" s="581"/>
      <c r="R502" s="581"/>
      <c r="S502" s="581"/>
      <c r="T502" s="581"/>
      <c r="U502" s="9"/>
      <c r="V502" s="9"/>
      <c r="W502" s="9"/>
      <c r="X502" s="9"/>
      <c r="Y502" s="9"/>
      <c r="Z502" s="9"/>
      <c r="AA502" s="9"/>
      <c r="AB502" s="9"/>
      <c r="AC502" s="9"/>
    </row>
    <row r="503" spans="1:29" ht="12.75" customHeight="1" x14ac:dyDescent="0.25">
      <c r="A503" s="9"/>
      <c r="B503" s="9"/>
      <c r="C503" s="9"/>
      <c r="D503" s="9"/>
      <c r="E503" s="9"/>
      <c r="F503" s="9"/>
      <c r="G503" s="9"/>
      <c r="H503" s="581"/>
      <c r="I503" s="581"/>
      <c r="J503" s="581"/>
      <c r="K503" s="581"/>
      <c r="L503" s="581"/>
      <c r="M503" s="581"/>
      <c r="N503" s="581"/>
      <c r="O503" s="581"/>
      <c r="P503" s="581"/>
      <c r="Q503" s="581"/>
      <c r="R503" s="581"/>
      <c r="S503" s="581"/>
      <c r="T503" s="581"/>
      <c r="U503" s="9"/>
      <c r="V503" s="9"/>
      <c r="W503" s="9"/>
      <c r="X503" s="9"/>
      <c r="Y503" s="9"/>
      <c r="Z503" s="9"/>
      <c r="AA503" s="9"/>
      <c r="AB503" s="9"/>
      <c r="AC503" s="9"/>
    </row>
    <row r="504" spans="1:29" ht="12.75" customHeight="1" x14ac:dyDescent="0.25">
      <c r="A504" s="9"/>
      <c r="B504" s="9"/>
      <c r="C504" s="9"/>
      <c r="D504" s="9"/>
      <c r="E504" s="9"/>
      <c r="F504" s="9"/>
      <c r="G504" s="9"/>
      <c r="H504" s="581"/>
      <c r="I504" s="581"/>
      <c r="J504" s="581"/>
      <c r="K504" s="581"/>
      <c r="L504" s="581"/>
      <c r="M504" s="581"/>
      <c r="N504" s="581"/>
      <c r="O504" s="581"/>
      <c r="P504" s="581"/>
      <c r="Q504" s="581"/>
      <c r="R504" s="581"/>
      <c r="S504" s="581"/>
      <c r="T504" s="581"/>
      <c r="U504" s="9"/>
      <c r="V504" s="9"/>
      <c r="W504" s="9"/>
      <c r="X504" s="9"/>
      <c r="Y504" s="9"/>
      <c r="Z504" s="9"/>
      <c r="AA504" s="9"/>
      <c r="AB504" s="9"/>
      <c r="AC504" s="9"/>
    </row>
    <row r="505" spans="1:29" ht="12.75" customHeight="1" x14ac:dyDescent="0.25">
      <c r="A505" s="9"/>
      <c r="B505" s="9"/>
      <c r="C505" s="9"/>
      <c r="D505" s="9"/>
      <c r="E505" s="9"/>
      <c r="F505" s="9"/>
      <c r="G505" s="9"/>
      <c r="H505" s="581"/>
      <c r="I505" s="581"/>
      <c r="J505" s="581"/>
      <c r="K505" s="581"/>
      <c r="L505" s="581"/>
      <c r="M505" s="581"/>
      <c r="N505" s="581"/>
      <c r="O505" s="581"/>
      <c r="P505" s="581"/>
      <c r="Q505" s="581"/>
      <c r="R505" s="581"/>
      <c r="S505" s="581"/>
      <c r="T505" s="581"/>
      <c r="U505" s="9"/>
      <c r="V505" s="9"/>
      <c r="W505" s="9"/>
      <c r="X505" s="9"/>
      <c r="Y505" s="9"/>
      <c r="Z505" s="9"/>
      <c r="AA505" s="9"/>
      <c r="AB505" s="9"/>
      <c r="AC505" s="9"/>
    </row>
    <row r="506" spans="1:29" ht="12.75" customHeight="1" x14ac:dyDescent="0.25">
      <c r="A506" s="9"/>
      <c r="B506" s="9"/>
      <c r="C506" s="9"/>
      <c r="D506" s="9"/>
      <c r="E506" s="9"/>
      <c r="F506" s="9"/>
      <c r="G506" s="9"/>
      <c r="H506" s="581"/>
      <c r="I506" s="581"/>
      <c r="J506" s="581"/>
      <c r="K506" s="581"/>
      <c r="L506" s="581"/>
      <c r="M506" s="581"/>
      <c r="N506" s="581"/>
      <c r="O506" s="581"/>
      <c r="P506" s="581"/>
      <c r="Q506" s="581"/>
      <c r="R506" s="581"/>
      <c r="S506" s="581"/>
      <c r="T506" s="581"/>
      <c r="U506" s="9"/>
      <c r="V506" s="9"/>
      <c r="W506" s="9"/>
      <c r="X506" s="9"/>
      <c r="Y506" s="9"/>
      <c r="Z506" s="9"/>
      <c r="AA506" s="9"/>
      <c r="AB506" s="9"/>
      <c r="AC506" s="9"/>
    </row>
    <row r="507" spans="1:29" ht="12.75" customHeight="1" x14ac:dyDescent="0.25">
      <c r="A507" s="9"/>
      <c r="B507" s="9"/>
      <c r="C507" s="9"/>
      <c r="D507" s="9"/>
      <c r="E507" s="9"/>
      <c r="F507" s="9"/>
      <c r="G507" s="9"/>
      <c r="H507" s="581"/>
      <c r="I507" s="581"/>
      <c r="J507" s="581"/>
      <c r="K507" s="581"/>
      <c r="L507" s="581"/>
      <c r="M507" s="581"/>
      <c r="N507" s="581"/>
      <c r="O507" s="581"/>
      <c r="P507" s="581"/>
      <c r="Q507" s="581"/>
      <c r="R507" s="581"/>
      <c r="S507" s="581"/>
      <c r="T507" s="581"/>
      <c r="U507" s="9"/>
      <c r="V507" s="9"/>
      <c r="W507" s="9"/>
      <c r="X507" s="9"/>
      <c r="Y507" s="9"/>
      <c r="Z507" s="9"/>
      <c r="AA507" s="9"/>
      <c r="AB507" s="9"/>
      <c r="AC507" s="9"/>
    </row>
    <row r="508" spans="1:29" ht="12.75" customHeight="1" x14ac:dyDescent="0.25">
      <c r="A508" s="9"/>
      <c r="B508" s="9"/>
      <c r="C508" s="9"/>
      <c r="D508" s="9"/>
      <c r="E508" s="9"/>
      <c r="F508" s="9"/>
      <c r="G508" s="9"/>
      <c r="H508" s="581"/>
      <c r="I508" s="581"/>
      <c r="J508" s="581"/>
      <c r="K508" s="581"/>
      <c r="L508" s="581"/>
      <c r="M508" s="581"/>
      <c r="N508" s="581"/>
      <c r="O508" s="581"/>
      <c r="P508" s="581"/>
      <c r="Q508" s="581"/>
      <c r="R508" s="581"/>
      <c r="S508" s="581"/>
      <c r="T508" s="581"/>
      <c r="U508" s="9"/>
      <c r="V508" s="9"/>
      <c r="W508" s="9"/>
      <c r="X508" s="9"/>
      <c r="Y508" s="9"/>
      <c r="Z508" s="9"/>
      <c r="AA508" s="9"/>
      <c r="AB508" s="9"/>
      <c r="AC508" s="9"/>
    </row>
    <row r="509" spans="1:29" ht="12.75" customHeight="1" x14ac:dyDescent="0.25">
      <c r="A509" s="9"/>
      <c r="B509" s="9"/>
      <c r="C509" s="9"/>
      <c r="D509" s="9"/>
      <c r="E509" s="9"/>
      <c r="F509" s="9"/>
      <c r="G509" s="9"/>
      <c r="H509" s="581"/>
      <c r="I509" s="581"/>
      <c r="J509" s="581"/>
      <c r="K509" s="581"/>
      <c r="L509" s="581"/>
      <c r="M509" s="581"/>
      <c r="N509" s="581"/>
      <c r="O509" s="581"/>
      <c r="P509" s="581"/>
      <c r="Q509" s="581"/>
      <c r="R509" s="581"/>
      <c r="S509" s="581"/>
      <c r="T509" s="581"/>
      <c r="U509" s="9"/>
      <c r="V509" s="9"/>
      <c r="W509" s="9"/>
      <c r="X509" s="9"/>
      <c r="Y509" s="9"/>
      <c r="Z509" s="9"/>
      <c r="AA509" s="9"/>
      <c r="AB509" s="9"/>
      <c r="AC509" s="9"/>
    </row>
    <row r="510" spans="1:29" ht="12.75" customHeight="1" x14ac:dyDescent="0.25">
      <c r="A510" s="9"/>
      <c r="B510" s="9"/>
      <c r="C510" s="9"/>
      <c r="D510" s="9"/>
      <c r="E510" s="9"/>
      <c r="F510" s="9"/>
      <c r="G510" s="9"/>
      <c r="H510" s="581"/>
      <c r="I510" s="581"/>
      <c r="J510" s="581"/>
      <c r="K510" s="581"/>
      <c r="L510" s="581"/>
      <c r="M510" s="581"/>
      <c r="N510" s="581"/>
      <c r="O510" s="581"/>
      <c r="P510" s="581"/>
      <c r="Q510" s="581"/>
      <c r="R510" s="581"/>
      <c r="S510" s="581"/>
      <c r="T510" s="581"/>
      <c r="U510" s="9"/>
      <c r="V510" s="9"/>
      <c r="W510" s="9"/>
      <c r="X510" s="9"/>
      <c r="Y510" s="9"/>
      <c r="Z510" s="9"/>
      <c r="AA510" s="9"/>
      <c r="AB510" s="9"/>
      <c r="AC510" s="9"/>
    </row>
    <row r="511" spans="1:29" ht="12.75" customHeight="1" x14ac:dyDescent="0.25">
      <c r="A511" s="9"/>
      <c r="B511" s="9"/>
      <c r="C511" s="9"/>
      <c r="D511" s="9"/>
      <c r="E511" s="9"/>
      <c r="F511" s="9"/>
      <c r="G511" s="9"/>
      <c r="H511" s="581"/>
      <c r="I511" s="581"/>
      <c r="J511" s="581"/>
      <c r="K511" s="581"/>
      <c r="L511" s="581"/>
      <c r="M511" s="581"/>
      <c r="N511" s="581"/>
      <c r="O511" s="581"/>
      <c r="P511" s="581"/>
      <c r="Q511" s="581"/>
      <c r="R511" s="581"/>
      <c r="S511" s="581"/>
      <c r="T511" s="581"/>
      <c r="U511" s="9"/>
      <c r="V511" s="9"/>
      <c r="W511" s="9"/>
      <c r="X511" s="9"/>
      <c r="Y511" s="9"/>
      <c r="Z511" s="9"/>
      <c r="AA511" s="9"/>
      <c r="AB511" s="9"/>
      <c r="AC511" s="9"/>
    </row>
    <row r="512" spans="1:29" ht="12.75" customHeight="1" x14ac:dyDescent="0.25">
      <c r="A512" s="9"/>
      <c r="B512" s="9"/>
      <c r="C512" s="9"/>
      <c r="D512" s="9"/>
      <c r="E512" s="9"/>
      <c r="F512" s="9"/>
      <c r="G512" s="9"/>
      <c r="H512" s="581"/>
      <c r="I512" s="581"/>
      <c r="J512" s="581"/>
      <c r="K512" s="581"/>
      <c r="L512" s="581"/>
      <c r="M512" s="581"/>
      <c r="N512" s="581"/>
      <c r="O512" s="581"/>
      <c r="P512" s="581"/>
      <c r="Q512" s="581"/>
      <c r="R512" s="581"/>
      <c r="S512" s="581"/>
      <c r="T512" s="581"/>
      <c r="U512" s="9"/>
      <c r="V512" s="9"/>
      <c r="W512" s="9"/>
      <c r="X512" s="9"/>
      <c r="Y512" s="9"/>
      <c r="Z512" s="9"/>
      <c r="AA512" s="9"/>
      <c r="AB512" s="9"/>
      <c r="AC512" s="9"/>
    </row>
    <row r="513" spans="1:29" ht="12.75" customHeight="1" x14ac:dyDescent="0.25">
      <c r="A513" s="9"/>
      <c r="B513" s="9"/>
      <c r="C513" s="9"/>
      <c r="D513" s="9"/>
      <c r="E513" s="9"/>
      <c r="F513" s="9"/>
      <c r="G513" s="9"/>
      <c r="H513" s="581"/>
      <c r="I513" s="581"/>
      <c r="J513" s="581"/>
      <c r="K513" s="581"/>
      <c r="L513" s="581"/>
      <c r="M513" s="581"/>
      <c r="N513" s="581"/>
      <c r="O513" s="581"/>
      <c r="P513" s="581"/>
      <c r="Q513" s="581"/>
      <c r="R513" s="581"/>
      <c r="S513" s="581"/>
      <c r="T513" s="581"/>
      <c r="U513" s="9"/>
      <c r="V513" s="9"/>
      <c r="W513" s="9"/>
      <c r="X513" s="9"/>
      <c r="Y513" s="9"/>
      <c r="Z513" s="9"/>
      <c r="AA513" s="9"/>
      <c r="AB513" s="9"/>
      <c r="AC513" s="9"/>
    </row>
    <row r="514" spans="1:29" ht="12.75" customHeight="1" x14ac:dyDescent="0.25">
      <c r="A514" s="9"/>
      <c r="B514" s="9"/>
      <c r="C514" s="9"/>
      <c r="D514" s="9"/>
      <c r="E514" s="9"/>
      <c r="F514" s="9"/>
      <c r="G514" s="9"/>
      <c r="H514" s="581"/>
      <c r="I514" s="581"/>
      <c r="J514" s="581"/>
      <c r="K514" s="581"/>
      <c r="L514" s="581"/>
      <c r="M514" s="581"/>
      <c r="N514" s="581"/>
      <c r="O514" s="581"/>
      <c r="P514" s="581"/>
      <c r="Q514" s="581"/>
      <c r="R514" s="581"/>
      <c r="S514" s="581"/>
      <c r="T514" s="581"/>
      <c r="U514" s="9"/>
      <c r="V514" s="9"/>
      <c r="W514" s="9"/>
      <c r="X514" s="9"/>
      <c r="Y514" s="9"/>
      <c r="Z514" s="9"/>
      <c r="AA514" s="9"/>
      <c r="AB514" s="9"/>
      <c r="AC514" s="9"/>
    </row>
    <row r="515" spans="1:29" ht="12.75" customHeight="1" x14ac:dyDescent="0.25">
      <c r="A515" s="9"/>
      <c r="B515" s="9"/>
      <c r="C515" s="9"/>
      <c r="D515" s="9"/>
      <c r="E515" s="9"/>
      <c r="F515" s="9"/>
      <c r="G515" s="9"/>
      <c r="H515" s="581"/>
      <c r="I515" s="581"/>
      <c r="J515" s="581"/>
      <c r="K515" s="581"/>
      <c r="L515" s="581"/>
      <c r="M515" s="581"/>
      <c r="N515" s="581"/>
      <c r="O515" s="581"/>
      <c r="P515" s="581"/>
      <c r="Q515" s="581"/>
      <c r="R515" s="581"/>
      <c r="S515" s="581"/>
      <c r="T515" s="581"/>
      <c r="U515" s="9"/>
      <c r="V515" s="9"/>
      <c r="W515" s="9"/>
      <c r="X515" s="9"/>
      <c r="Y515" s="9"/>
      <c r="Z515" s="9"/>
      <c r="AA515" s="9"/>
      <c r="AB515" s="9"/>
      <c r="AC515" s="9"/>
    </row>
    <row r="516" spans="1:29" ht="12.75" customHeight="1" x14ac:dyDescent="0.25">
      <c r="A516" s="9"/>
      <c r="B516" s="9"/>
      <c r="C516" s="9"/>
      <c r="D516" s="9"/>
      <c r="E516" s="9"/>
      <c r="F516" s="9"/>
      <c r="G516" s="9"/>
      <c r="H516" s="581"/>
      <c r="I516" s="581"/>
      <c r="J516" s="581"/>
      <c r="K516" s="581"/>
      <c r="L516" s="581"/>
      <c r="M516" s="581"/>
      <c r="N516" s="581"/>
      <c r="O516" s="581"/>
      <c r="P516" s="581"/>
      <c r="Q516" s="581"/>
      <c r="R516" s="581"/>
      <c r="S516" s="581"/>
      <c r="T516" s="581"/>
      <c r="U516" s="9"/>
      <c r="V516" s="9"/>
      <c r="W516" s="9"/>
      <c r="X516" s="9"/>
      <c r="Y516" s="9"/>
      <c r="Z516" s="9"/>
      <c r="AA516" s="9"/>
      <c r="AB516" s="9"/>
      <c r="AC516" s="9"/>
    </row>
    <row r="517" spans="1:29" ht="12.75" customHeight="1" x14ac:dyDescent="0.25">
      <c r="A517" s="9"/>
      <c r="B517" s="9"/>
      <c r="C517" s="9"/>
      <c r="D517" s="9"/>
      <c r="E517" s="9"/>
      <c r="F517" s="9"/>
      <c r="G517" s="9"/>
      <c r="H517" s="581"/>
      <c r="I517" s="581"/>
      <c r="J517" s="581"/>
      <c r="K517" s="581"/>
      <c r="L517" s="581"/>
      <c r="M517" s="581"/>
      <c r="N517" s="581"/>
      <c r="O517" s="581"/>
      <c r="P517" s="581"/>
      <c r="Q517" s="581"/>
      <c r="R517" s="581"/>
      <c r="S517" s="581"/>
      <c r="T517" s="581"/>
      <c r="U517" s="9"/>
      <c r="V517" s="9"/>
      <c r="W517" s="9"/>
      <c r="X517" s="9"/>
      <c r="Y517" s="9"/>
      <c r="Z517" s="9"/>
      <c r="AA517" s="9"/>
      <c r="AB517" s="9"/>
      <c r="AC517" s="9"/>
    </row>
    <row r="518" spans="1:29" ht="12.75" customHeight="1" x14ac:dyDescent="0.25">
      <c r="A518" s="9"/>
      <c r="B518" s="9"/>
      <c r="C518" s="9"/>
      <c r="D518" s="9"/>
      <c r="E518" s="9"/>
      <c r="F518" s="9"/>
      <c r="G518" s="9"/>
      <c r="H518" s="581"/>
      <c r="I518" s="581"/>
      <c r="J518" s="581"/>
      <c r="K518" s="581"/>
      <c r="L518" s="581"/>
      <c r="M518" s="581"/>
      <c r="N518" s="581"/>
      <c r="O518" s="581"/>
      <c r="P518" s="581"/>
      <c r="Q518" s="581"/>
      <c r="R518" s="581"/>
      <c r="S518" s="581"/>
      <c r="T518" s="581"/>
      <c r="U518" s="9"/>
      <c r="V518" s="9"/>
      <c r="W518" s="9"/>
      <c r="X518" s="9"/>
      <c r="Y518" s="9"/>
      <c r="Z518" s="9"/>
      <c r="AA518" s="9"/>
      <c r="AB518" s="9"/>
      <c r="AC518" s="9"/>
    </row>
    <row r="519" spans="1:29" ht="12.75" customHeight="1" x14ac:dyDescent="0.25">
      <c r="A519" s="9"/>
      <c r="B519" s="9"/>
      <c r="C519" s="9"/>
      <c r="D519" s="9"/>
      <c r="E519" s="9"/>
      <c r="F519" s="9"/>
      <c r="G519" s="9"/>
      <c r="H519" s="581"/>
      <c r="I519" s="581"/>
      <c r="J519" s="581"/>
      <c r="K519" s="581"/>
      <c r="L519" s="581"/>
      <c r="M519" s="581"/>
      <c r="N519" s="581"/>
      <c r="O519" s="581"/>
      <c r="P519" s="581"/>
      <c r="Q519" s="581"/>
      <c r="R519" s="581"/>
      <c r="S519" s="581"/>
      <c r="T519" s="581"/>
      <c r="U519" s="9"/>
      <c r="V519" s="9"/>
      <c r="W519" s="9"/>
      <c r="X519" s="9"/>
      <c r="Y519" s="9"/>
      <c r="Z519" s="9"/>
      <c r="AA519" s="9"/>
      <c r="AB519" s="9"/>
      <c r="AC519" s="9"/>
    </row>
    <row r="520" spans="1:29" ht="12.75" customHeight="1" x14ac:dyDescent="0.25">
      <c r="A520" s="9"/>
      <c r="B520" s="9"/>
      <c r="C520" s="9"/>
      <c r="D520" s="9"/>
      <c r="E520" s="9"/>
      <c r="F520" s="9"/>
      <c r="G520" s="9"/>
      <c r="H520" s="581"/>
      <c r="I520" s="581"/>
      <c r="J520" s="581"/>
      <c r="K520" s="581"/>
      <c r="L520" s="581"/>
      <c r="M520" s="581"/>
      <c r="N520" s="581"/>
      <c r="O520" s="581"/>
      <c r="P520" s="581"/>
      <c r="Q520" s="581"/>
      <c r="R520" s="581"/>
      <c r="S520" s="581"/>
      <c r="T520" s="581"/>
      <c r="U520" s="9"/>
      <c r="V520" s="9"/>
      <c r="W520" s="9"/>
      <c r="X520" s="9"/>
      <c r="Y520" s="9"/>
      <c r="Z520" s="9"/>
      <c r="AA520" s="9"/>
      <c r="AB520" s="9"/>
      <c r="AC520" s="9"/>
    </row>
    <row r="521" spans="1:29" ht="12.75" customHeight="1" x14ac:dyDescent="0.25">
      <c r="A521" s="9"/>
      <c r="B521" s="9"/>
      <c r="C521" s="9"/>
      <c r="D521" s="9"/>
      <c r="E521" s="9"/>
      <c r="F521" s="9"/>
      <c r="G521" s="9"/>
      <c r="H521" s="581"/>
      <c r="I521" s="581"/>
      <c r="J521" s="581"/>
      <c r="K521" s="581"/>
      <c r="L521" s="581"/>
      <c r="M521" s="581"/>
      <c r="N521" s="581"/>
      <c r="O521" s="581"/>
      <c r="P521" s="581"/>
      <c r="Q521" s="581"/>
      <c r="R521" s="581"/>
      <c r="S521" s="581"/>
      <c r="T521" s="581"/>
      <c r="U521" s="9"/>
      <c r="V521" s="9"/>
      <c r="W521" s="9"/>
      <c r="X521" s="9"/>
      <c r="Y521" s="9"/>
      <c r="Z521" s="9"/>
      <c r="AA521" s="9"/>
      <c r="AB521" s="9"/>
      <c r="AC521" s="9"/>
    </row>
    <row r="522" spans="1:29" ht="12.75" customHeight="1" x14ac:dyDescent="0.25">
      <c r="A522" s="9"/>
      <c r="B522" s="9"/>
      <c r="C522" s="9"/>
      <c r="D522" s="9"/>
      <c r="E522" s="9"/>
      <c r="F522" s="9"/>
      <c r="G522" s="9"/>
      <c r="H522" s="581"/>
      <c r="I522" s="581"/>
      <c r="J522" s="581"/>
      <c r="K522" s="581"/>
      <c r="L522" s="581"/>
      <c r="M522" s="581"/>
      <c r="N522" s="581"/>
      <c r="O522" s="581"/>
      <c r="P522" s="581"/>
      <c r="Q522" s="581"/>
      <c r="R522" s="581"/>
      <c r="S522" s="581"/>
      <c r="T522" s="581"/>
      <c r="U522" s="9"/>
      <c r="V522" s="9"/>
      <c r="W522" s="9"/>
      <c r="X522" s="9"/>
      <c r="Y522" s="9"/>
      <c r="Z522" s="9"/>
      <c r="AA522" s="9"/>
      <c r="AB522" s="9"/>
      <c r="AC522" s="9"/>
    </row>
    <row r="523" spans="1:29" ht="12.75" customHeight="1" x14ac:dyDescent="0.25">
      <c r="A523" s="9"/>
      <c r="B523" s="9"/>
      <c r="C523" s="9"/>
      <c r="D523" s="9"/>
      <c r="E523" s="9"/>
      <c r="F523" s="9"/>
      <c r="G523" s="9"/>
      <c r="H523" s="581"/>
      <c r="I523" s="581"/>
      <c r="J523" s="581"/>
      <c r="K523" s="581"/>
      <c r="L523" s="581"/>
      <c r="M523" s="581"/>
      <c r="N523" s="581"/>
      <c r="O523" s="581"/>
      <c r="P523" s="581"/>
      <c r="Q523" s="581"/>
      <c r="R523" s="581"/>
      <c r="S523" s="581"/>
      <c r="T523" s="581"/>
      <c r="U523" s="9"/>
      <c r="V523" s="9"/>
      <c r="W523" s="9"/>
      <c r="X523" s="9"/>
      <c r="Y523" s="9"/>
      <c r="Z523" s="9"/>
      <c r="AA523" s="9"/>
      <c r="AB523" s="9"/>
      <c r="AC523" s="9"/>
    </row>
    <row r="524" spans="1:29" ht="12.75" customHeight="1" x14ac:dyDescent="0.25">
      <c r="A524" s="9"/>
      <c r="B524" s="9"/>
      <c r="C524" s="9"/>
      <c r="D524" s="9"/>
      <c r="E524" s="9"/>
      <c r="F524" s="9"/>
      <c r="G524" s="9"/>
      <c r="H524" s="581"/>
      <c r="I524" s="581"/>
      <c r="J524" s="581"/>
      <c r="K524" s="581"/>
      <c r="L524" s="581"/>
      <c r="M524" s="581"/>
      <c r="N524" s="581"/>
      <c r="O524" s="581"/>
      <c r="P524" s="581"/>
      <c r="Q524" s="581"/>
      <c r="R524" s="581"/>
      <c r="S524" s="581"/>
      <c r="T524" s="581"/>
      <c r="U524" s="9"/>
      <c r="V524" s="9"/>
      <c r="W524" s="9"/>
      <c r="X524" s="9"/>
      <c r="Y524" s="9"/>
      <c r="Z524" s="9"/>
      <c r="AA524" s="9"/>
      <c r="AB524" s="9"/>
      <c r="AC524" s="9"/>
    </row>
    <row r="525" spans="1:29" ht="12.75" customHeight="1" x14ac:dyDescent="0.25">
      <c r="A525" s="9"/>
      <c r="B525" s="9"/>
      <c r="C525" s="9"/>
      <c r="D525" s="9"/>
      <c r="E525" s="9"/>
      <c r="F525" s="9"/>
      <c r="G525" s="9"/>
      <c r="H525" s="581"/>
      <c r="I525" s="581"/>
      <c r="J525" s="581"/>
      <c r="K525" s="581"/>
      <c r="L525" s="581"/>
      <c r="M525" s="581"/>
      <c r="N525" s="581"/>
      <c r="O525" s="581"/>
      <c r="P525" s="581"/>
      <c r="Q525" s="581"/>
      <c r="R525" s="581"/>
      <c r="S525" s="581"/>
      <c r="T525" s="581"/>
      <c r="U525" s="9"/>
      <c r="V525" s="9"/>
      <c r="W525" s="9"/>
      <c r="X525" s="9"/>
      <c r="Y525" s="9"/>
      <c r="Z525" s="9"/>
      <c r="AA525" s="9"/>
      <c r="AB525" s="9"/>
      <c r="AC525" s="9"/>
    </row>
    <row r="526" spans="1:29" ht="12.75" customHeight="1" x14ac:dyDescent="0.25">
      <c r="A526" s="9"/>
      <c r="B526" s="9"/>
      <c r="C526" s="9"/>
      <c r="D526" s="9"/>
      <c r="E526" s="9"/>
      <c r="F526" s="9"/>
      <c r="G526" s="9"/>
      <c r="H526" s="581"/>
      <c r="I526" s="581"/>
      <c r="J526" s="581"/>
      <c r="K526" s="581"/>
      <c r="L526" s="581"/>
      <c r="M526" s="581"/>
      <c r="N526" s="581"/>
      <c r="O526" s="581"/>
      <c r="P526" s="581"/>
      <c r="Q526" s="581"/>
      <c r="R526" s="581"/>
      <c r="S526" s="581"/>
      <c r="T526" s="581"/>
      <c r="U526" s="9"/>
      <c r="V526" s="9"/>
      <c r="W526" s="9"/>
      <c r="X526" s="9"/>
      <c r="Y526" s="9"/>
      <c r="Z526" s="9"/>
      <c r="AA526" s="9"/>
      <c r="AB526" s="9"/>
      <c r="AC526" s="9"/>
    </row>
    <row r="527" spans="1:29" ht="12.75" customHeight="1" x14ac:dyDescent="0.25">
      <c r="A527" s="9"/>
      <c r="B527" s="9"/>
      <c r="C527" s="9"/>
      <c r="D527" s="9"/>
      <c r="E527" s="9"/>
      <c r="F527" s="9"/>
      <c r="G527" s="9"/>
      <c r="H527" s="581"/>
      <c r="I527" s="581"/>
      <c r="J527" s="581"/>
      <c r="K527" s="581"/>
      <c r="L527" s="581"/>
      <c r="M527" s="581"/>
      <c r="N527" s="581"/>
      <c r="O527" s="581"/>
      <c r="P527" s="581"/>
      <c r="Q527" s="581"/>
      <c r="R527" s="581"/>
      <c r="S527" s="581"/>
      <c r="T527" s="581"/>
      <c r="U527" s="9"/>
      <c r="V527" s="9"/>
      <c r="W527" s="9"/>
      <c r="X527" s="9"/>
      <c r="Y527" s="9"/>
      <c r="Z527" s="9"/>
      <c r="AA527" s="9"/>
      <c r="AB527" s="9"/>
      <c r="AC527" s="9"/>
    </row>
    <row r="528" spans="1:29" ht="12.75" customHeight="1" x14ac:dyDescent="0.25">
      <c r="A528" s="9"/>
      <c r="B528" s="9"/>
      <c r="C528" s="9"/>
      <c r="D528" s="9"/>
      <c r="E528" s="9"/>
      <c r="F528" s="9"/>
      <c r="G528" s="9"/>
      <c r="H528" s="581"/>
      <c r="I528" s="581"/>
      <c r="J528" s="581"/>
      <c r="K528" s="581"/>
      <c r="L528" s="581"/>
      <c r="M528" s="581"/>
      <c r="N528" s="581"/>
      <c r="O528" s="581"/>
      <c r="P528" s="581"/>
      <c r="Q528" s="581"/>
      <c r="R528" s="581"/>
      <c r="S528" s="581"/>
      <c r="T528" s="581"/>
      <c r="U528" s="9"/>
      <c r="V528" s="9"/>
      <c r="W528" s="9"/>
      <c r="X528" s="9"/>
      <c r="Y528" s="9"/>
      <c r="Z528" s="9"/>
      <c r="AA528" s="9"/>
      <c r="AB528" s="9"/>
      <c r="AC528" s="9"/>
    </row>
    <row r="529" spans="1:29" ht="12.75" customHeight="1" x14ac:dyDescent="0.25">
      <c r="A529" s="9"/>
      <c r="B529" s="9"/>
      <c r="C529" s="9"/>
      <c r="D529" s="9"/>
      <c r="E529" s="9"/>
      <c r="F529" s="9"/>
      <c r="G529" s="9"/>
      <c r="H529" s="581"/>
      <c r="I529" s="581"/>
      <c r="J529" s="581"/>
      <c r="K529" s="581"/>
      <c r="L529" s="581"/>
      <c r="M529" s="581"/>
      <c r="N529" s="581"/>
      <c r="O529" s="581"/>
      <c r="P529" s="581"/>
      <c r="Q529" s="581"/>
      <c r="R529" s="581"/>
      <c r="S529" s="581"/>
      <c r="T529" s="581"/>
      <c r="U529" s="9"/>
      <c r="V529" s="9"/>
      <c r="W529" s="9"/>
      <c r="X529" s="9"/>
      <c r="Y529" s="9"/>
      <c r="Z529" s="9"/>
      <c r="AA529" s="9"/>
      <c r="AB529" s="9"/>
      <c r="AC529" s="9"/>
    </row>
    <row r="530" spans="1:29" ht="12.75" customHeight="1" x14ac:dyDescent="0.25">
      <c r="A530" s="9"/>
      <c r="B530" s="9"/>
      <c r="C530" s="9"/>
      <c r="D530" s="9"/>
      <c r="E530" s="9"/>
      <c r="F530" s="9"/>
      <c r="G530" s="9"/>
      <c r="H530" s="581"/>
      <c r="I530" s="581"/>
      <c r="J530" s="581"/>
      <c r="K530" s="581"/>
      <c r="L530" s="581"/>
      <c r="M530" s="581"/>
      <c r="N530" s="581"/>
      <c r="O530" s="581"/>
      <c r="P530" s="581"/>
      <c r="Q530" s="581"/>
      <c r="R530" s="581"/>
      <c r="S530" s="581"/>
      <c r="T530" s="581"/>
      <c r="U530" s="9"/>
      <c r="V530" s="9"/>
      <c r="W530" s="9"/>
      <c r="X530" s="9"/>
      <c r="Y530" s="9"/>
      <c r="Z530" s="9"/>
      <c r="AA530" s="9"/>
      <c r="AB530" s="9"/>
      <c r="AC530" s="9"/>
    </row>
    <row r="531" spans="1:29" ht="12.75" customHeight="1" x14ac:dyDescent="0.25">
      <c r="A531" s="9"/>
      <c r="B531" s="9"/>
      <c r="C531" s="9"/>
      <c r="D531" s="9"/>
      <c r="E531" s="9"/>
      <c r="F531" s="9"/>
      <c r="G531" s="9"/>
      <c r="H531" s="581"/>
      <c r="I531" s="581"/>
      <c r="J531" s="581"/>
      <c r="K531" s="581"/>
      <c r="L531" s="581"/>
      <c r="M531" s="581"/>
      <c r="N531" s="581"/>
      <c r="O531" s="581"/>
      <c r="P531" s="581"/>
      <c r="Q531" s="581"/>
      <c r="R531" s="581"/>
      <c r="S531" s="581"/>
      <c r="T531" s="581"/>
      <c r="U531" s="9"/>
      <c r="V531" s="9"/>
      <c r="W531" s="9"/>
      <c r="X531" s="9"/>
      <c r="Y531" s="9"/>
      <c r="Z531" s="9"/>
      <c r="AA531" s="9"/>
      <c r="AB531" s="9"/>
      <c r="AC531" s="9"/>
    </row>
    <row r="532" spans="1:29" ht="12.75" customHeight="1" x14ac:dyDescent="0.25">
      <c r="A532" s="9"/>
      <c r="B532" s="9"/>
      <c r="C532" s="9"/>
      <c r="D532" s="9"/>
      <c r="E532" s="9"/>
      <c r="F532" s="9"/>
      <c r="G532" s="9"/>
      <c r="H532" s="581"/>
      <c r="I532" s="581"/>
      <c r="J532" s="581"/>
      <c r="K532" s="581"/>
      <c r="L532" s="581"/>
      <c r="M532" s="581"/>
      <c r="N532" s="581"/>
      <c r="O532" s="581"/>
      <c r="P532" s="581"/>
      <c r="Q532" s="581"/>
      <c r="R532" s="581"/>
      <c r="S532" s="581"/>
      <c r="T532" s="581"/>
      <c r="U532" s="9"/>
      <c r="V532" s="9"/>
      <c r="W532" s="9"/>
      <c r="X532" s="9"/>
      <c r="Y532" s="9"/>
      <c r="Z532" s="9"/>
      <c r="AA532" s="9"/>
      <c r="AB532" s="9"/>
      <c r="AC532" s="9"/>
    </row>
    <row r="533" spans="1:29" ht="12.75" customHeight="1" x14ac:dyDescent="0.25">
      <c r="A533" s="9"/>
      <c r="B533" s="9"/>
      <c r="C533" s="9"/>
      <c r="D533" s="9"/>
      <c r="E533" s="9"/>
      <c r="F533" s="9"/>
      <c r="G533" s="9"/>
      <c r="H533" s="581"/>
      <c r="I533" s="581"/>
      <c r="J533" s="581"/>
      <c r="K533" s="581"/>
      <c r="L533" s="581"/>
      <c r="M533" s="581"/>
      <c r="N533" s="581"/>
      <c r="O533" s="581"/>
      <c r="P533" s="581"/>
      <c r="Q533" s="581"/>
      <c r="R533" s="581"/>
      <c r="S533" s="581"/>
      <c r="T533" s="581"/>
      <c r="U533" s="9"/>
      <c r="V533" s="9"/>
      <c r="W533" s="9"/>
      <c r="X533" s="9"/>
      <c r="Y533" s="9"/>
      <c r="Z533" s="9"/>
      <c r="AA533" s="9"/>
      <c r="AB533" s="9"/>
      <c r="AC533" s="9"/>
    </row>
    <row r="534" spans="1:29" ht="12.75" customHeight="1" x14ac:dyDescent="0.25">
      <c r="A534" s="9"/>
      <c r="B534" s="9"/>
      <c r="C534" s="9"/>
      <c r="D534" s="9"/>
      <c r="E534" s="9"/>
      <c r="F534" s="9"/>
      <c r="G534" s="9"/>
      <c r="H534" s="581"/>
      <c r="I534" s="581"/>
      <c r="J534" s="581"/>
      <c r="K534" s="581"/>
      <c r="L534" s="581"/>
      <c r="M534" s="581"/>
      <c r="N534" s="581"/>
      <c r="O534" s="581"/>
      <c r="P534" s="581"/>
      <c r="Q534" s="581"/>
      <c r="R534" s="581"/>
      <c r="S534" s="581"/>
      <c r="T534" s="581"/>
      <c r="U534" s="9"/>
      <c r="V534" s="9"/>
      <c r="W534" s="9"/>
      <c r="X534" s="9"/>
      <c r="Y534" s="9"/>
      <c r="Z534" s="9"/>
      <c r="AA534" s="9"/>
      <c r="AB534" s="9"/>
      <c r="AC534" s="9"/>
    </row>
    <row r="535" spans="1:29" ht="12.75" customHeight="1" x14ac:dyDescent="0.25">
      <c r="A535" s="9"/>
      <c r="B535" s="9"/>
      <c r="C535" s="9"/>
      <c r="D535" s="9"/>
      <c r="E535" s="9"/>
      <c r="F535" s="9"/>
      <c r="G535" s="9"/>
      <c r="H535" s="581"/>
      <c r="I535" s="581"/>
      <c r="J535" s="581"/>
      <c r="K535" s="581"/>
      <c r="L535" s="581"/>
      <c r="M535" s="581"/>
      <c r="N535" s="581"/>
      <c r="O535" s="581"/>
      <c r="P535" s="581"/>
      <c r="Q535" s="581"/>
      <c r="R535" s="581"/>
      <c r="S535" s="581"/>
      <c r="T535" s="581"/>
      <c r="U535" s="9"/>
      <c r="V535" s="9"/>
      <c r="W535" s="9"/>
      <c r="X535" s="9"/>
      <c r="Y535" s="9"/>
      <c r="Z535" s="9"/>
      <c r="AA535" s="9"/>
      <c r="AB535" s="9"/>
      <c r="AC535" s="9"/>
    </row>
    <row r="536" spans="1:29" ht="12.75" customHeight="1" x14ac:dyDescent="0.25">
      <c r="A536" s="9"/>
      <c r="B536" s="9"/>
      <c r="C536" s="9"/>
      <c r="D536" s="9"/>
      <c r="E536" s="9"/>
      <c r="F536" s="9"/>
      <c r="G536" s="9"/>
      <c r="H536" s="581"/>
      <c r="I536" s="581"/>
      <c r="J536" s="581"/>
      <c r="K536" s="581"/>
      <c r="L536" s="581"/>
      <c r="M536" s="581"/>
      <c r="N536" s="581"/>
      <c r="O536" s="581"/>
      <c r="P536" s="581"/>
      <c r="Q536" s="581"/>
      <c r="R536" s="581"/>
      <c r="S536" s="581"/>
      <c r="T536" s="581"/>
      <c r="U536" s="9"/>
      <c r="V536" s="9"/>
      <c r="W536" s="9"/>
      <c r="X536" s="9"/>
      <c r="Y536" s="9"/>
      <c r="Z536" s="9"/>
      <c r="AA536" s="9"/>
      <c r="AB536" s="9"/>
      <c r="AC536" s="9"/>
    </row>
    <row r="537" spans="1:29" ht="12.75" customHeight="1" x14ac:dyDescent="0.25">
      <c r="A537" s="9"/>
      <c r="B537" s="9"/>
      <c r="C537" s="9"/>
      <c r="D537" s="9"/>
      <c r="E537" s="9"/>
      <c r="F537" s="9"/>
      <c r="G537" s="9"/>
      <c r="H537" s="581"/>
      <c r="I537" s="581"/>
      <c r="J537" s="581"/>
      <c r="K537" s="581"/>
      <c r="L537" s="581"/>
      <c r="M537" s="581"/>
      <c r="N537" s="581"/>
      <c r="O537" s="581"/>
      <c r="P537" s="581"/>
      <c r="Q537" s="581"/>
      <c r="R537" s="581"/>
      <c r="S537" s="581"/>
      <c r="T537" s="581"/>
      <c r="U537" s="9"/>
      <c r="V537" s="9"/>
      <c r="W537" s="9"/>
      <c r="X537" s="9"/>
      <c r="Y537" s="9"/>
      <c r="Z537" s="9"/>
      <c r="AA537" s="9"/>
      <c r="AB537" s="9"/>
      <c r="AC537" s="9"/>
    </row>
    <row r="538" spans="1:29" ht="12.75" customHeight="1" x14ac:dyDescent="0.25">
      <c r="A538" s="9"/>
      <c r="B538" s="9"/>
      <c r="C538" s="9"/>
      <c r="D538" s="9"/>
      <c r="E538" s="9"/>
      <c r="F538" s="9"/>
      <c r="G538" s="9"/>
      <c r="H538" s="581"/>
      <c r="I538" s="581"/>
      <c r="J538" s="581"/>
      <c r="K538" s="581"/>
      <c r="L538" s="581"/>
      <c r="M538" s="581"/>
      <c r="N538" s="581"/>
      <c r="O538" s="581"/>
      <c r="P538" s="581"/>
      <c r="Q538" s="581"/>
      <c r="R538" s="581"/>
      <c r="S538" s="581"/>
      <c r="T538" s="581"/>
      <c r="U538" s="9"/>
      <c r="V538" s="9"/>
      <c r="W538" s="9"/>
      <c r="X538" s="9"/>
      <c r="Y538" s="9"/>
      <c r="Z538" s="9"/>
      <c r="AA538" s="9"/>
      <c r="AB538" s="9"/>
      <c r="AC538" s="9"/>
    </row>
    <row r="539" spans="1:29" ht="12.75" customHeight="1" x14ac:dyDescent="0.25">
      <c r="A539" s="9"/>
      <c r="B539" s="9"/>
      <c r="C539" s="9"/>
      <c r="D539" s="9"/>
      <c r="E539" s="9"/>
      <c r="F539" s="9"/>
      <c r="G539" s="9"/>
      <c r="H539" s="581"/>
      <c r="I539" s="581"/>
      <c r="J539" s="581"/>
      <c r="K539" s="581"/>
      <c r="L539" s="581"/>
      <c r="M539" s="581"/>
      <c r="N539" s="581"/>
      <c r="O539" s="581"/>
      <c r="P539" s="581"/>
      <c r="Q539" s="581"/>
      <c r="R539" s="581"/>
      <c r="S539" s="581"/>
      <c r="T539" s="581"/>
      <c r="U539" s="9"/>
      <c r="V539" s="9"/>
      <c r="W539" s="9"/>
      <c r="X539" s="9"/>
      <c r="Y539" s="9"/>
      <c r="Z539" s="9"/>
      <c r="AA539" s="9"/>
      <c r="AB539" s="9"/>
      <c r="AC539" s="9"/>
    </row>
    <row r="540" spans="1:29" ht="12.75" customHeight="1" x14ac:dyDescent="0.25">
      <c r="A540" s="9"/>
      <c r="B540" s="9"/>
      <c r="C540" s="9"/>
      <c r="D540" s="9"/>
      <c r="E540" s="9"/>
      <c r="F540" s="9"/>
      <c r="G540" s="9"/>
      <c r="H540" s="581"/>
      <c r="I540" s="581"/>
      <c r="J540" s="581"/>
      <c r="K540" s="581"/>
      <c r="L540" s="581"/>
      <c r="M540" s="581"/>
      <c r="N540" s="581"/>
      <c r="O540" s="581"/>
      <c r="P540" s="581"/>
      <c r="Q540" s="581"/>
      <c r="R540" s="581"/>
      <c r="S540" s="581"/>
      <c r="T540" s="581"/>
      <c r="U540" s="9"/>
      <c r="V540" s="9"/>
      <c r="W540" s="9"/>
      <c r="X540" s="9"/>
      <c r="Y540" s="9"/>
      <c r="Z540" s="9"/>
      <c r="AA540" s="9"/>
      <c r="AB540" s="9"/>
      <c r="AC540" s="9"/>
    </row>
    <row r="541" spans="1:29" ht="12.75" customHeight="1" x14ac:dyDescent="0.25">
      <c r="A541" s="9"/>
      <c r="B541" s="9"/>
      <c r="C541" s="9"/>
      <c r="D541" s="9"/>
      <c r="E541" s="9"/>
      <c r="F541" s="9"/>
      <c r="G541" s="9"/>
      <c r="H541" s="581"/>
      <c r="I541" s="581"/>
      <c r="J541" s="581"/>
      <c r="K541" s="581"/>
      <c r="L541" s="581"/>
      <c r="M541" s="581"/>
      <c r="N541" s="581"/>
      <c r="O541" s="581"/>
      <c r="P541" s="581"/>
      <c r="Q541" s="581"/>
      <c r="R541" s="581"/>
      <c r="S541" s="581"/>
      <c r="T541" s="581"/>
      <c r="U541" s="9"/>
      <c r="V541" s="9"/>
      <c r="W541" s="9"/>
      <c r="X541" s="9"/>
      <c r="Y541" s="9"/>
      <c r="Z541" s="9"/>
      <c r="AA541" s="9"/>
      <c r="AB541" s="9"/>
      <c r="AC541" s="9"/>
    </row>
    <row r="542" spans="1:29" ht="12.75" customHeight="1" x14ac:dyDescent="0.25">
      <c r="A542" s="9"/>
      <c r="B542" s="9"/>
      <c r="C542" s="9"/>
      <c r="D542" s="9"/>
      <c r="E542" s="9"/>
      <c r="F542" s="9"/>
      <c r="G542" s="9"/>
      <c r="H542" s="581"/>
      <c r="I542" s="581"/>
      <c r="J542" s="581"/>
      <c r="K542" s="581"/>
      <c r="L542" s="581"/>
      <c r="M542" s="581"/>
      <c r="N542" s="581"/>
      <c r="O542" s="581"/>
      <c r="P542" s="581"/>
      <c r="Q542" s="581"/>
      <c r="R542" s="581"/>
      <c r="S542" s="581"/>
      <c r="T542" s="581"/>
      <c r="U542" s="9"/>
      <c r="V542" s="9"/>
      <c r="W542" s="9"/>
      <c r="X542" s="9"/>
      <c r="Y542" s="9"/>
      <c r="Z542" s="9"/>
      <c r="AA542" s="9"/>
      <c r="AB542" s="9"/>
      <c r="AC542" s="9"/>
    </row>
    <row r="543" spans="1:29" ht="12.75" customHeight="1" x14ac:dyDescent="0.25">
      <c r="A543" s="9"/>
      <c r="B543" s="9"/>
      <c r="C543" s="9"/>
      <c r="D543" s="9"/>
      <c r="E543" s="9"/>
      <c r="F543" s="9"/>
      <c r="G543" s="9"/>
      <c r="H543" s="581"/>
      <c r="I543" s="581"/>
      <c r="J543" s="581"/>
      <c r="K543" s="581"/>
      <c r="L543" s="581"/>
      <c r="M543" s="581"/>
      <c r="N543" s="581"/>
      <c r="O543" s="581"/>
      <c r="P543" s="581"/>
      <c r="Q543" s="581"/>
      <c r="R543" s="581"/>
      <c r="S543" s="581"/>
      <c r="T543" s="581"/>
      <c r="U543" s="9"/>
      <c r="V543" s="9"/>
      <c r="W543" s="9"/>
      <c r="X543" s="9"/>
      <c r="Y543" s="9"/>
      <c r="Z543" s="9"/>
      <c r="AA543" s="9"/>
      <c r="AB543" s="9"/>
      <c r="AC543" s="9"/>
    </row>
    <row r="544" spans="1:29" ht="12.75" customHeight="1" x14ac:dyDescent="0.25">
      <c r="A544" s="9"/>
      <c r="B544" s="9"/>
      <c r="C544" s="9"/>
      <c r="D544" s="9"/>
      <c r="E544" s="9"/>
      <c r="F544" s="9"/>
      <c r="G544" s="9"/>
      <c r="H544" s="581"/>
      <c r="I544" s="581"/>
      <c r="J544" s="581"/>
      <c r="K544" s="581"/>
      <c r="L544" s="581"/>
      <c r="M544" s="581"/>
      <c r="N544" s="581"/>
      <c r="O544" s="581"/>
      <c r="P544" s="581"/>
      <c r="Q544" s="581"/>
      <c r="R544" s="581"/>
      <c r="S544" s="581"/>
      <c r="T544" s="581"/>
      <c r="U544" s="9"/>
      <c r="V544" s="9"/>
      <c r="W544" s="9"/>
      <c r="X544" s="9"/>
      <c r="Y544" s="9"/>
      <c r="Z544" s="9"/>
      <c r="AA544" s="9"/>
      <c r="AB544" s="9"/>
      <c r="AC544" s="9"/>
    </row>
    <row r="545" spans="1:29" ht="12.75" customHeight="1" x14ac:dyDescent="0.25">
      <c r="A545" s="9"/>
      <c r="B545" s="9"/>
      <c r="C545" s="9"/>
      <c r="D545" s="9"/>
      <c r="E545" s="9"/>
      <c r="F545" s="9"/>
      <c r="G545" s="9"/>
      <c r="H545" s="581"/>
      <c r="I545" s="581"/>
      <c r="J545" s="581"/>
      <c r="K545" s="581"/>
      <c r="L545" s="581"/>
      <c r="M545" s="581"/>
      <c r="N545" s="581"/>
      <c r="O545" s="581"/>
      <c r="P545" s="581"/>
      <c r="Q545" s="581"/>
      <c r="R545" s="581"/>
      <c r="S545" s="581"/>
      <c r="T545" s="581"/>
      <c r="U545" s="9"/>
      <c r="V545" s="9"/>
      <c r="W545" s="9"/>
      <c r="X545" s="9"/>
      <c r="Y545" s="9"/>
      <c r="Z545" s="9"/>
      <c r="AA545" s="9"/>
      <c r="AB545" s="9"/>
      <c r="AC545" s="9"/>
    </row>
    <row r="546" spans="1:29" ht="12.75" customHeight="1" x14ac:dyDescent="0.25">
      <c r="A546" s="9"/>
      <c r="B546" s="9"/>
      <c r="C546" s="9"/>
      <c r="D546" s="9"/>
      <c r="E546" s="9"/>
      <c r="F546" s="9"/>
      <c r="G546" s="9"/>
      <c r="H546" s="581"/>
      <c r="I546" s="581"/>
      <c r="J546" s="581"/>
      <c r="K546" s="581"/>
      <c r="L546" s="581"/>
      <c r="M546" s="581"/>
      <c r="N546" s="581"/>
      <c r="O546" s="581"/>
      <c r="P546" s="581"/>
      <c r="Q546" s="581"/>
      <c r="R546" s="581"/>
      <c r="S546" s="581"/>
      <c r="T546" s="581"/>
      <c r="U546" s="9"/>
      <c r="V546" s="9"/>
      <c r="W546" s="9"/>
      <c r="X546" s="9"/>
      <c r="Y546" s="9"/>
      <c r="Z546" s="9"/>
      <c r="AA546" s="9"/>
      <c r="AB546" s="9"/>
      <c r="AC546" s="9"/>
    </row>
    <row r="547" spans="1:29" ht="12.75" customHeight="1" x14ac:dyDescent="0.25">
      <c r="A547" s="9"/>
      <c r="B547" s="9"/>
      <c r="C547" s="9"/>
      <c r="D547" s="9"/>
      <c r="E547" s="9"/>
      <c r="F547" s="9"/>
      <c r="G547" s="9"/>
      <c r="H547" s="581"/>
      <c r="I547" s="581"/>
      <c r="J547" s="581"/>
      <c r="K547" s="581"/>
      <c r="L547" s="581"/>
      <c r="M547" s="581"/>
      <c r="N547" s="581"/>
      <c r="O547" s="581"/>
      <c r="P547" s="581"/>
      <c r="Q547" s="581"/>
      <c r="R547" s="581"/>
      <c r="S547" s="581"/>
      <c r="T547" s="581"/>
      <c r="U547" s="9"/>
      <c r="V547" s="9"/>
      <c r="W547" s="9"/>
      <c r="X547" s="9"/>
      <c r="Y547" s="9"/>
      <c r="Z547" s="9"/>
      <c r="AA547" s="9"/>
      <c r="AB547" s="9"/>
      <c r="AC547" s="9"/>
    </row>
    <row r="548" spans="1:29" ht="12.75" customHeight="1" x14ac:dyDescent="0.25">
      <c r="A548" s="9"/>
      <c r="B548" s="9"/>
      <c r="C548" s="9"/>
      <c r="D548" s="9"/>
      <c r="E548" s="9"/>
      <c r="F548" s="9"/>
      <c r="G548" s="9"/>
      <c r="H548" s="581"/>
      <c r="I548" s="581"/>
      <c r="J548" s="581"/>
      <c r="K548" s="581"/>
      <c r="L548" s="581"/>
      <c r="M548" s="581"/>
      <c r="N548" s="581"/>
      <c r="O548" s="581"/>
      <c r="P548" s="581"/>
      <c r="Q548" s="581"/>
      <c r="R548" s="581"/>
      <c r="S548" s="581"/>
      <c r="T548" s="581"/>
      <c r="U548" s="9"/>
      <c r="V548" s="9"/>
      <c r="W548" s="9"/>
      <c r="X548" s="9"/>
      <c r="Y548" s="9"/>
      <c r="Z548" s="9"/>
      <c r="AA548" s="9"/>
      <c r="AB548" s="9"/>
      <c r="AC548" s="9"/>
    </row>
    <row r="549" spans="1:29" ht="12.75" customHeight="1" x14ac:dyDescent="0.25">
      <c r="A549" s="9"/>
      <c r="B549" s="9"/>
      <c r="C549" s="9"/>
      <c r="D549" s="9"/>
      <c r="E549" s="9"/>
      <c r="F549" s="9"/>
      <c r="G549" s="9"/>
      <c r="H549" s="581"/>
      <c r="I549" s="581"/>
      <c r="J549" s="581"/>
      <c r="K549" s="581"/>
      <c r="L549" s="581"/>
      <c r="M549" s="581"/>
      <c r="N549" s="581"/>
      <c r="O549" s="581"/>
      <c r="P549" s="581"/>
      <c r="Q549" s="581"/>
      <c r="R549" s="581"/>
      <c r="S549" s="581"/>
      <c r="T549" s="581"/>
      <c r="U549" s="9"/>
      <c r="V549" s="9"/>
      <c r="W549" s="9"/>
      <c r="X549" s="9"/>
      <c r="Y549" s="9"/>
      <c r="Z549" s="9"/>
      <c r="AA549" s="9"/>
      <c r="AB549" s="9"/>
      <c r="AC549" s="9"/>
    </row>
    <row r="550" spans="1:29" ht="12.75" customHeight="1" x14ac:dyDescent="0.25">
      <c r="A550" s="9"/>
      <c r="B550" s="9"/>
      <c r="C550" s="9"/>
      <c r="D550" s="9"/>
      <c r="E550" s="9"/>
      <c r="F550" s="9"/>
      <c r="G550" s="9"/>
      <c r="H550" s="581"/>
      <c r="I550" s="581"/>
      <c r="J550" s="581"/>
      <c r="K550" s="581"/>
      <c r="L550" s="581"/>
      <c r="M550" s="581"/>
      <c r="N550" s="581"/>
      <c r="O550" s="581"/>
      <c r="P550" s="581"/>
      <c r="Q550" s="581"/>
      <c r="R550" s="581"/>
      <c r="S550" s="581"/>
      <c r="T550" s="581"/>
      <c r="U550" s="9"/>
      <c r="V550" s="9"/>
      <c r="W550" s="9"/>
      <c r="X550" s="9"/>
      <c r="Y550" s="9"/>
      <c r="Z550" s="9"/>
      <c r="AA550" s="9"/>
      <c r="AB550" s="9"/>
      <c r="AC550" s="9"/>
    </row>
    <row r="551" spans="1:29" ht="12.75" customHeight="1" x14ac:dyDescent="0.25">
      <c r="A551" s="9"/>
      <c r="B551" s="9"/>
      <c r="C551" s="9"/>
      <c r="D551" s="9"/>
      <c r="E551" s="9"/>
      <c r="F551" s="9"/>
      <c r="G551" s="9"/>
      <c r="H551" s="581"/>
      <c r="I551" s="581"/>
      <c r="J551" s="581"/>
      <c r="K551" s="581"/>
      <c r="L551" s="581"/>
      <c r="M551" s="581"/>
      <c r="N551" s="581"/>
      <c r="O551" s="581"/>
      <c r="P551" s="581"/>
      <c r="Q551" s="581"/>
      <c r="R551" s="581"/>
      <c r="S551" s="581"/>
      <c r="T551" s="581"/>
      <c r="U551" s="9"/>
      <c r="V551" s="9"/>
      <c r="W551" s="9"/>
      <c r="X551" s="9"/>
      <c r="Y551" s="9"/>
      <c r="Z551" s="9"/>
      <c r="AA551" s="9"/>
      <c r="AB551" s="9"/>
      <c r="AC551" s="9"/>
    </row>
    <row r="552" spans="1:29" ht="12.75" customHeight="1" x14ac:dyDescent="0.25">
      <c r="A552" s="9"/>
      <c r="B552" s="9"/>
      <c r="C552" s="9"/>
      <c r="D552" s="9"/>
      <c r="E552" s="9"/>
      <c r="F552" s="9"/>
      <c r="G552" s="9"/>
      <c r="H552" s="581"/>
      <c r="I552" s="581"/>
      <c r="J552" s="581"/>
      <c r="K552" s="581"/>
      <c r="L552" s="581"/>
      <c r="M552" s="581"/>
      <c r="N552" s="581"/>
      <c r="O552" s="581"/>
      <c r="P552" s="581"/>
      <c r="Q552" s="581"/>
      <c r="R552" s="581"/>
      <c r="S552" s="581"/>
      <c r="T552" s="581"/>
      <c r="U552" s="9"/>
      <c r="V552" s="9"/>
      <c r="W552" s="9"/>
      <c r="X552" s="9"/>
      <c r="Y552" s="9"/>
      <c r="Z552" s="9"/>
      <c r="AA552" s="9"/>
      <c r="AB552" s="9"/>
      <c r="AC552" s="9"/>
    </row>
    <row r="553" spans="1:29" ht="12.75" customHeight="1" x14ac:dyDescent="0.25">
      <c r="A553" s="9"/>
      <c r="B553" s="9"/>
      <c r="C553" s="9"/>
      <c r="D553" s="9"/>
      <c r="E553" s="9"/>
      <c r="F553" s="9"/>
      <c r="G553" s="9"/>
      <c r="H553" s="581"/>
      <c r="I553" s="581"/>
      <c r="J553" s="581"/>
      <c r="K553" s="581"/>
      <c r="L553" s="581"/>
      <c r="M553" s="581"/>
      <c r="N553" s="581"/>
      <c r="O553" s="581"/>
      <c r="P553" s="581"/>
      <c r="Q553" s="581"/>
      <c r="R553" s="581"/>
      <c r="S553" s="581"/>
      <c r="T553" s="581"/>
      <c r="U553" s="9"/>
      <c r="V553" s="9"/>
      <c r="W553" s="9"/>
      <c r="X553" s="9"/>
      <c r="Y553" s="9"/>
      <c r="Z553" s="9"/>
      <c r="AA553" s="9"/>
      <c r="AB553" s="9"/>
      <c r="AC553" s="9"/>
    </row>
    <row r="554" spans="1:29" ht="12.75" customHeight="1" x14ac:dyDescent="0.25">
      <c r="A554" s="9"/>
      <c r="B554" s="9"/>
      <c r="C554" s="9"/>
      <c r="D554" s="9"/>
      <c r="E554" s="9"/>
      <c r="F554" s="9"/>
      <c r="G554" s="9"/>
      <c r="H554" s="581"/>
      <c r="I554" s="581"/>
      <c r="J554" s="581"/>
      <c r="K554" s="581"/>
      <c r="L554" s="581"/>
      <c r="M554" s="581"/>
      <c r="N554" s="581"/>
      <c r="O554" s="581"/>
      <c r="P554" s="581"/>
      <c r="Q554" s="581"/>
      <c r="R554" s="581"/>
      <c r="S554" s="581"/>
      <c r="T554" s="581"/>
      <c r="U554" s="9"/>
      <c r="V554" s="9"/>
      <c r="W554" s="9"/>
      <c r="X554" s="9"/>
      <c r="Y554" s="9"/>
      <c r="Z554" s="9"/>
      <c r="AA554" s="9"/>
      <c r="AB554" s="9"/>
      <c r="AC554" s="9"/>
    </row>
    <row r="555" spans="1:29" ht="12.75" customHeight="1" x14ac:dyDescent="0.25">
      <c r="A555" s="9"/>
      <c r="B555" s="9"/>
      <c r="C555" s="9"/>
      <c r="D555" s="9"/>
      <c r="E555" s="9"/>
      <c r="F555" s="9"/>
      <c r="G555" s="9"/>
      <c r="H555" s="581"/>
      <c r="I555" s="581"/>
      <c r="J555" s="581"/>
      <c r="K555" s="581"/>
      <c r="L555" s="581"/>
      <c r="M555" s="581"/>
      <c r="N555" s="581"/>
      <c r="O555" s="581"/>
      <c r="P555" s="581"/>
      <c r="Q555" s="581"/>
      <c r="R555" s="581"/>
      <c r="S555" s="581"/>
      <c r="T555" s="581"/>
      <c r="U555" s="9"/>
      <c r="V555" s="9"/>
      <c r="W555" s="9"/>
      <c r="X555" s="9"/>
      <c r="Y555" s="9"/>
      <c r="Z555" s="9"/>
      <c r="AA555" s="9"/>
      <c r="AB555" s="9"/>
      <c r="AC555" s="9"/>
    </row>
    <row r="556" spans="1:29" ht="12.75" customHeight="1" x14ac:dyDescent="0.25">
      <c r="A556" s="9"/>
      <c r="B556" s="9"/>
      <c r="C556" s="9"/>
      <c r="D556" s="9"/>
      <c r="E556" s="9"/>
      <c r="F556" s="9"/>
      <c r="G556" s="9"/>
      <c r="H556" s="581"/>
      <c r="I556" s="581"/>
      <c r="J556" s="581"/>
      <c r="K556" s="581"/>
      <c r="L556" s="581"/>
      <c r="M556" s="581"/>
      <c r="N556" s="581"/>
      <c r="O556" s="581"/>
      <c r="P556" s="581"/>
      <c r="Q556" s="581"/>
      <c r="R556" s="581"/>
      <c r="S556" s="581"/>
      <c r="T556" s="581"/>
      <c r="U556" s="9"/>
      <c r="V556" s="9"/>
      <c r="W556" s="9"/>
      <c r="X556" s="9"/>
      <c r="Y556" s="9"/>
      <c r="Z556" s="9"/>
      <c r="AA556" s="9"/>
      <c r="AB556" s="9"/>
      <c r="AC556" s="9"/>
    </row>
    <row r="557" spans="1:29" ht="12.75" customHeight="1" x14ac:dyDescent="0.25">
      <c r="A557" s="9"/>
      <c r="B557" s="9"/>
      <c r="C557" s="9"/>
      <c r="D557" s="9"/>
      <c r="E557" s="9"/>
      <c r="F557" s="9"/>
      <c r="G557" s="9"/>
      <c r="H557" s="581"/>
      <c r="I557" s="581"/>
      <c r="J557" s="581"/>
      <c r="K557" s="581"/>
      <c r="L557" s="581"/>
      <c r="M557" s="581"/>
      <c r="N557" s="581"/>
      <c r="O557" s="581"/>
      <c r="P557" s="581"/>
      <c r="Q557" s="581"/>
      <c r="R557" s="581"/>
      <c r="S557" s="581"/>
      <c r="T557" s="581"/>
      <c r="U557" s="9"/>
      <c r="V557" s="9"/>
      <c r="W557" s="9"/>
      <c r="X557" s="9"/>
      <c r="Y557" s="9"/>
      <c r="Z557" s="9"/>
      <c r="AA557" s="9"/>
      <c r="AB557" s="9"/>
      <c r="AC557" s="9"/>
    </row>
    <row r="558" spans="1:29" ht="12.75" customHeight="1" x14ac:dyDescent="0.25">
      <c r="A558" s="9"/>
      <c r="B558" s="9"/>
      <c r="C558" s="9"/>
      <c r="D558" s="9"/>
      <c r="E558" s="9"/>
      <c r="F558" s="9"/>
      <c r="G558" s="9"/>
      <c r="H558" s="581"/>
      <c r="I558" s="581"/>
      <c r="J558" s="581"/>
      <c r="K558" s="581"/>
      <c r="L558" s="581"/>
      <c r="M558" s="581"/>
      <c r="N558" s="581"/>
      <c r="O558" s="581"/>
      <c r="P558" s="581"/>
      <c r="Q558" s="581"/>
      <c r="R558" s="581"/>
      <c r="S558" s="581"/>
      <c r="T558" s="581"/>
      <c r="U558" s="9"/>
      <c r="V558" s="9"/>
      <c r="W558" s="9"/>
      <c r="X558" s="9"/>
      <c r="Y558" s="9"/>
      <c r="Z558" s="9"/>
      <c r="AA558" s="9"/>
      <c r="AB558" s="9"/>
      <c r="AC558" s="9"/>
    </row>
    <row r="559" spans="1:29" ht="12.75" customHeight="1" x14ac:dyDescent="0.25">
      <c r="A559" s="9"/>
      <c r="B559" s="9"/>
      <c r="C559" s="9"/>
      <c r="D559" s="9"/>
      <c r="E559" s="9"/>
      <c r="F559" s="9"/>
      <c r="G559" s="9"/>
      <c r="H559" s="581"/>
      <c r="I559" s="581"/>
      <c r="J559" s="581"/>
      <c r="K559" s="581"/>
      <c r="L559" s="581"/>
      <c r="M559" s="581"/>
      <c r="N559" s="581"/>
      <c r="O559" s="581"/>
      <c r="P559" s="581"/>
      <c r="Q559" s="581"/>
      <c r="R559" s="581"/>
      <c r="S559" s="581"/>
      <c r="T559" s="581"/>
      <c r="U559" s="9"/>
      <c r="V559" s="9"/>
      <c r="W559" s="9"/>
      <c r="X559" s="9"/>
      <c r="Y559" s="9"/>
      <c r="Z559" s="9"/>
      <c r="AA559" s="9"/>
      <c r="AB559" s="9"/>
      <c r="AC559" s="9"/>
    </row>
    <row r="560" spans="1:29" ht="12.75" customHeight="1" x14ac:dyDescent="0.25">
      <c r="A560" s="9"/>
      <c r="B560" s="9"/>
      <c r="C560" s="9"/>
      <c r="D560" s="9"/>
      <c r="E560" s="9"/>
      <c r="F560" s="9"/>
      <c r="G560" s="9"/>
      <c r="H560" s="581"/>
      <c r="I560" s="581"/>
      <c r="J560" s="581"/>
      <c r="K560" s="581"/>
      <c r="L560" s="581"/>
      <c r="M560" s="581"/>
      <c r="N560" s="581"/>
      <c r="O560" s="581"/>
      <c r="P560" s="581"/>
      <c r="Q560" s="581"/>
      <c r="R560" s="581"/>
      <c r="S560" s="581"/>
      <c r="T560" s="581"/>
      <c r="U560" s="9"/>
      <c r="V560" s="9"/>
      <c r="W560" s="9"/>
      <c r="X560" s="9"/>
      <c r="Y560" s="9"/>
      <c r="Z560" s="9"/>
      <c r="AA560" s="9"/>
      <c r="AB560" s="9"/>
      <c r="AC560" s="9"/>
    </row>
    <row r="561" spans="1:29" ht="12.75" customHeight="1" x14ac:dyDescent="0.25">
      <c r="A561" s="9"/>
      <c r="B561" s="9"/>
      <c r="C561" s="9"/>
      <c r="D561" s="9"/>
      <c r="E561" s="9"/>
      <c r="F561" s="9"/>
      <c r="G561" s="9"/>
      <c r="H561" s="581"/>
      <c r="I561" s="581"/>
      <c r="J561" s="581"/>
      <c r="K561" s="581"/>
      <c r="L561" s="581"/>
      <c r="M561" s="581"/>
      <c r="N561" s="581"/>
      <c r="O561" s="581"/>
      <c r="P561" s="581"/>
      <c r="Q561" s="581"/>
      <c r="R561" s="581"/>
      <c r="S561" s="581"/>
      <c r="T561" s="581"/>
      <c r="U561" s="9"/>
      <c r="V561" s="9"/>
      <c r="W561" s="9"/>
      <c r="X561" s="9"/>
      <c r="Y561" s="9"/>
      <c r="Z561" s="9"/>
      <c r="AA561" s="9"/>
      <c r="AB561" s="9"/>
      <c r="AC561" s="9"/>
    </row>
    <row r="562" spans="1:29" ht="12.75" customHeight="1" x14ac:dyDescent="0.25">
      <c r="A562" s="9"/>
      <c r="B562" s="9"/>
      <c r="C562" s="9"/>
      <c r="D562" s="9"/>
      <c r="E562" s="9"/>
      <c r="F562" s="9"/>
      <c r="G562" s="9"/>
      <c r="H562" s="581"/>
      <c r="I562" s="581"/>
      <c r="J562" s="581"/>
      <c r="K562" s="581"/>
      <c r="L562" s="581"/>
      <c r="M562" s="581"/>
      <c r="N562" s="581"/>
      <c r="O562" s="581"/>
      <c r="P562" s="581"/>
      <c r="Q562" s="581"/>
      <c r="R562" s="581"/>
      <c r="S562" s="581"/>
      <c r="T562" s="581"/>
      <c r="U562" s="9"/>
      <c r="V562" s="9"/>
      <c r="W562" s="9"/>
      <c r="X562" s="9"/>
      <c r="Y562" s="9"/>
      <c r="Z562" s="9"/>
      <c r="AA562" s="9"/>
      <c r="AB562" s="9"/>
      <c r="AC562" s="9"/>
    </row>
    <row r="563" spans="1:29" ht="12.75" customHeight="1" x14ac:dyDescent="0.25">
      <c r="A563" s="9"/>
      <c r="B563" s="9"/>
      <c r="C563" s="9"/>
      <c r="D563" s="9"/>
      <c r="E563" s="9"/>
      <c r="F563" s="9"/>
      <c r="G563" s="9"/>
      <c r="H563" s="581"/>
      <c r="I563" s="581"/>
      <c r="J563" s="581"/>
      <c r="K563" s="581"/>
      <c r="L563" s="581"/>
      <c r="M563" s="581"/>
      <c r="N563" s="581"/>
      <c r="O563" s="581"/>
      <c r="P563" s="581"/>
      <c r="Q563" s="581"/>
      <c r="R563" s="581"/>
      <c r="S563" s="581"/>
      <c r="T563" s="581"/>
      <c r="U563" s="9"/>
      <c r="V563" s="9"/>
      <c r="W563" s="9"/>
      <c r="X563" s="9"/>
      <c r="Y563" s="9"/>
      <c r="Z563" s="9"/>
      <c r="AA563" s="9"/>
      <c r="AB563" s="9"/>
      <c r="AC563" s="9"/>
    </row>
    <row r="564" spans="1:29" ht="12.75" customHeight="1" x14ac:dyDescent="0.25">
      <c r="A564" s="9"/>
      <c r="B564" s="9"/>
      <c r="C564" s="9"/>
      <c r="D564" s="9"/>
      <c r="E564" s="9"/>
      <c r="F564" s="9"/>
      <c r="G564" s="9"/>
      <c r="H564" s="581"/>
      <c r="I564" s="581"/>
      <c r="J564" s="581"/>
      <c r="K564" s="581"/>
      <c r="L564" s="581"/>
      <c r="M564" s="581"/>
      <c r="N564" s="581"/>
      <c r="O564" s="581"/>
      <c r="P564" s="581"/>
      <c r="Q564" s="581"/>
      <c r="R564" s="581"/>
      <c r="S564" s="581"/>
      <c r="T564" s="581"/>
      <c r="U564" s="9"/>
      <c r="V564" s="9"/>
      <c r="W564" s="9"/>
      <c r="X564" s="9"/>
      <c r="Y564" s="9"/>
      <c r="Z564" s="9"/>
      <c r="AA564" s="9"/>
      <c r="AB564" s="9"/>
      <c r="AC564" s="9"/>
    </row>
    <row r="565" spans="1:29" ht="12.75" customHeight="1" x14ac:dyDescent="0.25">
      <c r="A565" s="9"/>
      <c r="B565" s="9"/>
      <c r="C565" s="9"/>
      <c r="D565" s="9"/>
      <c r="E565" s="9"/>
      <c r="F565" s="9"/>
      <c r="G565" s="9"/>
      <c r="H565" s="581"/>
      <c r="I565" s="581"/>
      <c r="J565" s="581"/>
      <c r="K565" s="581"/>
      <c r="L565" s="581"/>
      <c r="M565" s="581"/>
      <c r="N565" s="581"/>
      <c r="O565" s="581"/>
      <c r="P565" s="581"/>
      <c r="Q565" s="581"/>
      <c r="R565" s="581"/>
      <c r="S565" s="581"/>
      <c r="T565" s="581"/>
      <c r="U565" s="9"/>
      <c r="V565" s="9"/>
      <c r="W565" s="9"/>
      <c r="X565" s="9"/>
      <c r="Y565" s="9"/>
      <c r="Z565" s="9"/>
      <c r="AA565" s="9"/>
      <c r="AB565" s="9"/>
      <c r="AC565" s="9"/>
    </row>
    <row r="566" spans="1:29" ht="12.75" customHeight="1" x14ac:dyDescent="0.25">
      <c r="A566" s="9"/>
      <c r="B566" s="9"/>
      <c r="C566" s="9"/>
      <c r="D566" s="9"/>
      <c r="E566" s="9"/>
      <c r="F566" s="9"/>
      <c r="G566" s="9"/>
      <c r="H566" s="581"/>
      <c r="I566" s="581"/>
      <c r="J566" s="581"/>
      <c r="K566" s="581"/>
      <c r="L566" s="581"/>
      <c r="M566" s="581"/>
      <c r="N566" s="581"/>
      <c r="O566" s="581"/>
      <c r="P566" s="581"/>
      <c r="Q566" s="581"/>
      <c r="R566" s="581"/>
      <c r="S566" s="581"/>
      <c r="T566" s="581"/>
      <c r="U566" s="9"/>
      <c r="V566" s="9"/>
      <c r="W566" s="9"/>
      <c r="X566" s="9"/>
      <c r="Y566" s="9"/>
      <c r="Z566" s="9"/>
      <c r="AA566" s="9"/>
      <c r="AB566" s="9"/>
      <c r="AC566" s="9"/>
    </row>
    <row r="567" spans="1:29" ht="12.75" customHeight="1" x14ac:dyDescent="0.25">
      <c r="A567" s="9"/>
      <c r="B567" s="9"/>
      <c r="C567" s="9"/>
      <c r="D567" s="9"/>
      <c r="E567" s="9"/>
      <c r="F567" s="9"/>
      <c r="G567" s="9"/>
      <c r="H567" s="581"/>
      <c r="I567" s="581"/>
      <c r="J567" s="581"/>
      <c r="K567" s="581"/>
      <c r="L567" s="581"/>
      <c r="M567" s="581"/>
      <c r="N567" s="581"/>
      <c r="O567" s="581"/>
      <c r="P567" s="581"/>
      <c r="Q567" s="581"/>
      <c r="R567" s="581"/>
      <c r="S567" s="581"/>
      <c r="T567" s="581"/>
      <c r="U567" s="9"/>
      <c r="V567" s="9"/>
      <c r="W567" s="9"/>
      <c r="X567" s="9"/>
      <c r="Y567" s="9"/>
      <c r="Z567" s="9"/>
      <c r="AA567" s="9"/>
      <c r="AB567" s="9"/>
      <c r="AC567" s="9"/>
    </row>
    <row r="568" spans="1:29" ht="12.75" customHeight="1" x14ac:dyDescent="0.25">
      <c r="A568" s="9"/>
      <c r="B568" s="9"/>
      <c r="C568" s="9"/>
      <c r="D568" s="9"/>
      <c r="E568" s="9"/>
      <c r="F568" s="9"/>
      <c r="G568" s="9"/>
      <c r="H568" s="581"/>
      <c r="I568" s="581"/>
      <c r="J568" s="581"/>
      <c r="K568" s="581"/>
      <c r="L568" s="581"/>
      <c r="M568" s="581"/>
      <c r="N568" s="581"/>
      <c r="O568" s="581"/>
      <c r="P568" s="581"/>
      <c r="Q568" s="581"/>
      <c r="R568" s="581"/>
      <c r="S568" s="581"/>
      <c r="T568" s="581"/>
      <c r="U568" s="9"/>
      <c r="V568" s="9"/>
      <c r="W568" s="9"/>
      <c r="X568" s="9"/>
      <c r="Y568" s="9"/>
      <c r="Z568" s="9"/>
      <c r="AA568" s="9"/>
      <c r="AB568" s="9"/>
      <c r="AC568" s="9"/>
    </row>
    <row r="569" spans="1:29" ht="12.75" customHeight="1" x14ac:dyDescent="0.25">
      <c r="A569" s="9"/>
      <c r="B569" s="9"/>
      <c r="C569" s="9"/>
      <c r="D569" s="9"/>
      <c r="E569" s="9"/>
      <c r="F569" s="9"/>
      <c r="G569" s="9"/>
      <c r="H569" s="581"/>
      <c r="I569" s="581"/>
      <c r="J569" s="581"/>
      <c r="K569" s="581"/>
      <c r="L569" s="581"/>
      <c r="M569" s="581"/>
      <c r="N569" s="581"/>
      <c r="O569" s="581"/>
      <c r="P569" s="581"/>
      <c r="Q569" s="581"/>
      <c r="R569" s="581"/>
      <c r="S569" s="581"/>
      <c r="T569" s="581"/>
      <c r="U569" s="9"/>
      <c r="V569" s="9"/>
      <c r="W569" s="9"/>
      <c r="X569" s="9"/>
      <c r="Y569" s="9"/>
      <c r="Z569" s="9"/>
      <c r="AA569" s="9"/>
      <c r="AB569" s="9"/>
      <c r="AC569" s="9"/>
    </row>
    <row r="570" spans="1:29" ht="12.75" customHeight="1" x14ac:dyDescent="0.25">
      <c r="A570" s="9"/>
      <c r="B570" s="9"/>
      <c r="C570" s="9"/>
      <c r="D570" s="9"/>
      <c r="E570" s="9"/>
      <c r="F570" s="9"/>
      <c r="G570" s="9"/>
      <c r="H570" s="581"/>
      <c r="I570" s="581"/>
      <c r="J570" s="581"/>
      <c r="K570" s="581"/>
      <c r="L570" s="581"/>
      <c r="M570" s="581"/>
      <c r="N570" s="581"/>
      <c r="O570" s="581"/>
      <c r="P570" s="581"/>
      <c r="Q570" s="581"/>
      <c r="R570" s="581"/>
      <c r="S570" s="581"/>
      <c r="T570" s="581"/>
      <c r="U570" s="9"/>
      <c r="V570" s="9"/>
      <c r="W570" s="9"/>
      <c r="X570" s="9"/>
      <c r="Y570" s="9"/>
      <c r="Z570" s="9"/>
      <c r="AA570" s="9"/>
      <c r="AB570" s="9"/>
      <c r="AC570" s="9"/>
    </row>
    <row r="571" spans="1:29" ht="12.75" customHeight="1" x14ac:dyDescent="0.25">
      <c r="A571" s="9"/>
      <c r="B571" s="9"/>
      <c r="C571" s="9"/>
      <c r="D571" s="9"/>
      <c r="E571" s="9"/>
      <c r="F571" s="9"/>
      <c r="G571" s="9"/>
      <c r="H571" s="581"/>
      <c r="I571" s="581"/>
      <c r="J571" s="581"/>
      <c r="K571" s="581"/>
      <c r="L571" s="581"/>
      <c r="M571" s="581"/>
      <c r="N571" s="581"/>
      <c r="O571" s="581"/>
      <c r="P571" s="581"/>
      <c r="Q571" s="581"/>
      <c r="R571" s="581"/>
      <c r="S571" s="581"/>
      <c r="T571" s="581"/>
      <c r="U571" s="9"/>
      <c r="V571" s="9"/>
      <c r="W571" s="9"/>
      <c r="X571" s="9"/>
      <c r="Y571" s="9"/>
      <c r="Z571" s="9"/>
      <c r="AA571" s="9"/>
      <c r="AB571" s="9"/>
      <c r="AC571" s="9"/>
    </row>
    <row r="572" spans="1:29" ht="12.75" customHeight="1" x14ac:dyDescent="0.25">
      <c r="A572" s="9"/>
      <c r="B572" s="9"/>
      <c r="C572" s="9"/>
      <c r="D572" s="9"/>
      <c r="E572" s="9"/>
      <c r="F572" s="9"/>
      <c r="G572" s="9"/>
      <c r="H572" s="581"/>
      <c r="I572" s="581"/>
      <c r="J572" s="581"/>
      <c r="K572" s="581"/>
      <c r="L572" s="581"/>
      <c r="M572" s="581"/>
      <c r="N572" s="581"/>
      <c r="O572" s="581"/>
      <c r="P572" s="581"/>
      <c r="Q572" s="581"/>
      <c r="R572" s="581"/>
      <c r="S572" s="581"/>
      <c r="T572" s="581"/>
      <c r="U572" s="9"/>
      <c r="V572" s="9"/>
      <c r="W572" s="9"/>
      <c r="X572" s="9"/>
      <c r="Y572" s="9"/>
      <c r="Z572" s="9"/>
      <c r="AA572" s="9"/>
      <c r="AB572" s="9"/>
      <c r="AC572" s="9"/>
    </row>
    <row r="573" spans="1:29" ht="12.75" customHeight="1" x14ac:dyDescent="0.25">
      <c r="A573" s="9"/>
      <c r="B573" s="9"/>
      <c r="C573" s="9"/>
      <c r="D573" s="9"/>
      <c r="E573" s="9"/>
      <c r="F573" s="9"/>
      <c r="G573" s="9"/>
      <c r="H573" s="581"/>
      <c r="I573" s="581"/>
      <c r="J573" s="581"/>
      <c r="K573" s="581"/>
      <c r="L573" s="581"/>
      <c r="M573" s="581"/>
      <c r="N573" s="581"/>
      <c r="O573" s="581"/>
      <c r="P573" s="581"/>
      <c r="Q573" s="581"/>
      <c r="R573" s="581"/>
      <c r="S573" s="581"/>
      <c r="T573" s="581"/>
      <c r="U573" s="9"/>
      <c r="V573" s="9"/>
      <c r="W573" s="9"/>
      <c r="X573" s="9"/>
      <c r="Y573" s="9"/>
      <c r="Z573" s="9"/>
      <c r="AA573" s="9"/>
      <c r="AB573" s="9"/>
      <c r="AC573" s="9"/>
    </row>
    <row r="574" spans="1:29" ht="12.75" customHeight="1" x14ac:dyDescent="0.25">
      <c r="A574" s="9"/>
      <c r="B574" s="9"/>
      <c r="C574" s="9"/>
      <c r="D574" s="9"/>
      <c r="E574" s="9"/>
      <c r="F574" s="9"/>
      <c r="G574" s="9"/>
      <c r="H574" s="581"/>
      <c r="I574" s="581"/>
      <c r="J574" s="581"/>
      <c r="K574" s="581"/>
      <c r="L574" s="581"/>
      <c r="M574" s="581"/>
      <c r="N574" s="581"/>
      <c r="O574" s="581"/>
      <c r="P574" s="581"/>
      <c r="Q574" s="581"/>
      <c r="R574" s="581"/>
      <c r="S574" s="581"/>
      <c r="T574" s="581"/>
      <c r="U574" s="9"/>
      <c r="V574" s="9"/>
      <c r="W574" s="9"/>
      <c r="X574" s="9"/>
      <c r="Y574" s="9"/>
      <c r="Z574" s="9"/>
      <c r="AA574" s="9"/>
      <c r="AB574" s="9"/>
      <c r="AC574" s="9"/>
    </row>
    <row r="575" spans="1:29" ht="12.75" customHeight="1" x14ac:dyDescent="0.25">
      <c r="A575" s="9"/>
      <c r="B575" s="9"/>
      <c r="C575" s="9"/>
      <c r="D575" s="9"/>
      <c r="E575" s="9"/>
      <c r="F575" s="9"/>
      <c r="G575" s="9"/>
      <c r="H575" s="581"/>
      <c r="I575" s="581"/>
      <c r="J575" s="581"/>
      <c r="K575" s="581"/>
      <c r="L575" s="581"/>
      <c r="M575" s="581"/>
      <c r="N575" s="581"/>
      <c r="O575" s="581"/>
      <c r="P575" s="581"/>
      <c r="Q575" s="581"/>
      <c r="R575" s="581"/>
      <c r="S575" s="581"/>
      <c r="T575" s="581"/>
      <c r="U575" s="9"/>
      <c r="V575" s="9"/>
      <c r="W575" s="9"/>
      <c r="X575" s="9"/>
      <c r="Y575" s="9"/>
      <c r="Z575" s="9"/>
      <c r="AA575" s="9"/>
      <c r="AB575" s="9"/>
      <c r="AC575" s="9"/>
    </row>
    <row r="576" spans="1:29" ht="12.75" customHeight="1" x14ac:dyDescent="0.25">
      <c r="A576" s="9"/>
      <c r="B576" s="9"/>
      <c r="C576" s="9"/>
      <c r="D576" s="9"/>
      <c r="E576" s="9"/>
      <c r="F576" s="9"/>
      <c r="G576" s="9"/>
      <c r="H576" s="581"/>
      <c r="I576" s="581"/>
      <c r="J576" s="581"/>
      <c r="K576" s="581"/>
      <c r="L576" s="581"/>
      <c r="M576" s="581"/>
      <c r="N576" s="581"/>
      <c r="O576" s="581"/>
      <c r="P576" s="581"/>
      <c r="Q576" s="581"/>
      <c r="R576" s="581"/>
      <c r="S576" s="581"/>
      <c r="T576" s="581"/>
      <c r="U576" s="9"/>
      <c r="V576" s="9"/>
      <c r="W576" s="9"/>
      <c r="X576" s="9"/>
      <c r="Y576" s="9"/>
      <c r="Z576" s="9"/>
      <c r="AA576" s="9"/>
      <c r="AB576" s="9"/>
      <c r="AC576" s="9"/>
    </row>
    <row r="577" spans="1:29" ht="12.75" customHeight="1" x14ac:dyDescent="0.25">
      <c r="A577" s="9"/>
      <c r="B577" s="9"/>
      <c r="C577" s="9"/>
      <c r="D577" s="9"/>
      <c r="E577" s="9"/>
      <c r="F577" s="9"/>
      <c r="G577" s="9"/>
      <c r="H577" s="581"/>
      <c r="I577" s="581"/>
      <c r="J577" s="581"/>
      <c r="K577" s="581"/>
      <c r="L577" s="581"/>
      <c r="M577" s="581"/>
      <c r="N577" s="581"/>
      <c r="O577" s="581"/>
      <c r="P577" s="581"/>
      <c r="Q577" s="581"/>
      <c r="R577" s="581"/>
      <c r="S577" s="581"/>
      <c r="T577" s="581"/>
      <c r="U577" s="9"/>
      <c r="V577" s="9"/>
      <c r="W577" s="9"/>
      <c r="X577" s="9"/>
      <c r="Y577" s="9"/>
      <c r="Z577" s="9"/>
      <c r="AA577" s="9"/>
      <c r="AB577" s="9"/>
      <c r="AC577" s="9"/>
    </row>
    <row r="578" spans="1:29" ht="12.75" customHeight="1" x14ac:dyDescent="0.25">
      <c r="A578" s="9"/>
      <c r="B578" s="9"/>
      <c r="C578" s="9"/>
      <c r="D578" s="9"/>
      <c r="E578" s="9"/>
      <c r="F578" s="9"/>
      <c r="G578" s="9"/>
      <c r="H578" s="581"/>
      <c r="I578" s="581"/>
      <c r="J578" s="581"/>
      <c r="K578" s="581"/>
      <c r="L578" s="581"/>
      <c r="M578" s="581"/>
      <c r="N578" s="581"/>
      <c r="O578" s="581"/>
      <c r="P578" s="581"/>
      <c r="Q578" s="581"/>
      <c r="R578" s="581"/>
      <c r="S578" s="581"/>
      <c r="T578" s="581"/>
      <c r="U578" s="9"/>
      <c r="V578" s="9"/>
      <c r="W578" s="9"/>
      <c r="X578" s="9"/>
      <c r="Y578" s="9"/>
      <c r="Z578" s="9"/>
      <c r="AA578" s="9"/>
      <c r="AB578" s="9"/>
      <c r="AC578" s="9"/>
    </row>
    <row r="579" spans="1:29" ht="12.75" customHeight="1" x14ac:dyDescent="0.25">
      <c r="A579" s="9"/>
      <c r="B579" s="9"/>
      <c r="C579" s="9"/>
      <c r="D579" s="9"/>
      <c r="E579" s="9"/>
      <c r="F579" s="9"/>
      <c r="G579" s="9"/>
      <c r="H579" s="581"/>
      <c r="I579" s="581"/>
      <c r="J579" s="581"/>
      <c r="K579" s="581"/>
      <c r="L579" s="581"/>
      <c r="M579" s="581"/>
      <c r="N579" s="581"/>
      <c r="O579" s="581"/>
      <c r="P579" s="581"/>
      <c r="Q579" s="581"/>
      <c r="R579" s="581"/>
      <c r="S579" s="581"/>
      <c r="T579" s="581"/>
      <c r="U579" s="9"/>
      <c r="V579" s="9"/>
      <c r="W579" s="9"/>
      <c r="X579" s="9"/>
      <c r="Y579" s="9"/>
      <c r="Z579" s="9"/>
      <c r="AA579" s="9"/>
      <c r="AB579" s="9"/>
      <c r="AC579" s="9"/>
    </row>
    <row r="580" spans="1:29" ht="12.75" customHeight="1" x14ac:dyDescent="0.25">
      <c r="A580" s="9"/>
      <c r="B580" s="9"/>
      <c r="C580" s="9"/>
      <c r="D580" s="9"/>
      <c r="E580" s="9"/>
      <c r="F580" s="9"/>
      <c r="G580" s="9"/>
      <c r="H580" s="581"/>
      <c r="I580" s="581"/>
      <c r="J580" s="581"/>
      <c r="K580" s="581"/>
      <c r="L580" s="581"/>
      <c r="M580" s="581"/>
      <c r="N580" s="581"/>
      <c r="O580" s="581"/>
      <c r="P580" s="581"/>
      <c r="Q580" s="581"/>
      <c r="R580" s="581"/>
      <c r="S580" s="581"/>
      <c r="T580" s="581"/>
      <c r="U580" s="9"/>
      <c r="V580" s="9"/>
      <c r="W580" s="9"/>
      <c r="X580" s="9"/>
      <c r="Y580" s="9"/>
      <c r="Z580" s="9"/>
      <c r="AA580" s="9"/>
      <c r="AB580" s="9"/>
      <c r="AC580" s="9"/>
    </row>
    <row r="581" spans="1:29" ht="12.75" customHeight="1" x14ac:dyDescent="0.25">
      <c r="A581" s="9"/>
      <c r="B581" s="9"/>
      <c r="C581" s="9"/>
      <c r="D581" s="9"/>
      <c r="E581" s="9"/>
      <c r="F581" s="9"/>
      <c r="G581" s="9"/>
      <c r="H581" s="581"/>
      <c r="I581" s="581"/>
      <c r="J581" s="581"/>
      <c r="K581" s="581"/>
      <c r="L581" s="581"/>
      <c r="M581" s="581"/>
      <c r="N581" s="581"/>
      <c r="O581" s="581"/>
      <c r="P581" s="581"/>
      <c r="Q581" s="581"/>
      <c r="R581" s="581"/>
      <c r="S581" s="581"/>
      <c r="T581" s="581"/>
      <c r="U581" s="9"/>
      <c r="V581" s="9"/>
      <c r="W581" s="9"/>
      <c r="X581" s="9"/>
      <c r="Y581" s="9"/>
      <c r="Z581" s="9"/>
      <c r="AA581" s="9"/>
      <c r="AB581" s="9"/>
      <c r="AC581" s="9"/>
    </row>
    <row r="582" spans="1:29" ht="12.75" customHeight="1" x14ac:dyDescent="0.25">
      <c r="A582" s="9"/>
      <c r="B582" s="9"/>
      <c r="C582" s="9"/>
      <c r="D582" s="9"/>
      <c r="E582" s="9"/>
      <c r="F582" s="9"/>
      <c r="G582" s="9"/>
      <c r="H582" s="581"/>
      <c r="I582" s="581"/>
      <c r="J582" s="581"/>
      <c r="K582" s="581"/>
      <c r="L582" s="581"/>
      <c r="M582" s="581"/>
      <c r="N582" s="581"/>
      <c r="O582" s="581"/>
      <c r="P582" s="581"/>
      <c r="Q582" s="581"/>
      <c r="R582" s="581"/>
      <c r="S582" s="581"/>
      <c r="T582" s="581"/>
      <c r="U582" s="9"/>
      <c r="V582" s="9"/>
      <c r="W582" s="9"/>
      <c r="X582" s="9"/>
      <c r="Y582" s="9"/>
      <c r="Z582" s="9"/>
      <c r="AA582" s="9"/>
      <c r="AB582" s="9"/>
      <c r="AC582" s="9"/>
    </row>
    <row r="583" spans="1:29" ht="12.75" customHeight="1" x14ac:dyDescent="0.25">
      <c r="A583" s="9"/>
      <c r="B583" s="9"/>
      <c r="C583" s="9"/>
      <c r="D583" s="9"/>
      <c r="E583" s="9"/>
      <c r="F583" s="9"/>
      <c r="G583" s="9"/>
      <c r="H583" s="581"/>
      <c r="I583" s="581"/>
      <c r="J583" s="581"/>
      <c r="K583" s="581"/>
      <c r="L583" s="581"/>
      <c r="M583" s="581"/>
      <c r="N583" s="581"/>
      <c r="O583" s="581"/>
      <c r="P583" s="581"/>
      <c r="Q583" s="581"/>
      <c r="R583" s="581"/>
      <c r="S583" s="581"/>
      <c r="T583" s="581"/>
      <c r="U583" s="9"/>
      <c r="V583" s="9"/>
      <c r="W583" s="9"/>
      <c r="X583" s="9"/>
      <c r="Y583" s="9"/>
      <c r="Z583" s="9"/>
      <c r="AA583" s="9"/>
      <c r="AB583" s="9"/>
      <c r="AC583" s="9"/>
    </row>
    <row r="584" spans="1:29" ht="12.75" customHeight="1" x14ac:dyDescent="0.25">
      <c r="A584" s="9"/>
      <c r="B584" s="9"/>
      <c r="C584" s="9"/>
      <c r="D584" s="9"/>
      <c r="E584" s="9"/>
      <c r="F584" s="9"/>
      <c r="G584" s="9"/>
      <c r="H584" s="581"/>
      <c r="I584" s="581"/>
      <c r="J584" s="581"/>
      <c r="K584" s="581"/>
      <c r="L584" s="581"/>
      <c r="M584" s="581"/>
      <c r="N584" s="581"/>
      <c r="O584" s="581"/>
      <c r="P584" s="581"/>
      <c r="Q584" s="581"/>
      <c r="R584" s="581"/>
      <c r="S584" s="581"/>
      <c r="T584" s="581"/>
      <c r="U584" s="9"/>
      <c r="V584" s="9"/>
      <c r="W584" s="9"/>
      <c r="X584" s="9"/>
      <c r="Y584" s="9"/>
      <c r="Z584" s="9"/>
      <c r="AA584" s="9"/>
      <c r="AB584" s="9"/>
      <c r="AC584" s="9"/>
    </row>
    <row r="585" spans="1:29" ht="12.75" customHeight="1" x14ac:dyDescent="0.25">
      <c r="A585" s="9"/>
      <c r="B585" s="9"/>
      <c r="C585" s="9"/>
      <c r="D585" s="9"/>
      <c r="E585" s="9"/>
      <c r="F585" s="9"/>
      <c r="G585" s="9"/>
      <c r="H585" s="581"/>
      <c r="I585" s="581"/>
      <c r="J585" s="581"/>
      <c r="K585" s="581"/>
      <c r="L585" s="581"/>
      <c r="M585" s="581"/>
      <c r="N585" s="581"/>
      <c r="O585" s="581"/>
      <c r="P585" s="581"/>
      <c r="Q585" s="581"/>
      <c r="R585" s="581"/>
      <c r="S585" s="581"/>
      <c r="T585" s="581"/>
      <c r="U585" s="9"/>
      <c r="V585" s="9"/>
      <c r="W585" s="9"/>
      <c r="X585" s="9"/>
      <c r="Y585" s="9"/>
      <c r="Z585" s="9"/>
      <c r="AA585" s="9"/>
      <c r="AB585" s="9"/>
      <c r="AC585" s="9"/>
    </row>
    <row r="586" spans="1:29" ht="12.75" customHeight="1" x14ac:dyDescent="0.25">
      <c r="A586" s="9"/>
      <c r="B586" s="9"/>
      <c r="C586" s="9"/>
      <c r="D586" s="9"/>
      <c r="E586" s="9"/>
      <c r="F586" s="9"/>
      <c r="G586" s="9"/>
      <c r="H586" s="581"/>
      <c r="I586" s="581"/>
      <c r="J586" s="581"/>
      <c r="K586" s="581"/>
      <c r="L586" s="581"/>
      <c r="M586" s="581"/>
      <c r="N586" s="581"/>
      <c r="O586" s="581"/>
      <c r="P586" s="581"/>
      <c r="Q586" s="581"/>
      <c r="R586" s="581"/>
      <c r="S586" s="581"/>
      <c r="T586" s="581"/>
      <c r="U586" s="9"/>
      <c r="V586" s="9"/>
      <c r="W586" s="9"/>
      <c r="X586" s="9"/>
      <c r="Y586" s="9"/>
      <c r="Z586" s="9"/>
      <c r="AA586" s="9"/>
      <c r="AB586" s="9"/>
      <c r="AC586" s="9"/>
    </row>
    <row r="587" spans="1:29" ht="12.75" customHeight="1" x14ac:dyDescent="0.25">
      <c r="A587" s="9"/>
      <c r="B587" s="9"/>
      <c r="C587" s="9"/>
      <c r="D587" s="9"/>
      <c r="E587" s="9"/>
      <c r="F587" s="9"/>
      <c r="G587" s="9"/>
      <c r="H587" s="581"/>
      <c r="I587" s="581"/>
      <c r="J587" s="581"/>
      <c r="K587" s="581"/>
      <c r="L587" s="581"/>
      <c r="M587" s="581"/>
      <c r="N587" s="581"/>
      <c r="O587" s="581"/>
      <c r="P587" s="581"/>
      <c r="Q587" s="581"/>
      <c r="R587" s="581"/>
      <c r="S587" s="581"/>
      <c r="T587" s="581"/>
      <c r="U587" s="9"/>
      <c r="V587" s="9"/>
      <c r="W587" s="9"/>
      <c r="X587" s="9"/>
      <c r="Y587" s="9"/>
      <c r="Z587" s="9"/>
      <c r="AA587" s="9"/>
      <c r="AB587" s="9"/>
      <c r="AC587" s="9"/>
    </row>
    <row r="588" spans="1:29" ht="12.75" customHeight="1" x14ac:dyDescent="0.25">
      <c r="A588" s="9"/>
      <c r="B588" s="9"/>
      <c r="C588" s="9"/>
      <c r="D588" s="9"/>
      <c r="E588" s="9"/>
      <c r="F588" s="9"/>
      <c r="G588" s="9"/>
      <c r="H588" s="581"/>
      <c r="I588" s="581"/>
      <c r="J588" s="581"/>
      <c r="K588" s="581"/>
      <c r="L588" s="581"/>
      <c r="M588" s="581"/>
      <c r="N588" s="581"/>
      <c r="O588" s="581"/>
      <c r="P588" s="581"/>
      <c r="Q588" s="581"/>
      <c r="R588" s="581"/>
      <c r="S588" s="581"/>
      <c r="T588" s="581"/>
      <c r="U588" s="9"/>
      <c r="V588" s="9"/>
      <c r="W588" s="9"/>
      <c r="X588" s="9"/>
      <c r="Y588" s="9"/>
      <c r="Z588" s="9"/>
      <c r="AA588" s="9"/>
      <c r="AB588" s="9"/>
      <c r="AC588" s="9"/>
    </row>
    <row r="589" spans="1:29" ht="12.75" customHeight="1" x14ac:dyDescent="0.25">
      <c r="A589" s="9"/>
      <c r="B589" s="9"/>
      <c r="C589" s="9"/>
      <c r="D589" s="9"/>
      <c r="E589" s="9"/>
      <c r="F589" s="9"/>
      <c r="G589" s="9"/>
      <c r="H589" s="581"/>
      <c r="I589" s="581"/>
      <c r="J589" s="581"/>
      <c r="K589" s="581"/>
      <c r="L589" s="581"/>
      <c r="M589" s="581"/>
      <c r="N589" s="581"/>
      <c r="O589" s="581"/>
      <c r="P589" s="581"/>
      <c r="Q589" s="581"/>
      <c r="R589" s="581"/>
      <c r="S589" s="581"/>
      <c r="T589" s="581"/>
      <c r="U589" s="9"/>
      <c r="V589" s="9"/>
      <c r="W589" s="9"/>
      <c r="X589" s="9"/>
      <c r="Y589" s="9"/>
      <c r="Z589" s="9"/>
      <c r="AA589" s="9"/>
      <c r="AB589" s="9"/>
      <c r="AC589" s="9"/>
    </row>
    <row r="590" spans="1:29" ht="12.75" customHeight="1" x14ac:dyDescent="0.25">
      <c r="A590" s="9"/>
      <c r="B590" s="9"/>
      <c r="C590" s="9"/>
      <c r="D590" s="9"/>
      <c r="E590" s="9"/>
      <c r="F590" s="9"/>
      <c r="G590" s="9"/>
      <c r="H590" s="581"/>
      <c r="I590" s="581"/>
      <c r="J590" s="581"/>
      <c r="K590" s="581"/>
      <c r="L590" s="581"/>
      <c r="M590" s="581"/>
      <c r="N590" s="581"/>
      <c r="O590" s="581"/>
      <c r="P590" s="581"/>
      <c r="Q590" s="581"/>
      <c r="R590" s="581"/>
      <c r="S590" s="581"/>
      <c r="T590" s="581"/>
      <c r="U590" s="9"/>
      <c r="V590" s="9"/>
      <c r="W590" s="9"/>
      <c r="X590" s="9"/>
      <c r="Y590" s="9"/>
      <c r="Z590" s="9"/>
      <c r="AA590" s="9"/>
      <c r="AB590" s="9"/>
      <c r="AC590" s="9"/>
    </row>
    <row r="591" spans="1:29" ht="12.75" customHeight="1" x14ac:dyDescent="0.25">
      <c r="A591" s="9"/>
      <c r="B591" s="9"/>
      <c r="C591" s="9"/>
      <c r="D591" s="9"/>
      <c r="E591" s="9"/>
      <c r="F591" s="9"/>
      <c r="G591" s="9"/>
      <c r="H591" s="581"/>
      <c r="I591" s="581"/>
      <c r="J591" s="581"/>
      <c r="K591" s="581"/>
      <c r="L591" s="581"/>
      <c r="M591" s="581"/>
      <c r="N591" s="581"/>
      <c r="O591" s="581"/>
      <c r="P591" s="581"/>
      <c r="Q591" s="581"/>
      <c r="R591" s="581"/>
      <c r="S591" s="581"/>
      <c r="T591" s="581"/>
      <c r="U591" s="9"/>
      <c r="V591" s="9"/>
      <c r="W591" s="9"/>
      <c r="X591" s="9"/>
      <c r="Y591" s="9"/>
      <c r="Z591" s="9"/>
      <c r="AA591" s="9"/>
      <c r="AB591" s="9"/>
      <c r="AC591" s="9"/>
    </row>
    <row r="592" spans="1:29" ht="12.75" customHeight="1" x14ac:dyDescent="0.25">
      <c r="A592" s="9"/>
      <c r="B592" s="9"/>
      <c r="C592" s="9"/>
      <c r="D592" s="9"/>
      <c r="E592" s="9"/>
      <c r="F592" s="9"/>
      <c r="G592" s="9"/>
      <c r="H592" s="581"/>
      <c r="I592" s="581"/>
      <c r="J592" s="581"/>
      <c r="K592" s="581"/>
      <c r="L592" s="581"/>
      <c r="M592" s="581"/>
      <c r="N592" s="581"/>
      <c r="O592" s="581"/>
      <c r="P592" s="581"/>
      <c r="Q592" s="581"/>
      <c r="R592" s="581"/>
      <c r="S592" s="581"/>
      <c r="T592" s="581"/>
      <c r="U592" s="9"/>
      <c r="V592" s="9"/>
      <c r="W592" s="9"/>
      <c r="X592" s="9"/>
      <c r="Y592" s="9"/>
      <c r="Z592" s="9"/>
      <c r="AA592" s="9"/>
      <c r="AB592" s="9"/>
      <c r="AC592" s="9"/>
    </row>
    <row r="593" spans="1:29" ht="12.75" customHeight="1" x14ac:dyDescent="0.25">
      <c r="A593" s="9"/>
      <c r="B593" s="9"/>
      <c r="C593" s="9"/>
      <c r="D593" s="9"/>
      <c r="E593" s="9"/>
      <c r="F593" s="9"/>
      <c r="G593" s="9"/>
      <c r="H593" s="581"/>
      <c r="I593" s="581"/>
      <c r="J593" s="581"/>
      <c r="K593" s="581"/>
      <c r="L593" s="581"/>
      <c r="M593" s="581"/>
      <c r="N593" s="581"/>
      <c r="O593" s="581"/>
      <c r="P593" s="581"/>
      <c r="Q593" s="581"/>
      <c r="R593" s="581"/>
      <c r="S593" s="581"/>
      <c r="T593" s="581"/>
      <c r="U593" s="9"/>
      <c r="V593" s="9"/>
      <c r="W593" s="9"/>
      <c r="X593" s="9"/>
      <c r="Y593" s="9"/>
      <c r="Z593" s="9"/>
      <c r="AA593" s="9"/>
      <c r="AB593" s="9"/>
      <c r="AC593" s="9"/>
    </row>
    <row r="594" spans="1:29" ht="12.75" customHeight="1" x14ac:dyDescent="0.25">
      <c r="A594" s="9"/>
      <c r="B594" s="9"/>
      <c r="C594" s="9"/>
      <c r="D594" s="9"/>
      <c r="E594" s="9"/>
      <c r="F594" s="9"/>
      <c r="G594" s="9"/>
      <c r="H594" s="581"/>
      <c r="I594" s="581"/>
      <c r="J594" s="581"/>
      <c r="K594" s="581"/>
      <c r="L594" s="581"/>
      <c r="M594" s="581"/>
      <c r="N594" s="581"/>
      <c r="O594" s="581"/>
      <c r="P594" s="581"/>
      <c r="Q594" s="581"/>
      <c r="R594" s="581"/>
      <c r="S594" s="581"/>
      <c r="T594" s="581"/>
      <c r="U594" s="9"/>
      <c r="V594" s="9"/>
      <c r="W594" s="9"/>
      <c r="X594" s="9"/>
      <c r="Y594" s="9"/>
      <c r="Z594" s="9"/>
      <c r="AA594" s="9"/>
      <c r="AB594" s="9"/>
      <c r="AC594" s="9"/>
    </row>
    <row r="595" spans="1:29" ht="12.75" customHeight="1" x14ac:dyDescent="0.25">
      <c r="A595" s="9"/>
      <c r="B595" s="9"/>
      <c r="C595" s="9"/>
      <c r="D595" s="9"/>
      <c r="E595" s="9"/>
      <c r="F595" s="9"/>
      <c r="G595" s="9"/>
      <c r="H595" s="581"/>
      <c r="I595" s="581"/>
      <c r="J595" s="581"/>
      <c r="K595" s="581"/>
      <c r="L595" s="581"/>
      <c r="M595" s="581"/>
      <c r="N595" s="581"/>
      <c r="O595" s="581"/>
      <c r="P595" s="581"/>
      <c r="Q595" s="581"/>
      <c r="R595" s="581"/>
      <c r="S595" s="581"/>
      <c r="T595" s="581"/>
      <c r="U595" s="9"/>
      <c r="V595" s="9"/>
      <c r="W595" s="9"/>
      <c r="X595" s="9"/>
      <c r="Y595" s="9"/>
      <c r="Z595" s="9"/>
      <c r="AA595" s="9"/>
      <c r="AB595" s="9"/>
      <c r="AC595" s="9"/>
    </row>
    <row r="596" spans="1:29" ht="12.75" customHeight="1" x14ac:dyDescent="0.25">
      <c r="A596" s="9"/>
      <c r="B596" s="9"/>
      <c r="C596" s="9"/>
      <c r="D596" s="9"/>
      <c r="E596" s="9"/>
      <c r="F596" s="9"/>
      <c r="G596" s="9"/>
      <c r="H596" s="581"/>
      <c r="I596" s="581"/>
      <c r="J596" s="581"/>
      <c r="K596" s="581"/>
      <c r="L596" s="581"/>
      <c r="M596" s="581"/>
      <c r="N596" s="581"/>
      <c r="O596" s="581"/>
      <c r="P596" s="581"/>
      <c r="Q596" s="581"/>
      <c r="R596" s="581"/>
      <c r="S596" s="581"/>
      <c r="T596" s="581"/>
      <c r="U596" s="9"/>
      <c r="V596" s="9"/>
      <c r="W596" s="9"/>
      <c r="X596" s="9"/>
      <c r="Y596" s="9"/>
      <c r="Z596" s="9"/>
      <c r="AA596" s="9"/>
      <c r="AB596" s="9"/>
      <c r="AC596" s="9"/>
    </row>
    <row r="597" spans="1:29" ht="12.75" customHeight="1" x14ac:dyDescent="0.25">
      <c r="A597" s="9"/>
      <c r="B597" s="9"/>
      <c r="C597" s="9"/>
      <c r="D597" s="9"/>
      <c r="E597" s="9"/>
      <c r="F597" s="9"/>
      <c r="G597" s="9"/>
      <c r="H597" s="581"/>
      <c r="I597" s="581"/>
      <c r="J597" s="581"/>
      <c r="K597" s="581"/>
      <c r="L597" s="581"/>
      <c r="M597" s="581"/>
      <c r="N597" s="581"/>
      <c r="O597" s="581"/>
      <c r="P597" s="581"/>
      <c r="Q597" s="581"/>
      <c r="R597" s="581"/>
      <c r="S597" s="581"/>
      <c r="T597" s="581"/>
      <c r="U597" s="9"/>
      <c r="V597" s="9"/>
      <c r="W597" s="9"/>
      <c r="X597" s="9"/>
      <c r="Y597" s="9"/>
      <c r="Z597" s="9"/>
      <c r="AA597" s="9"/>
      <c r="AB597" s="9"/>
      <c r="AC597" s="9"/>
    </row>
    <row r="598" spans="1:29" ht="12.75" customHeight="1" x14ac:dyDescent="0.25">
      <c r="A598" s="9"/>
      <c r="B598" s="9"/>
      <c r="C598" s="9"/>
      <c r="D598" s="9"/>
      <c r="E598" s="9"/>
      <c r="F598" s="9"/>
      <c r="G598" s="9"/>
      <c r="H598" s="581"/>
      <c r="I598" s="581"/>
      <c r="J598" s="581"/>
      <c r="K598" s="581"/>
      <c r="L598" s="581"/>
      <c r="M598" s="581"/>
      <c r="N598" s="581"/>
      <c r="O598" s="581"/>
      <c r="P598" s="581"/>
      <c r="Q598" s="581"/>
      <c r="R598" s="581"/>
      <c r="S598" s="581"/>
      <c r="T598" s="581"/>
      <c r="U598" s="9"/>
      <c r="V598" s="9"/>
      <c r="W598" s="9"/>
      <c r="X598" s="9"/>
      <c r="Y598" s="9"/>
      <c r="Z598" s="9"/>
      <c r="AA598" s="9"/>
      <c r="AB598" s="9"/>
      <c r="AC598" s="9"/>
    </row>
    <row r="599" spans="1:29" ht="12.75" customHeight="1" x14ac:dyDescent="0.25">
      <c r="A599" s="9"/>
      <c r="B599" s="9"/>
      <c r="C599" s="9"/>
      <c r="D599" s="9"/>
      <c r="E599" s="9"/>
      <c r="F599" s="9"/>
      <c r="G599" s="9"/>
      <c r="H599" s="581"/>
      <c r="I599" s="581"/>
      <c r="J599" s="581"/>
      <c r="K599" s="581"/>
      <c r="L599" s="581"/>
      <c r="M599" s="581"/>
      <c r="N599" s="581"/>
      <c r="O599" s="581"/>
      <c r="P599" s="581"/>
      <c r="Q599" s="581"/>
      <c r="R599" s="581"/>
      <c r="S599" s="581"/>
      <c r="T599" s="581"/>
      <c r="U599" s="9"/>
      <c r="V599" s="9"/>
      <c r="W599" s="9"/>
      <c r="X599" s="9"/>
      <c r="Y599" s="9"/>
      <c r="Z599" s="9"/>
      <c r="AA599" s="9"/>
      <c r="AB599" s="9"/>
      <c r="AC599" s="9"/>
    </row>
    <row r="600" spans="1:29" ht="12.75" customHeight="1" x14ac:dyDescent="0.25">
      <c r="A600" s="9"/>
      <c r="B600" s="9"/>
      <c r="C600" s="9"/>
      <c r="D600" s="9"/>
      <c r="E600" s="9"/>
      <c r="F600" s="9"/>
      <c r="G600" s="9"/>
      <c r="H600" s="581"/>
      <c r="I600" s="581"/>
      <c r="J600" s="581"/>
      <c r="K600" s="581"/>
      <c r="L600" s="581"/>
      <c r="M600" s="581"/>
      <c r="N600" s="581"/>
      <c r="O600" s="581"/>
      <c r="P600" s="581"/>
      <c r="Q600" s="581"/>
      <c r="R600" s="581"/>
      <c r="S600" s="581"/>
      <c r="T600" s="581"/>
      <c r="U600" s="9"/>
      <c r="V600" s="9"/>
      <c r="W600" s="9"/>
      <c r="X600" s="9"/>
      <c r="Y600" s="9"/>
      <c r="Z600" s="9"/>
      <c r="AA600" s="9"/>
      <c r="AB600" s="9"/>
      <c r="AC600" s="9"/>
    </row>
    <row r="601" spans="1:29" ht="12.75" customHeight="1" x14ac:dyDescent="0.25">
      <c r="A601" s="9"/>
      <c r="B601" s="9"/>
      <c r="C601" s="9"/>
      <c r="D601" s="9"/>
      <c r="E601" s="9"/>
      <c r="F601" s="9"/>
      <c r="G601" s="9"/>
      <c r="H601" s="581"/>
      <c r="I601" s="581"/>
      <c r="J601" s="581"/>
      <c r="K601" s="581"/>
      <c r="L601" s="581"/>
      <c r="M601" s="581"/>
      <c r="N601" s="581"/>
      <c r="O601" s="581"/>
      <c r="P601" s="581"/>
      <c r="Q601" s="581"/>
      <c r="R601" s="581"/>
      <c r="S601" s="581"/>
      <c r="T601" s="581"/>
      <c r="U601" s="9"/>
      <c r="V601" s="9"/>
      <c r="W601" s="9"/>
      <c r="X601" s="9"/>
      <c r="Y601" s="9"/>
      <c r="Z601" s="9"/>
      <c r="AA601" s="9"/>
      <c r="AB601" s="9"/>
      <c r="AC601" s="9"/>
    </row>
    <row r="602" spans="1:29" ht="12.75" customHeight="1" x14ac:dyDescent="0.25">
      <c r="A602" s="9"/>
      <c r="B602" s="9"/>
      <c r="C602" s="9"/>
      <c r="D602" s="9"/>
      <c r="E602" s="9"/>
      <c r="F602" s="9"/>
      <c r="G602" s="9"/>
      <c r="H602" s="581"/>
      <c r="I602" s="581"/>
      <c r="J602" s="581"/>
      <c r="K602" s="581"/>
      <c r="L602" s="581"/>
      <c r="M602" s="581"/>
      <c r="N602" s="581"/>
      <c r="O602" s="581"/>
      <c r="P602" s="581"/>
      <c r="Q602" s="581"/>
      <c r="R602" s="581"/>
      <c r="S602" s="581"/>
      <c r="T602" s="581"/>
      <c r="U602" s="9"/>
      <c r="V602" s="9"/>
      <c r="W602" s="9"/>
      <c r="X602" s="9"/>
      <c r="Y602" s="9"/>
      <c r="Z602" s="9"/>
      <c r="AA602" s="9"/>
      <c r="AB602" s="9"/>
      <c r="AC602" s="9"/>
    </row>
    <row r="603" spans="1:29" ht="12.75" customHeight="1" x14ac:dyDescent="0.25">
      <c r="A603" s="9"/>
      <c r="B603" s="9"/>
      <c r="C603" s="9"/>
      <c r="D603" s="9"/>
      <c r="E603" s="9"/>
      <c r="F603" s="9"/>
      <c r="G603" s="9"/>
      <c r="H603" s="581"/>
      <c r="I603" s="581"/>
      <c r="J603" s="581"/>
      <c r="K603" s="581"/>
      <c r="L603" s="581"/>
      <c r="M603" s="581"/>
      <c r="N603" s="581"/>
      <c r="O603" s="581"/>
      <c r="P603" s="581"/>
      <c r="Q603" s="581"/>
      <c r="R603" s="581"/>
      <c r="S603" s="581"/>
      <c r="T603" s="581"/>
      <c r="U603" s="9"/>
      <c r="V603" s="9"/>
      <c r="W603" s="9"/>
      <c r="X603" s="9"/>
      <c r="Y603" s="9"/>
      <c r="Z603" s="9"/>
      <c r="AA603" s="9"/>
      <c r="AB603" s="9"/>
      <c r="AC603" s="9"/>
    </row>
    <row r="604" spans="1:29" ht="12.75" customHeight="1" x14ac:dyDescent="0.25">
      <c r="A604" s="9"/>
      <c r="B604" s="9"/>
      <c r="C604" s="9"/>
      <c r="D604" s="9"/>
      <c r="E604" s="9"/>
      <c r="F604" s="9"/>
      <c r="G604" s="9"/>
      <c r="H604" s="581"/>
      <c r="I604" s="581"/>
      <c r="J604" s="581"/>
      <c r="K604" s="581"/>
      <c r="L604" s="581"/>
      <c r="M604" s="581"/>
      <c r="N604" s="581"/>
      <c r="O604" s="581"/>
      <c r="P604" s="581"/>
      <c r="Q604" s="581"/>
      <c r="R604" s="581"/>
      <c r="S604" s="581"/>
      <c r="T604" s="581"/>
      <c r="U604" s="9"/>
      <c r="V604" s="9"/>
      <c r="W604" s="9"/>
      <c r="X604" s="9"/>
      <c r="Y604" s="9"/>
      <c r="Z604" s="9"/>
      <c r="AA604" s="9"/>
      <c r="AB604" s="9"/>
      <c r="AC604" s="9"/>
    </row>
    <row r="605" spans="1:29" ht="12.75" customHeight="1" x14ac:dyDescent="0.25">
      <c r="A605" s="9"/>
      <c r="B605" s="9"/>
      <c r="C605" s="9"/>
      <c r="D605" s="9"/>
      <c r="E605" s="9"/>
      <c r="F605" s="9"/>
      <c r="G605" s="9"/>
      <c r="H605" s="581"/>
      <c r="I605" s="581"/>
      <c r="J605" s="581"/>
      <c r="K605" s="581"/>
      <c r="L605" s="581"/>
      <c r="M605" s="581"/>
      <c r="N605" s="581"/>
      <c r="O605" s="581"/>
      <c r="P605" s="581"/>
      <c r="Q605" s="581"/>
      <c r="R605" s="581"/>
      <c r="S605" s="581"/>
      <c r="T605" s="581"/>
      <c r="U605" s="9"/>
      <c r="V605" s="9"/>
      <c r="W605" s="9"/>
      <c r="X605" s="9"/>
      <c r="Y605" s="9"/>
      <c r="Z605" s="9"/>
      <c r="AA605" s="9"/>
      <c r="AB605" s="9"/>
      <c r="AC605" s="9"/>
    </row>
    <row r="606" spans="1:29" ht="12.75" customHeight="1" x14ac:dyDescent="0.25">
      <c r="A606" s="9"/>
      <c r="B606" s="9"/>
      <c r="C606" s="9"/>
      <c r="D606" s="9"/>
      <c r="E606" s="9"/>
      <c r="F606" s="9"/>
      <c r="G606" s="9"/>
      <c r="H606" s="581"/>
      <c r="I606" s="581"/>
      <c r="J606" s="581"/>
      <c r="K606" s="581"/>
      <c r="L606" s="581"/>
      <c r="M606" s="581"/>
      <c r="N606" s="581"/>
      <c r="O606" s="581"/>
      <c r="P606" s="581"/>
      <c r="Q606" s="581"/>
      <c r="R606" s="581"/>
      <c r="S606" s="581"/>
      <c r="T606" s="581"/>
      <c r="U606" s="9"/>
      <c r="V606" s="9"/>
      <c r="W606" s="9"/>
      <c r="X606" s="9"/>
      <c r="Y606" s="9"/>
      <c r="Z606" s="9"/>
      <c r="AA606" s="9"/>
      <c r="AB606" s="9"/>
      <c r="AC606" s="9"/>
    </row>
    <row r="607" spans="1:29" ht="12.75" customHeight="1" x14ac:dyDescent="0.25">
      <c r="A607" s="9"/>
      <c r="B607" s="9"/>
      <c r="C607" s="9"/>
      <c r="D607" s="9"/>
      <c r="E607" s="9"/>
      <c r="F607" s="9"/>
      <c r="G607" s="9"/>
      <c r="H607" s="581"/>
      <c r="I607" s="581"/>
      <c r="J607" s="581"/>
      <c r="K607" s="581"/>
      <c r="L607" s="581"/>
      <c r="M607" s="581"/>
      <c r="N607" s="581"/>
      <c r="O607" s="581"/>
      <c r="P607" s="581"/>
      <c r="Q607" s="581"/>
      <c r="R607" s="581"/>
      <c r="S607" s="581"/>
      <c r="T607" s="581"/>
      <c r="U607" s="9"/>
      <c r="V607" s="9"/>
      <c r="W607" s="9"/>
      <c r="X607" s="9"/>
      <c r="Y607" s="9"/>
      <c r="Z607" s="9"/>
      <c r="AA607" s="9"/>
      <c r="AB607" s="9"/>
      <c r="AC607" s="9"/>
    </row>
    <row r="608" spans="1:29" ht="12.75" customHeight="1" x14ac:dyDescent="0.25">
      <c r="A608" s="9"/>
      <c r="B608" s="9"/>
      <c r="C608" s="9"/>
      <c r="D608" s="9"/>
      <c r="E608" s="9"/>
      <c r="F608" s="9"/>
      <c r="G608" s="9"/>
      <c r="H608" s="581"/>
      <c r="I608" s="581"/>
      <c r="J608" s="581"/>
      <c r="K608" s="581"/>
      <c r="L608" s="581"/>
      <c r="M608" s="581"/>
      <c r="N608" s="581"/>
      <c r="O608" s="581"/>
      <c r="P608" s="581"/>
      <c r="Q608" s="581"/>
      <c r="R608" s="581"/>
      <c r="S608" s="581"/>
      <c r="T608" s="581"/>
      <c r="U608" s="9"/>
      <c r="V608" s="9"/>
      <c r="W608" s="9"/>
      <c r="X608" s="9"/>
      <c r="Y608" s="9"/>
      <c r="Z608" s="9"/>
      <c r="AA608" s="9"/>
      <c r="AB608" s="9"/>
      <c r="AC608" s="9"/>
    </row>
    <row r="609" spans="1:29" ht="12.75" customHeight="1" x14ac:dyDescent="0.25">
      <c r="A609" s="9"/>
      <c r="B609" s="9"/>
      <c r="C609" s="9"/>
      <c r="D609" s="9"/>
      <c r="E609" s="9"/>
      <c r="F609" s="9"/>
      <c r="G609" s="9"/>
      <c r="H609" s="581"/>
      <c r="I609" s="581"/>
      <c r="J609" s="581"/>
      <c r="K609" s="581"/>
      <c r="L609" s="581"/>
      <c r="M609" s="581"/>
      <c r="N609" s="581"/>
      <c r="O609" s="581"/>
      <c r="P609" s="581"/>
      <c r="Q609" s="581"/>
      <c r="R609" s="581"/>
      <c r="S609" s="581"/>
      <c r="T609" s="581"/>
      <c r="U609" s="9"/>
      <c r="V609" s="9"/>
      <c r="W609" s="9"/>
      <c r="X609" s="9"/>
      <c r="Y609" s="9"/>
      <c r="Z609" s="9"/>
      <c r="AA609" s="9"/>
      <c r="AB609" s="9"/>
      <c r="AC609" s="9"/>
    </row>
    <row r="610" spans="1:29" ht="12.75" customHeight="1" x14ac:dyDescent="0.25">
      <c r="A610" s="9"/>
      <c r="B610" s="9"/>
      <c r="C610" s="9"/>
      <c r="D610" s="9"/>
      <c r="E610" s="9"/>
      <c r="F610" s="9"/>
      <c r="G610" s="9"/>
      <c r="H610" s="581"/>
      <c r="I610" s="581"/>
      <c r="J610" s="581"/>
      <c r="K610" s="581"/>
      <c r="L610" s="581"/>
      <c r="M610" s="581"/>
      <c r="N610" s="581"/>
      <c r="O610" s="581"/>
      <c r="P610" s="581"/>
      <c r="Q610" s="581"/>
      <c r="R610" s="581"/>
      <c r="S610" s="581"/>
      <c r="T610" s="581"/>
      <c r="U610" s="9"/>
      <c r="V610" s="9"/>
      <c r="W610" s="9"/>
      <c r="X610" s="9"/>
      <c r="Y610" s="9"/>
      <c r="Z610" s="9"/>
      <c r="AA610" s="9"/>
      <c r="AB610" s="9"/>
      <c r="AC610" s="9"/>
    </row>
    <row r="611" spans="1:29" ht="12.75" customHeight="1" x14ac:dyDescent="0.25">
      <c r="A611" s="9"/>
      <c r="B611" s="9"/>
      <c r="C611" s="9"/>
      <c r="D611" s="9"/>
      <c r="E611" s="9"/>
      <c r="F611" s="9"/>
      <c r="G611" s="9"/>
      <c r="H611" s="581"/>
      <c r="I611" s="581"/>
      <c r="J611" s="581"/>
      <c r="K611" s="581"/>
      <c r="L611" s="581"/>
      <c r="M611" s="581"/>
      <c r="N611" s="581"/>
      <c r="O611" s="581"/>
      <c r="P611" s="581"/>
      <c r="Q611" s="581"/>
      <c r="R611" s="581"/>
      <c r="S611" s="581"/>
      <c r="T611" s="581"/>
      <c r="U611" s="9"/>
      <c r="V611" s="9"/>
      <c r="W611" s="9"/>
      <c r="X611" s="9"/>
      <c r="Y611" s="9"/>
      <c r="Z611" s="9"/>
      <c r="AA611" s="9"/>
      <c r="AB611" s="9"/>
      <c r="AC611" s="9"/>
    </row>
    <row r="612" spans="1:29" ht="12.75" customHeight="1" x14ac:dyDescent="0.25">
      <c r="A612" s="9"/>
      <c r="B612" s="9"/>
      <c r="C612" s="9"/>
      <c r="D612" s="9"/>
      <c r="E612" s="9"/>
      <c r="F612" s="9"/>
      <c r="G612" s="9"/>
      <c r="H612" s="581"/>
      <c r="I612" s="581"/>
      <c r="J612" s="581"/>
      <c r="K612" s="581"/>
      <c r="L612" s="581"/>
      <c r="M612" s="581"/>
      <c r="N612" s="581"/>
      <c r="O612" s="581"/>
      <c r="P612" s="581"/>
      <c r="Q612" s="581"/>
      <c r="R612" s="581"/>
      <c r="S612" s="581"/>
      <c r="T612" s="581"/>
      <c r="U612" s="9"/>
      <c r="V612" s="9"/>
      <c r="W612" s="9"/>
      <c r="X612" s="9"/>
      <c r="Y612" s="9"/>
      <c r="Z612" s="9"/>
      <c r="AA612" s="9"/>
      <c r="AB612" s="9"/>
      <c r="AC612" s="9"/>
    </row>
    <row r="613" spans="1:29" ht="12.75" customHeight="1" x14ac:dyDescent="0.25">
      <c r="A613" s="9"/>
      <c r="B613" s="9"/>
      <c r="C613" s="9"/>
      <c r="D613" s="9"/>
      <c r="E613" s="9"/>
      <c r="F613" s="9"/>
      <c r="G613" s="9"/>
      <c r="H613" s="581"/>
      <c r="I613" s="581"/>
      <c r="J613" s="581"/>
      <c r="K613" s="581"/>
      <c r="L613" s="581"/>
      <c r="M613" s="581"/>
      <c r="N613" s="581"/>
      <c r="O613" s="581"/>
      <c r="P613" s="581"/>
      <c r="Q613" s="581"/>
      <c r="R613" s="581"/>
      <c r="S613" s="581"/>
      <c r="T613" s="581"/>
      <c r="U613" s="9"/>
      <c r="V613" s="9"/>
      <c r="W613" s="9"/>
      <c r="X613" s="9"/>
      <c r="Y613" s="9"/>
      <c r="Z613" s="9"/>
      <c r="AA613" s="9"/>
      <c r="AB613" s="9"/>
      <c r="AC613" s="9"/>
    </row>
    <row r="614" spans="1:29" ht="12.75" customHeight="1" x14ac:dyDescent="0.25">
      <c r="A614" s="9"/>
      <c r="B614" s="9"/>
      <c r="C614" s="9"/>
      <c r="D614" s="9"/>
      <c r="E614" s="9"/>
      <c r="F614" s="9"/>
      <c r="G614" s="9"/>
      <c r="H614" s="581"/>
      <c r="I614" s="581"/>
      <c r="J614" s="581"/>
      <c r="K614" s="581"/>
      <c r="L614" s="581"/>
      <c r="M614" s="581"/>
      <c r="N614" s="581"/>
      <c r="O614" s="581"/>
      <c r="P614" s="581"/>
      <c r="Q614" s="581"/>
      <c r="R614" s="581"/>
      <c r="S614" s="581"/>
      <c r="T614" s="581"/>
      <c r="U614" s="9"/>
      <c r="V614" s="9"/>
      <c r="W614" s="9"/>
      <c r="X614" s="9"/>
      <c r="Y614" s="9"/>
      <c r="Z614" s="9"/>
      <c r="AA614" s="9"/>
      <c r="AB614" s="9"/>
      <c r="AC614" s="9"/>
    </row>
    <row r="615" spans="1:29" ht="12.75" customHeight="1" x14ac:dyDescent="0.25">
      <c r="A615" s="9"/>
      <c r="B615" s="9"/>
      <c r="C615" s="9"/>
      <c r="D615" s="9"/>
      <c r="E615" s="9"/>
      <c r="F615" s="9"/>
      <c r="G615" s="9"/>
      <c r="H615" s="581"/>
      <c r="I615" s="581"/>
      <c r="J615" s="581"/>
      <c r="K615" s="581"/>
      <c r="L615" s="581"/>
      <c r="M615" s="581"/>
      <c r="N615" s="581"/>
      <c r="O615" s="581"/>
      <c r="P615" s="581"/>
      <c r="Q615" s="581"/>
      <c r="R615" s="581"/>
      <c r="S615" s="581"/>
      <c r="T615" s="581"/>
      <c r="U615" s="9"/>
      <c r="V615" s="9"/>
      <c r="W615" s="9"/>
      <c r="X615" s="9"/>
      <c r="Y615" s="9"/>
      <c r="Z615" s="9"/>
      <c r="AA615" s="9"/>
      <c r="AB615" s="9"/>
      <c r="AC615" s="9"/>
    </row>
    <row r="616" spans="1:29" ht="12.75" customHeight="1" x14ac:dyDescent="0.25">
      <c r="A616" s="9"/>
      <c r="B616" s="9"/>
      <c r="C616" s="9"/>
      <c r="D616" s="9"/>
      <c r="E616" s="9"/>
      <c r="F616" s="9"/>
      <c r="G616" s="9"/>
      <c r="H616" s="581"/>
      <c r="I616" s="581"/>
      <c r="J616" s="581"/>
      <c r="K616" s="581"/>
      <c r="L616" s="581"/>
      <c r="M616" s="581"/>
      <c r="N616" s="581"/>
      <c r="O616" s="581"/>
      <c r="P616" s="581"/>
      <c r="Q616" s="581"/>
      <c r="R616" s="581"/>
      <c r="S616" s="581"/>
      <c r="T616" s="581"/>
      <c r="U616" s="9"/>
      <c r="V616" s="9"/>
      <c r="W616" s="9"/>
      <c r="X616" s="9"/>
      <c r="Y616" s="9"/>
      <c r="Z616" s="9"/>
      <c r="AA616" s="9"/>
      <c r="AB616" s="9"/>
      <c r="AC616" s="9"/>
    </row>
    <row r="617" spans="1:29" ht="12.75" customHeight="1" x14ac:dyDescent="0.25">
      <c r="A617" s="9"/>
      <c r="B617" s="9"/>
      <c r="C617" s="9"/>
      <c r="D617" s="9"/>
      <c r="E617" s="9"/>
      <c r="F617" s="9"/>
      <c r="G617" s="9"/>
      <c r="H617" s="581"/>
      <c r="I617" s="581"/>
      <c r="J617" s="581"/>
      <c r="K617" s="581"/>
      <c r="L617" s="581"/>
      <c r="M617" s="581"/>
      <c r="N617" s="581"/>
      <c r="O617" s="581"/>
      <c r="P617" s="581"/>
      <c r="Q617" s="581"/>
      <c r="R617" s="581"/>
      <c r="S617" s="581"/>
      <c r="T617" s="581"/>
      <c r="U617" s="9"/>
      <c r="V617" s="9"/>
      <c r="W617" s="9"/>
      <c r="X617" s="9"/>
      <c r="Y617" s="9"/>
      <c r="Z617" s="9"/>
      <c r="AA617" s="9"/>
      <c r="AB617" s="9"/>
      <c r="AC617" s="9"/>
    </row>
    <row r="618" spans="1:29" ht="12.75" customHeight="1" x14ac:dyDescent="0.25">
      <c r="A618" s="9"/>
      <c r="B618" s="9"/>
      <c r="C618" s="9"/>
      <c r="D618" s="9"/>
      <c r="E618" s="9"/>
      <c r="F618" s="9"/>
      <c r="G618" s="9"/>
      <c r="H618" s="581"/>
      <c r="I618" s="581"/>
      <c r="J618" s="581"/>
      <c r="K618" s="581"/>
      <c r="L618" s="581"/>
      <c r="M618" s="581"/>
      <c r="N618" s="581"/>
      <c r="O618" s="581"/>
      <c r="P618" s="581"/>
      <c r="Q618" s="581"/>
      <c r="R618" s="581"/>
      <c r="S618" s="581"/>
      <c r="T618" s="581"/>
      <c r="U618" s="9"/>
      <c r="V618" s="9"/>
      <c r="W618" s="9"/>
      <c r="X618" s="9"/>
      <c r="Y618" s="9"/>
      <c r="Z618" s="9"/>
      <c r="AA618" s="9"/>
      <c r="AB618" s="9"/>
      <c r="AC618" s="9"/>
    </row>
    <row r="619" spans="1:29" ht="12.75" customHeight="1" x14ac:dyDescent="0.25">
      <c r="A619" s="9"/>
      <c r="B619" s="9"/>
      <c r="C619" s="9"/>
      <c r="D619" s="9"/>
      <c r="E619" s="9"/>
      <c r="F619" s="9"/>
      <c r="G619" s="9"/>
      <c r="H619" s="581"/>
      <c r="I619" s="581"/>
      <c r="J619" s="581"/>
      <c r="K619" s="581"/>
      <c r="L619" s="581"/>
      <c r="M619" s="581"/>
      <c r="N619" s="581"/>
      <c r="O619" s="581"/>
      <c r="P619" s="581"/>
      <c r="Q619" s="581"/>
      <c r="R619" s="581"/>
      <c r="S619" s="581"/>
      <c r="T619" s="581"/>
      <c r="U619" s="9"/>
      <c r="V619" s="9"/>
      <c r="W619" s="9"/>
      <c r="X619" s="9"/>
      <c r="Y619" s="9"/>
      <c r="Z619" s="9"/>
      <c r="AA619" s="9"/>
      <c r="AB619" s="9"/>
      <c r="AC619" s="9"/>
    </row>
    <row r="620" spans="1:29" ht="12.75" customHeight="1" x14ac:dyDescent="0.25">
      <c r="A620" s="9"/>
      <c r="B620" s="9"/>
      <c r="C620" s="9"/>
      <c r="D620" s="9"/>
      <c r="E620" s="9"/>
      <c r="F620" s="9"/>
      <c r="G620" s="9"/>
      <c r="H620" s="581"/>
      <c r="I620" s="581"/>
      <c r="J620" s="581"/>
      <c r="K620" s="581"/>
      <c r="L620" s="581"/>
      <c r="M620" s="581"/>
      <c r="N620" s="581"/>
      <c r="O620" s="581"/>
      <c r="P620" s="581"/>
      <c r="Q620" s="581"/>
      <c r="R620" s="581"/>
      <c r="S620" s="581"/>
      <c r="T620" s="581"/>
      <c r="U620" s="9"/>
      <c r="V620" s="9"/>
      <c r="W620" s="9"/>
      <c r="X620" s="9"/>
      <c r="Y620" s="9"/>
      <c r="Z620" s="9"/>
      <c r="AA620" s="9"/>
      <c r="AB620" s="9"/>
      <c r="AC620" s="9"/>
    </row>
    <row r="621" spans="1:29" ht="12.75" customHeight="1" x14ac:dyDescent="0.25">
      <c r="A621" s="9"/>
      <c r="B621" s="9"/>
      <c r="C621" s="9"/>
      <c r="D621" s="9"/>
      <c r="E621" s="9"/>
      <c r="F621" s="9"/>
      <c r="G621" s="9"/>
      <c r="H621" s="581"/>
      <c r="I621" s="581"/>
      <c r="J621" s="581"/>
      <c r="K621" s="581"/>
      <c r="L621" s="581"/>
      <c r="M621" s="581"/>
      <c r="N621" s="581"/>
      <c r="O621" s="581"/>
      <c r="P621" s="581"/>
      <c r="Q621" s="581"/>
      <c r="R621" s="581"/>
      <c r="S621" s="581"/>
      <c r="T621" s="581"/>
      <c r="U621" s="9"/>
      <c r="V621" s="9"/>
      <c r="W621" s="9"/>
      <c r="X621" s="9"/>
      <c r="Y621" s="9"/>
      <c r="Z621" s="9"/>
      <c r="AA621" s="9"/>
      <c r="AB621" s="9"/>
      <c r="AC621" s="9"/>
    </row>
    <row r="622" spans="1:29" ht="12.75" customHeight="1" x14ac:dyDescent="0.25">
      <c r="A622" s="9"/>
      <c r="B622" s="9"/>
      <c r="C622" s="9"/>
      <c r="D622" s="9"/>
      <c r="E622" s="9"/>
      <c r="F622" s="9"/>
      <c r="G622" s="9"/>
      <c r="H622" s="581"/>
      <c r="I622" s="581"/>
      <c r="J622" s="581"/>
      <c r="K622" s="581"/>
      <c r="L622" s="581"/>
      <c r="M622" s="581"/>
      <c r="N622" s="581"/>
      <c r="O622" s="581"/>
      <c r="P622" s="581"/>
      <c r="Q622" s="581"/>
      <c r="R622" s="581"/>
      <c r="S622" s="581"/>
      <c r="T622" s="581"/>
      <c r="U622" s="9"/>
      <c r="V622" s="9"/>
      <c r="W622" s="9"/>
      <c r="X622" s="9"/>
      <c r="Y622" s="9"/>
      <c r="Z622" s="9"/>
      <c r="AA622" s="9"/>
      <c r="AB622" s="9"/>
      <c r="AC622" s="9"/>
    </row>
    <row r="623" spans="1:29" ht="12.75" customHeight="1" x14ac:dyDescent="0.25">
      <c r="A623" s="9"/>
      <c r="B623" s="9"/>
      <c r="C623" s="9"/>
      <c r="D623" s="9"/>
      <c r="E623" s="9"/>
      <c r="F623" s="9"/>
      <c r="G623" s="9"/>
      <c r="H623" s="581"/>
      <c r="I623" s="581"/>
      <c r="J623" s="581"/>
      <c r="K623" s="581"/>
      <c r="L623" s="581"/>
      <c r="M623" s="581"/>
      <c r="N623" s="581"/>
      <c r="O623" s="581"/>
      <c r="P623" s="581"/>
      <c r="Q623" s="581"/>
      <c r="R623" s="581"/>
      <c r="S623" s="581"/>
      <c r="T623" s="581"/>
      <c r="U623" s="9"/>
      <c r="V623" s="9"/>
      <c r="W623" s="9"/>
      <c r="X623" s="9"/>
      <c r="Y623" s="9"/>
      <c r="Z623" s="9"/>
      <c r="AA623" s="9"/>
      <c r="AB623" s="9"/>
      <c r="AC623" s="9"/>
    </row>
    <row r="624" spans="1:29" ht="12.75" customHeight="1" x14ac:dyDescent="0.25">
      <c r="A624" s="9"/>
      <c r="B624" s="9"/>
      <c r="C624" s="9"/>
      <c r="D624" s="9"/>
      <c r="E624" s="9"/>
      <c r="F624" s="9"/>
      <c r="G624" s="9"/>
      <c r="H624" s="581"/>
      <c r="I624" s="581"/>
      <c r="J624" s="581"/>
      <c r="K624" s="581"/>
      <c r="L624" s="581"/>
      <c r="M624" s="581"/>
      <c r="N624" s="581"/>
      <c r="O624" s="581"/>
      <c r="P624" s="581"/>
      <c r="Q624" s="581"/>
      <c r="R624" s="581"/>
      <c r="S624" s="581"/>
      <c r="T624" s="581"/>
      <c r="U624" s="9"/>
      <c r="V624" s="9"/>
      <c r="W624" s="9"/>
      <c r="X624" s="9"/>
      <c r="Y624" s="9"/>
      <c r="Z624" s="9"/>
      <c r="AA624" s="9"/>
      <c r="AB624" s="9"/>
      <c r="AC624" s="9"/>
    </row>
    <row r="625" spans="1:29" ht="12.75" customHeight="1" x14ac:dyDescent="0.25">
      <c r="A625" s="9"/>
      <c r="B625" s="9"/>
      <c r="C625" s="9"/>
      <c r="D625" s="9"/>
      <c r="E625" s="9"/>
      <c r="F625" s="9"/>
      <c r="G625" s="9"/>
      <c r="H625" s="581"/>
      <c r="I625" s="581"/>
      <c r="J625" s="581"/>
      <c r="K625" s="581"/>
      <c r="L625" s="581"/>
      <c r="M625" s="581"/>
      <c r="N625" s="581"/>
      <c r="O625" s="581"/>
      <c r="P625" s="581"/>
      <c r="Q625" s="581"/>
      <c r="R625" s="581"/>
      <c r="S625" s="581"/>
      <c r="T625" s="581"/>
      <c r="U625" s="9"/>
      <c r="V625" s="9"/>
      <c r="W625" s="9"/>
      <c r="X625" s="9"/>
      <c r="Y625" s="9"/>
      <c r="Z625" s="9"/>
      <c r="AA625" s="9"/>
      <c r="AB625" s="9"/>
      <c r="AC625" s="9"/>
    </row>
    <row r="626" spans="1:29" ht="12.75" customHeight="1" x14ac:dyDescent="0.25">
      <c r="A626" s="9"/>
      <c r="B626" s="9"/>
      <c r="C626" s="9"/>
      <c r="D626" s="9"/>
      <c r="E626" s="9"/>
      <c r="F626" s="9"/>
      <c r="G626" s="9"/>
      <c r="H626" s="581"/>
      <c r="I626" s="581"/>
      <c r="J626" s="581"/>
      <c r="K626" s="581"/>
      <c r="L626" s="581"/>
      <c r="M626" s="581"/>
      <c r="N626" s="581"/>
      <c r="O626" s="581"/>
      <c r="P626" s="581"/>
      <c r="Q626" s="581"/>
      <c r="R626" s="581"/>
      <c r="S626" s="581"/>
      <c r="T626" s="581"/>
      <c r="U626" s="9"/>
      <c r="V626" s="9"/>
      <c r="W626" s="9"/>
      <c r="X626" s="9"/>
      <c r="Y626" s="9"/>
      <c r="Z626" s="9"/>
      <c r="AA626" s="9"/>
      <c r="AB626" s="9"/>
      <c r="AC626" s="9"/>
    </row>
    <row r="627" spans="1:29" ht="12.75" customHeight="1" x14ac:dyDescent="0.25">
      <c r="A627" s="9"/>
      <c r="B627" s="9"/>
      <c r="C627" s="9"/>
      <c r="D627" s="9"/>
      <c r="E627" s="9"/>
      <c r="F627" s="9"/>
      <c r="G627" s="9"/>
      <c r="H627" s="581"/>
      <c r="I627" s="581"/>
      <c r="J627" s="581"/>
      <c r="K627" s="581"/>
      <c r="L627" s="581"/>
      <c r="M627" s="581"/>
      <c r="N627" s="581"/>
      <c r="O627" s="581"/>
      <c r="P627" s="581"/>
      <c r="Q627" s="581"/>
      <c r="R627" s="581"/>
      <c r="S627" s="581"/>
      <c r="T627" s="581"/>
      <c r="U627" s="9"/>
      <c r="V627" s="9"/>
      <c r="W627" s="9"/>
      <c r="X627" s="9"/>
      <c r="Y627" s="9"/>
      <c r="Z627" s="9"/>
      <c r="AA627" s="9"/>
      <c r="AB627" s="9"/>
      <c r="AC627" s="9"/>
    </row>
    <row r="628" spans="1:29" ht="12.75" customHeight="1" x14ac:dyDescent="0.25">
      <c r="A628" s="9"/>
      <c r="B628" s="9"/>
      <c r="C628" s="9"/>
      <c r="D628" s="9"/>
      <c r="E628" s="9"/>
      <c r="F628" s="9"/>
      <c r="G628" s="9"/>
      <c r="H628" s="581"/>
      <c r="I628" s="581"/>
      <c r="J628" s="581"/>
      <c r="K628" s="581"/>
      <c r="L628" s="581"/>
      <c r="M628" s="581"/>
      <c r="N628" s="581"/>
      <c r="O628" s="581"/>
      <c r="P628" s="581"/>
      <c r="Q628" s="581"/>
      <c r="R628" s="581"/>
      <c r="S628" s="581"/>
      <c r="T628" s="581"/>
      <c r="U628" s="9"/>
      <c r="V628" s="9"/>
      <c r="W628" s="9"/>
      <c r="X628" s="9"/>
      <c r="Y628" s="9"/>
      <c r="Z628" s="9"/>
      <c r="AA628" s="9"/>
      <c r="AB628" s="9"/>
      <c r="AC628" s="9"/>
    </row>
    <row r="629" spans="1:29" ht="12.75" customHeight="1" x14ac:dyDescent="0.25">
      <c r="A629" s="9"/>
      <c r="B629" s="9"/>
      <c r="C629" s="9"/>
      <c r="D629" s="9"/>
      <c r="E629" s="9"/>
      <c r="F629" s="9"/>
      <c r="G629" s="9"/>
      <c r="H629" s="581"/>
      <c r="I629" s="581"/>
      <c r="J629" s="581"/>
      <c r="K629" s="581"/>
      <c r="L629" s="581"/>
      <c r="M629" s="581"/>
      <c r="N629" s="581"/>
      <c r="O629" s="581"/>
      <c r="P629" s="581"/>
      <c r="Q629" s="581"/>
      <c r="R629" s="581"/>
      <c r="S629" s="581"/>
      <c r="T629" s="581"/>
      <c r="U629" s="9"/>
      <c r="V629" s="9"/>
      <c r="W629" s="9"/>
      <c r="X629" s="9"/>
      <c r="Y629" s="9"/>
      <c r="Z629" s="9"/>
      <c r="AA629" s="9"/>
      <c r="AB629" s="9"/>
      <c r="AC629" s="9"/>
    </row>
    <row r="630" spans="1:29" ht="12.75" customHeight="1" x14ac:dyDescent="0.25">
      <c r="A630" s="9"/>
      <c r="B630" s="9"/>
      <c r="C630" s="9"/>
      <c r="D630" s="9"/>
      <c r="E630" s="9"/>
      <c r="F630" s="9"/>
      <c r="G630" s="9"/>
      <c r="H630" s="581"/>
      <c r="I630" s="581"/>
      <c r="J630" s="581"/>
      <c r="K630" s="581"/>
      <c r="L630" s="581"/>
      <c r="M630" s="581"/>
      <c r="N630" s="581"/>
      <c r="O630" s="581"/>
      <c r="P630" s="581"/>
      <c r="Q630" s="581"/>
      <c r="R630" s="581"/>
      <c r="S630" s="581"/>
      <c r="T630" s="581"/>
      <c r="U630" s="9"/>
      <c r="V630" s="9"/>
      <c r="W630" s="9"/>
      <c r="X630" s="9"/>
      <c r="Y630" s="9"/>
      <c r="Z630" s="9"/>
      <c r="AA630" s="9"/>
      <c r="AB630" s="9"/>
      <c r="AC630" s="9"/>
    </row>
    <row r="631" spans="1:29" ht="12.75" customHeight="1" x14ac:dyDescent="0.25">
      <c r="A631" s="9"/>
      <c r="B631" s="9"/>
      <c r="C631" s="9"/>
      <c r="D631" s="9"/>
      <c r="E631" s="9"/>
      <c r="F631" s="9"/>
      <c r="G631" s="9"/>
      <c r="H631" s="581"/>
      <c r="I631" s="581"/>
      <c r="J631" s="581"/>
      <c r="K631" s="581"/>
      <c r="L631" s="581"/>
      <c r="M631" s="581"/>
      <c r="N631" s="581"/>
      <c r="O631" s="581"/>
      <c r="P631" s="581"/>
      <c r="Q631" s="581"/>
      <c r="R631" s="581"/>
      <c r="S631" s="581"/>
      <c r="T631" s="581"/>
      <c r="U631" s="9"/>
      <c r="V631" s="9"/>
      <c r="W631" s="9"/>
      <c r="X631" s="9"/>
      <c r="Y631" s="9"/>
      <c r="Z631" s="9"/>
      <c r="AA631" s="9"/>
      <c r="AB631" s="9"/>
      <c r="AC631" s="9"/>
    </row>
    <row r="632" spans="1:29" ht="12.75" customHeight="1" x14ac:dyDescent="0.25">
      <c r="A632" s="9"/>
      <c r="B632" s="9"/>
      <c r="C632" s="9"/>
      <c r="D632" s="9"/>
      <c r="E632" s="9"/>
      <c r="F632" s="9"/>
      <c r="G632" s="9"/>
      <c r="H632" s="581"/>
      <c r="I632" s="581"/>
      <c r="J632" s="581"/>
      <c r="K632" s="581"/>
      <c r="L632" s="581"/>
      <c r="M632" s="581"/>
      <c r="N632" s="581"/>
      <c r="O632" s="581"/>
      <c r="P632" s="581"/>
      <c r="Q632" s="581"/>
      <c r="R632" s="581"/>
      <c r="S632" s="581"/>
      <c r="T632" s="581"/>
      <c r="U632" s="9"/>
      <c r="V632" s="9"/>
      <c r="W632" s="9"/>
      <c r="X632" s="9"/>
      <c r="Y632" s="9"/>
      <c r="Z632" s="9"/>
      <c r="AA632" s="9"/>
      <c r="AB632" s="9"/>
      <c r="AC632" s="9"/>
    </row>
    <row r="633" spans="1:29" ht="12.75" customHeight="1" x14ac:dyDescent="0.25">
      <c r="A633" s="9"/>
      <c r="B633" s="9"/>
      <c r="C633" s="9"/>
      <c r="D633" s="9"/>
      <c r="E633" s="9"/>
      <c r="F633" s="9"/>
      <c r="G633" s="9"/>
      <c r="H633" s="581"/>
      <c r="I633" s="581"/>
      <c r="J633" s="581"/>
      <c r="K633" s="581"/>
      <c r="L633" s="581"/>
      <c r="M633" s="581"/>
      <c r="N633" s="581"/>
      <c r="O633" s="581"/>
      <c r="P633" s="581"/>
      <c r="Q633" s="581"/>
      <c r="R633" s="581"/>
      <c r="S633" s="581"/>
      <c r="T633" s="581"/>
      <c r="U633" s="9"/>
      <c r="V633" s="9"/>
      <c r="W633" s="9"/>
      <c r="X633" s="9"/>
      <c r="Y633" s="9"/>
      <c r="Z633" s="9"/>
      <c r="AA633" s="9"/>
      <c r="AB633" s="9"/>
      <c r="AC633" s="9"/>
    </row>
    <row r="634" spans="1:29" ht="12.75" customHeight="1" x14ac:dyDescent="0.25">
      <c r="A634" s="9"/>
      <c r="B634" s="9"/>
      <c r="C634" s="9"/>
      <c r="D634" s="9"/>
      <c r="E634" s="9"/>
      <c r="F634" s="9"/>
      <c r="G634" s="9"/>
      <c r="H634" s="581"/>
      <c r="I634" s="581"/>
      <c r="J634" s="581"/>
      <c r="K634" s="581"/>
      <c r="L634" s="581"/>
      <c r="M634" s="581"/>
      <c r="N634" s="581"/>
      <c r="O634" s="581"/>
      <c r="P634" s="581"/>
      <c r="Q634" s="581"/>
      <c r="R634" s="581"/>
      <c r="S634" s="581"/>
      <c r="T634" s="581"/>
      <c r="U634" s="9"/>
      <c r="V634" s="9"/>
      <c r="W634" s="9"/>
      <c r="X634" s="9"/>
      <c r="Y634" s="9"/>
      <c r="Z634" s="9"/>
      <c r="AA634" s="9"/>
      <c r="AB634" s="9"/>
      <c r="AC634" s="9"/>
    </row>
    <row r="635" spans="1:29" ht="12.75" customHeight="1" x14ac:dyDescent="0.25">
      <c r="A635" s="9"/>
      <c r="B635" s="9"/>
      <c r="C635" s="9"/>
      <c r="D635" s="9"/>
      <c r="E635" s="9"/>
      <c r="F635" s="9"/>
      <c r="G635" s="9"/>
      <c r="H635" s="581"/>
      <c r="I635" s="581"/>
      <c r="J635" s="581"/>
      <c r="K635" s="581"/>
      <c r="L635" s="581"/>
      <c r="M635" s="581"/>
      <c r="N635" s="581"/>
      <c r="O635" s="581"/>
      <c r="P635" s="581"/>
      <c r="Q635" s="581"/>
      <c r="R635" s="581"/>
      <c r="S635" s="581"/>
      <c r="T635" s="581"/>
      <c r="U635" s="9"/>
      <c r="V635" s="9"/>
      <c r="W635" s="9"/>
      <c r="X635" s="9"/>
      <c r="Y635" s="9"/>
      <c r="Z635" s="9"/>
      <c r="AA635" s="9"/>
      <c r="AB635" s="9"/>
      <c r="AC635" s="9"/>
    </row>
    <row r="636" spans="1:29" ht="12.75" customHeight="1" x14ac:dyDescent="0.25">
      <c r="A636" s="9"/>
      <c r="B636" s="9"/>
      <c r="C636" s="9"/>
      <c r="D636" s="9"/>
      <c r="E636" s="9"/>
      <c r="F636" s="9"/>
      <c r="G636" s="9"/>
      <c r="H636" s="581"/>
      <c r="I636" s="581"/>
      <c r="J636" s="581"/>
      <c r="K636" s="581"/>
      <c r="L636" s="581"/>
      <c r="M636" s="581"/>
      <c r="N636" s="581"/>
      <c r="O636" s="581"/>
      <c r="P636" s="581"/>
      <c r="Q636" s="581"/>
      <c r="R636" s="581"/>
      <c r="S636" s="581"/>
      <c r="T636" s="581"/>
      <c r="U636" s="9"/>
      <c r="V636" s="9"/>
      <c r="W636" s="9"/>
      <c r="X636" s="9"/>
      <c r="Y636" s="9"/>
      <c r="Z636" s="9"/>
      <c r="AA636" s="9"/>
      <c r="AB636" s="9"/>
      <c r="AC636" s="9"/>
    </row>
    <row r="637" spans="1:29" ht="12.75" customHeight="1" x14ac:dyDescent="0.25">
      <c r="A637" s="9"/>
      <c r="B637" s="9"/>
      <c r="C637" s="9"/>
      <c r="D637" s="9"/>
      <c r="E637" s="9"/>
      <c r="F637" s="9"/>
      <c r="G637" s="9"/>
      <c r="H637" s="581"/>
      <c r="I637" s="581"/>
      <c r="J637" s="581"/>
      <c r="K637" s="581"/>
      <c r="L637" s="581"/>
      <c r="M637" s="581"/>
      <c r="N637" s="581"/>
      <c r="O637" s="581"/>
      <c r="P637" s="581"/>
      <c r="Q637" s="581"/>
      <c r="R637" s="581"/>
      <c r="S637" s="581"/>
      <c r="T637" s="581"/>
      <c r="U637" s="9"/>
      <c r="V637" s="9"/>
      <c r="W637" s="9"/>
      <c r="X637" s="9"/>
      <c r="Y637" s="9"/>
      <c r="Z637" s="9"/>
      <c r="AA637" s="9"/>
      <c r="AB637" s="9"/>
      <c r="AC637" s="9"/>
    </row>
    <row r="638" spans="1:29" ht="12.75" customHeight="1" x14ac:dyDescent="0.25">
      <c r="A638" s="9"/>
      <c r="B638" s="9"/>
      <c r="C638" s="9"/>
      <c r="D638" s="9"/>
      <c r="E638" s="9"/>
      <c r="F638" s="9"/>
      <c r="G638" s="9"/>
      <c r="H638" s="581"/>
      <c r="I638" s="581"/>
      <c r="J638" s="581"/>
      <c r="K638" s="581"/>
      <c r="L638" s="581"/>
      <c r="M638" s="581"/>
      <c r="N638" s="581"/>
      <c r="O638" s="581"/>
      <c r="P638" s="581"/>
      <c r="Q638" s="581"/>
      <c r="R638" s="581"/>
      <c r="S638" s="581"/>
      <c r="T638" s="581"/>
      <c r="U638" s="9"/>
      <c r="V638" s="9"/>
      <c r="W638" s="9"/>
      <c r="X638" s="9"/>
      <c r="Y638" s="9"/>
      <c r="Z638" s="9"/>
      <c r="AA638" s="9"/>
      <c r="AB638" s="9"/>
      <c r="AC638" s="9"/>
    </row>
    <row r="639" spans="1:29" ht="12.75" customHeight="1" x14ac:dyDescent="0.25">
      <c r="A639" s="9"/>
      <c r="B639" s="9"/>
      <c r="C639" s="9"/>
      <c r="D639" s="9"/>
      <c r="E639" s="9"/>
      <c r="F639" s="9"/>
      <c r="G639" s="9"/>
      <c r="H639" s="581"/>
      <c r="I639" s="581"/>
      <c r="J639" s="581"/>
      <c r="K639" s="581"/>
      <c r="L639" s="581"/>
      <c r="M639" s="581"/>
      <c r="N639" s="581"/>
      <c r="O639" s="581"/>
      <c r="P639" s="581"/>
      <c r="Q639" s="581"/>
      <c r="R639" s="581"/>
      <c r="S639" s="581"/>
      <c r="T639" s="581"/>
      <c r="U639" s="9"/>
      <c r="V639" s="9"/>
      <c r="W639" s="9"/>
      <c r="X639" s="9"/>
      <c r="Y639" s="9"/>
      <c r="Z639" s="9"/>
      <c r="AA639" s="9"/>
      <c r="AB639" s="9"/>
      <c r="AC639" s="9"/>
    </row>
    <row r="640" spans="1:29" ht="12.75" customHeight="1" x14ac:dyDescent="0.25">
      <c r="A640" s="9"/>
      <c r="B640" s="9"/>
      <c r="C640" s="9"/>
      <c r="D640" s="9"/>
      <c r="E640" s="9"/>
      <c r="F640" s="9"/>
      <c r="G640" s="9"/>
      <c r="H640" s="581"/>
      <c r="I640" s="581"/>
      <c r="J640" s="581"/>
      <c r="K640" s="581"/>
      <c r="L640" s="581"/>
      <c r="M640" s="581"/>
      <c r="N640" s="581"/>
      <c r="O640" s="581"/>
      <c r="P640" s="581"/>
      <c r="Q640" s="581"/>
      <c r="R640" s="581"/>
      <c r="S640" s="581"/>
      <c r="T640" s="581"/>
      <c r="U640" s="9"/>
      <c r="V640" s="9"/>
      <c r="W640" s="9"/>
      <c r="X640" s="9"/>
      <c r="Y640" s="9"/>
      <c r="Z640" s="9"/>
      <c r="AA640" s="9"/>
      <c r="AB640" s="9"/>
      <c r="AC640" s="9"/>
    </row>
    <row r="641" spans="1:29" ht="12.75" customHeight="1" x14ac:dyDescent="0.25">
      <c r="A641" s="9"/>
      <c r="B641" s="9"/>
      <c r="C641" s="9"/>
      <c r="D641" s="9"/>
      <c r="E641" s="9"/>
      <c r="F641" s="9"/>
      <c r="G641" s="9"/>
      <c r="H641" s="581"/>
      <c r="I641" s="581"/>
      <c r="J641" s="581"/>
      <c r="K641" s="581"/>
      <c r="L641" s="581"/>
      <c r="M641" s="581"/>
      <c r="N641" s="581"/>
      <c r="O641" s="581"/>
      <c r="P641" s="581"/>
      <c r="Q641" s="581"/>
      <c r="R641" s="581"/>
      <c r="S641" s="581"/>
      <c r="T641" s="581"/>
      <c r="U641" s="9"/>
      <c r="V641" s="9"/>
      <c r="W641" s="9"/>
      <c r="X641" s="9"/>
      <c r="Y641" s="9"/>
      <c r="Z641" s="9"/>
      <c r="AA641" s="9"/>
      <c r="AB641" s="9"/>
      <c r="AC641" s="9"/>
    </row>
    <row r="642" spans="1:29" ht="12.75" customHeight="1" x14ac:dyDescent="0.25">
      <c r="A642" s="9"/>
      <c r="B642" s="9"/>
      <c r="C642" s="9"/>
      <c r="D642" s="9"/>
      <c r="E642" s="9"/>
      <c r="F642" s="9"/>
      <c r="G642" s="9"/>
      <c r="H642" s="581"/>
      <c r="I642" s="581"/>
      <c r="J642" s="581"/>
      <c r="K642" s="581"/>
      <c r="L642" s="581"/>
      <c r="M642" s="581"/>
      <c r="N642" s="581"/>
      <c r="O642" s="581"/>
      <c r="P642" s="581"/>
      <c r="Q642" s="581"/>
      <c r="R642" s="581"/>
      <c r="S642" s="581"/>
      <c r="T642" s="581"/>
      <c r="U642" s="9"/>
      <c r="V642" s="9"/>
      <c r="W642" s="9"/>
      <c r="X642" s="9"/>
      <c r="Y642" s="9"/>
      <c r="Z642" s="9"/>
      <c r="AA642" s="9"/>
      <c r="AB642" s="9"/>
      <c r="AC642" s="9"/>
    </row>
    <row r="643" spans="1:29" ht="12.75" customHeight="1" x14ac:dyDescent="0.25">
      <c r="A643" s="9"/>
      <c r="B643" s="9"/>
      <c r="C643" s="9"/>
      <c r="D643" s="9"/>
      <c r="E643" s="9"/>
      <c r="F643" s="9"/>
      <c r="G643" s="9"/>
      <c r="H643" s="581"/>
      <c r="I643" s="581"/>
      <c r="J643" s="581"/>
      <c r="K643" s="581"/>
      <c r="L643" s="581"/>
      <c r="M643" s="581"/>
      <c r="N643" s="581"/>
      <c r="O643" s="581"/>
      <c r="P643" s="581"/>
      <c r="Q643" s="581"/>
      <c r="R643" s="581"/>
      <c r="S643" s="581"/>
      <c r="T643" s="581"/>
      <c r="U643" s="9"/>
      <c r="V643" s="9"/>
      <c r="W643" s="9"/>
      <c r="X643" s="9"/>
      <c r="Y643" s="9"/>
      <c r="Z643" s="9"/>
      <c r="AA643" s="9"/>
      <c r="AB643" s="9"/>
      <c r="AC643" s="9"/>
    </row>
    <row r="644" spans="1:29" ht="12.75" customHeight="1" x14ac:dyDescent="0.25">
      <c r="A644" s="9"/>
      <c r="B644" s="9"/>
      <c r="C644" s="9"/>
      <c r="D644" s="9"/>
      <c r="E644" s="9"/>
      <c r="F644" s="9"/>
      <c r="G644" s="9"/>
      <c r="H644" s="581"/>
      <c r="I644" s="581"/>
      <c r="J644" s="581"/>
      <c r="K644" s="581"/>
      <c r="L644" s="581"/>
      <c r="M644" s="581"/>
      <c r="N644" s="581"/>
      <c r="O644" s="581"/>
      <c r="P644" s="581"/>
      <c r="Q644" s="581"/>
      <c r="R644" s="581"/>
      <c r="S644" s="581"/>
      <c r="T644" s="581"/>
      <c r="U644" s="9"/>
      <c r="V644" s="9"/>
      <c r="W644" s="9"/>
      <c r="X644" s="9"/>
      <c r="Y644" s="9"/>
      <c r="Z644" s="9"/>
      <c r="AA644" s="9"/>
      <c r="AB644" s="9"/>
      <c r="AC644" s="9"/>
    </row>
    <row r="645" spans="1:29" ht="12.75" customHeight="1" x14ac:dyDescent="0.25">
      <c r="A645" s="9"/>
      <c r="B645" s="9"/>
      <c r="C645" s="9"/>
      <c r="D645" s="9"/>
      <c r="E645" s="9"/>
      <c r="F645" s="9"/>
      <c r="G645" s="9"/>
      <c r="H645" s="581"/>
      <c r="I645" s="581"/>
      <c r="J645" s="581"/>
      <c r="K645" s="581"/>
      <c r="L645" s="581"/>
      <c r="M645" s="581"/>
      <c r="N645" s="581"/>
      <c r="O645" s="581"/>
      <c r="P645" s="581"/>
      <c r="Q645" s="581"/>
      <c r="R645" s="581"/>
      <c r="S645" s="581"/>
      <c r="T645" s="581"/>
      <c r="U645" s="9"/>
      <c r="V645" s="9"/>
      <c r="W645" s="9"/>
      <c r="X645" s="9"/>
      <c r="Y645" s="9"/>
      <c r="Z645" s="9"/>
      <c r="AA645" s="9"/>
      <c r="AB645" s="9"/>
      <c r="AC645" s="9"/>
    </row>
    <row r="646" spans="1:29" ht="12.75" customHeight="1" x14ac:dyDescent="0.25">
      <c r="A646" s="9"/>
      <c r="B646" s="9"/>
      <c r="C646" s="9"/>
      <c r="D646" s="9"/>
      <c r="E646" s="9"/>
      <c r="F646" s="9"/>
      <c r="G646" s="9"/>
      <c r="H646" s="581"/>
      <c r="I646" s="581"/>
      <c r="J646" s="581"/>
      <c r="K646" s="581"/>
      <c r="L646" s="581"/>
      <c r="M646" s="581"/>
      <c r="N646" s="581"/>
      <c r="O646" s="581"/>
      <c r="P646" s="581"/>
      <c r="Q646" s="581"/>
      <c r="R646" s="581"/>
      <c r="S646" s="581"/>
      <c r="T646" s="581"/>
      <c r="U646" s="9"/>
      <c r="V646" s="9"/>
      <c r="W646" s="9"/>
      <c r="X646" s="9"/>
      <c r="Y646" s="9"/>
      <c r="Z646" s="9"/>
      <c r="AA646" s="9"/>
      <c r="AB646" s="9"/>
      <c r="AC646" s="9"/>
    </row>
    <row r="647" spans="1:29" ht="12.75" customHeight="1" x14ac:dyDescent="0.25">
      <c r="A647" s="9"/>
      <c r="B647" s="9"/>
      <c r="C647" s="9"/>
      <c r="D647" s="9"/>
      <c r="E647" s="9"/>
      <c r="F647" s="9"/>
      <c r="G647" s="9"/>
      <c r="H647" s="581"/>
      <c r="I647" s="581"/>
      <c r="J647" s="581"/>
      <c r="K647" s="581"/>
      <c r="L647" s="581"/>
      <c r="M647" s="581"/>
      <c r="N647" s="581"/>
      <c r="O647" s="581"/>
      <c r="P647" s="581"/>
      <c r="Q647" s="581"/>
      <c r="R647" s="581"/>
      <c r="S647" s="581"/>
      <c r="T647" s="581"/>
      <c r="U647" s="9"/>
      <c r="V647" s="9"/>
      <c r="W647" s="9"/>
      <c r="X647" s="9"/>
      <c r="Y647" s="9"/>
      <c r="Z647" s="9"/>
      <c r="AA647" s="9"/>
      <c r="AB647" s="9"/>
      <c r="AC647" s="9"/>
    </row>
    <row r="648" spans="1:29" ht="12.75" customHeight="1" x14ac:dyDescent="0.25">
      <c r="A648" s="9"/>
      <c r="B648" s="9"/>
      <c r="C648" s="9"/>
      <c r="D648" s="9"/>
      <c r="E648" s="9"/>
      <c r="F648" s="9"/>
      <c r="G648" s="9"/>
      <c r="H648" s="581"/>
      <c r="I648" s="581"/>
      <c r="J648" s="581"/>
      <c r="K648" s="581"/>
      <c r="L648" s="581"/>
      <c r="M648" s="581"/>
      <c r="N648" s="581"/>
      <c r="O648" s="581"/>
      <c r="P648" s="581"/>
      <c r="Q648" s="581"/>
      <c r="R648" s="581"/>
      <c r="S648" s="581"/>
      <c r="T648" s="581"/>
      <c r="U648" s="9"/>
      <c r="V648" s="9"/>
      <c r="W648" s="9"/>
      <c r="X648" s="9"/>
      <c r="Y648" s="9"/>
      <c r="Z648" s="9"/>
      <c r="AA648" s="9"/>
      <c r="AB648" s="9"/>
      <c r="AC648" s="9"/>
    </row>
    <row r="649" spans="1:29" ht="12.75" customHeight="1" x14ac:dyDescent="0.25">
      <c r="A649" s="9"/>
      <c r="B649" s="9"/>
      <c r="C649" s="9"/>
      <c r="D649" s="9"/>
      <c r="E649" s="9"/>
      <c r="F649" s="9"/>
      <c r="G649" s="9"/>
      <c r="H649" s="581"/>
      <c r="I649" s="581"/>
      <c r="J649" s="581"/>
      <c r="K649" s="581"/>
      <c r="L649" s="581"/>
      <c r="M649" s="581"/>
      <c r="N649" s="581"/>
      <c r="O649" s="581"/>
      <c r="P649" s="581"/>
      <c r="Q649" s="581"/>
      <c r="R649" s="581"/>
      <c r="S649" s="581"/>
      <c r="T649" s="581"/>
      <c r="U649" s="9"/>
      <c r="V649" s="9"/>
      <c r="W649" s="9"/>
      <c r="X649" s="9"/>
      <c r="Y649" s="9"/>
      <c r="Z649" s="9"/>
      <c r="AA649" s="9"/>
      <c r="AB649" s="9"/>
      <c r="AC649" s="9"/>
    </row>
    <row r="650" spans="1:29" ht="12.75" customHeight="1" x14ac:dyDescent="0.25">
      <c r="A650" s="9"/>
      <c r="B650" s="9"/>
      <c r="C650" s="9"/>
      <c r="D650" s="9"/>
      <c r="E650" s="9"/>
      <c r="F650" s="9"/>
      <c r="G650" s="9"/>
      <c r="H650" s="581"/>
      <c r="I650" s="581"/>
      <c r="J650" s="581"/>
      <c r="K650" s="581"/>
      <c r="L650" s="581"/>
      <c r="M650" s="581"/>
      <c r="N650" s="581"/>
      <c r="O650" s="581"/>
      <c r="P650" s="581"/>
      <c r="Q650" s="581"/>
      <c r="R650" s="581"/>
      <c r="S650" s="581"/>
      <c r="T650" s="581"/>
      <c r="U650" s="9"/>
      <c r="V650" s="9"/>
      <c r="W650" s="9"/>
      <c r="X650" s="9"/>
      <c r="Y650" s="9"/>
      <c r="Z650" s="9"/>
      <c r="AA650" s="9"/>
      <c r="AB650" s="9"/>
      <c r="AC650" s="9"/>
    </row>
    <row r="651" spans="1:29" ht="12.75" customHeight="1" x14ac:dyDescent="0.25">
      <c r="A651" s="9"/>
      <c r="B651" s="9"/>
      <c r="C651" s="9"/>
      <c r="D651" s="9"/>
      <c r="E651" s="9"/>
      <c r="F651" s="9"/>
      <c r="G651" s="9"/>
      <c r="H651" s="581"/>
      <c r="I651" s="581"/>
      <c r="J651" s="581"/>
      <c r="K651" s="581"/>
      <c r="L651" s="581"/>
      <c r="M651" s="581"/>
      <c r="N651" s="581"/>
      <c r="O651" s="581"/>
      <c r="P651" s="581"/>
      <c r="Q651" s="581"/>
      <c r="R651" s="581"/>
      <c r="S651" s="581"/>
      <c r="T651" s="581"/>
      <c r="U651" s="9"/>
      <c r="V651" s="9"/>
      <c r="W651" s="9"/>
      <c r="X651" s="9"/>
      <c r="Y651" s="9"/>
      <c r="Z651" s="9"/>
      <c r="AA651" s="9"/>
      <c r="AB651" s="9"/>
      <c r="AC651" s="9"/>
    </row>
    <row r="652" spans="1:29" ht="12.75" customHeight="1" x14ac:dyDescent="0.25">
      <c r="A652" s="9"/>
      <c r="B652" s="9"/>
      <c r="C652" s="9"/>
      <c r="D652" s="9"/>
      <c r="E652" s="9"/>
      <c r="F652" s="9"/>
      <c r="G652" s="9"/>
      <c r="H652" s="581"/>
      <c r="I652" s="581"/>
      <c r="J652" s="581"/>
      <c r="K652" s="581"/>
      <c r="L652" s="581"/>
      <c r="M652" s="581"/>
      <c r="N652" s="581"/>
      <c r="O652" s="581"/>
      <c r="P652" s="581"/>
      <c r="Q652" s="581"/>
      <c r="R652" s="581"/>
      <c r="S652" s="581"/>
      <c r="T652" s="581"/>
      <c r="U652" s="9"/>
      <c r="V652" s="9"/>
      <c r="W652" s="9"/>
      <c r="X652" s="9"/>
      <c r="Y652" s="9"/>
      <c r="Z652" s="9"/>
      <c r="AA652" s="9"/>
      <c r="AB652" s="9"/>
      <c r="AC652" s="9"/>
    </row>
    <row r="653" spans="1:29" ht="12.75" customHeight="1" x14ac:dyDescent="0.25">
      <c r="A653" s="9"/>
      <c r="B653" s="9"/>
      <c r="C653" s="9"/>
      <c r="D653" s="9"/>
      <c r="E653" s="9"/>
      <c r="F653" s="9"/>
      <c r="G653" s="9"/>
      <c r="H653" s="581"/>
      <c r="I653" s="581"/>
      <c r="J653" s="581"/>
      <c r="K653" s="581"/>
      <c r="L653" s="581"/>
      <c r="M653" s="581"/>
      <c r="N653" s="581"/>
      <c r="O653" s="581"/>
      <c r="P653" s="581"/>
      <c r="Q653" s="581"/>
      <c r="R653" s="581"/>
      <c r="S653" s="581"/>
      <c r="T653" s="581"/>
      <c r="U653" s="9"/>
      <c r="V653" s="9"/>
      <c r="W653" s="9"/>
      <c r="X653" s="9"/>
      <c r="Y653" s="9"/>
      <c r="Z653" s="9"/>
      <c r="AA653" s="9"/>
      <c r="AB653" s="9"/>
      <c r="AC653" s="9"/>
    </row>
    <row r="654" spans="1:29" ht="12.75" customHeight="1" x14ac:dyDescent="0.25">
      <c r="A654" s="9"/>
      <c r="B654" s="9"/>
      <c r="C654" s="9"/>
      <c r="D654" s="9"/>
      <c r="E654" s="9"/>
      <c r="F654" s="9"/>
      <c r="G654" s="9"/>
      <c r="H654" s="581"/>
      <c r="I654" s="581"/>
      <c r="J654" s="581"/>
      <c r="K654" s="581"/>
      <c r="L654" s="581"/>
      <c r="M654" s="581"/>
      <c r="N654" s="581"/>
      <c r="O654" s="581"/>
      <c r="P654" s="581"/>
      <c r="Q654" s="581"/>
      <c r="R654" s="581"/>
      <c r="S654" s="581"/>
      <c r="T654" s="581"/>
      <c r="U654" s="9"/>
      <c r="V654" s="9"/>
      <c r="W654" s="9"/>
      <c r="X654" s="9"/>
      <c r="Y654" s="9"/>
      <c r="Z654" s="9"/>
      <c r="AA654" s="9"/>
      <c r="AB654" s="9"/>
      <c r="AC654" s="9"/>
    </row>
    <row r="655" spans="1:29" ht="12.75" customHeight="1" x14ac:dyDescent="0.25">
      <c r="A655" s="9"/>
      <c r="B655" s="9"/>
      <c r="C655" s="9"/>
      <c r="D655" s="9"/>
      <c r="E655" s="9"/>
      <c r="F655" s="9"/>
      <c r="G655" s="9"/>
      <c r="H655" s="581"/>
      <c r="I655" s="581"/>
      <c r="J655" s="581"/>
      <c r="K655" s="581"/>
      <c r="L655" s="581"/>
      <c r="M655" s="581"/>
      <c r="N655" s="581"/>
      <c r="O655" s="581"/>
      <c r="P655" s="581"/>
      <c r="Q655" s="581"/>
      <c r="R655" s="581"/>
      <c r="S655" s="581"/>
      <c r="T655" s="581"/>
      <c r="U655" s="9"/>
      <c r="V655" s="9"/>
      <c r="W655" s="9"/>
      <c r="X655" s="9"/>
      <c r="Y655" s="9"/>
      <c r="Z655" s="9"/>
      <c r="AA655" s="9"/>
      <c r="AB655" s="9"/>
      <c r="AC655" s="9"/>
    </row>
    <row r="656" spans="1:29" ht="12.75" customHeight="1" x14ac:dyDescent="0.25">
      <c r="A656" s="9"/>
      <c r="B656" s="9"/>
      <c r="C656" s="9"/>
      <c r="D656" s="9"/>
      <c r="E656" s="9"/>
      <c r="F656" s="9"/>
      <c r="G656" s="9"/>
      <c r="H656" s="581"/>
      <c r="I656" s="581"/>
      <c r="J656" s="581"/>
      <c r="K656" s="581"/>
      <c r="L656" s="581"/>
      <c r="M656" s="581"/>
      <c r="N656" s="581"/>
      <c r="O656" s="581"/>
      <c r="P656" s="581"/>
      <c r="Q656" s="581"/>
      <c r="R656" s="581"/>
      <c r="S656" s="581"/>
      <c r="T656" s="581"/>
      <c r="U656" s="9"/>
      <c r="V656" s="9"/>
      <c r="W656" s="9"/>
      <c r="X656" s="9"/>
      <c r="Y656" s="9"/>
      <c r="Z656" s="9"/>
      <c r="AA656" s="9"/>
      <c r="AB656" s="9"/>
      <c r="AC656" s="9"/>
    </row>
    <row r="657" spans="1:29" ht="12.75" customHeight="1" x14ac:dyDescent="0.25">
      <c r="A657" s="9"/>
      <c r="B657" s="9"/>
      <c r="C657" s="9"/>
      <c r="D657" s="9"/>
      <c r="E657" s="9"/>
      <c r="F657" s="9"/>
      <c r="G657" s="9"/>
      <c r="H657" s="581"/>
      <c r="I657" s="581"/>
      <c r="J657" s="581"/>
      <c r="K657" s="581"/>
      <c r="L657" s="581"/>
      <c r="M657" s="581"/>
      <c r="N657" s="581"/>
      <c r="O657" s="581"/>
      <c r="P657" s="581"/>
      <c r="Q657" s="581"/>
      <c r="R657" s="581"/>
      <c r="S657" s="581"/>
      <c r="T657" s="581"/>
      <c r="U657" s="9"/>
      <c r="V657" s="9"/>
      <c r="W657" s="9"/>
      <c r="X657" s="9"/>
      <c r="Y657" s="9"/>
      <c r="Z657" s="9"/>
      <c r="AA657" s="9"/>
      <c r="AB657" s="9"/>
      <c r="AC657" s="9"/>
    </row>
    <row r="658" spans="1:29" ht="12.75" customHeight="1" x14ac:dyDescent="0.25">
      <c r="A658" s="9"/>
      <c r="B658" s="9"/>
      <c r="C658" s="9"/>
      <c r="D658" s="9"/>
      <c r="E658" s="9"/>
      <c r="F658" s="9"/>
      <c r="G658" s="9"/>
      <c r="H658" s="581"/>
      <c r="I658" s="581"/>
      <c r="J658" s="581"/>
      <c r="K658" s="581"/>
      <c r="L658" s="581"/>
      <c r="M658" s="581"/>
      <c r="N658" s="581"/>
      <c r="O658" s="581"/>
      <c r="P658" s="581"/>
      <c r="Q658" s="581"/>
      <c r="R658" s="581"/>
      <c r="S658" s="581"/>
      <c r="T658" s="581"/>
      <c r="U658" s="9"/>
      <c r="V658" s="9"/>
      <c r="W658" s="9"/>
      <c r="X658" s="9"/>
      <c r="Y658" s="9"/>
      <c r="Z658" s="9"/>
      <c r="AA658" s="9"/>
      <c r="AB658" s="9"/>
      <c r="AC658" s="9"/>
    </row>
    <row r="659" spans="1:29" ht="12.75" customHeight="1" x14ac:dyDescent="0.25">
      <c r="A659" s="9"/>
      <c r="B659" s="9"/>
      <c r="C659" s="9"/>
      <c r="D659" s="9"/>
      <c r="E659" s="9"/>
      <c r="F659" s="9"/>
      <c r="G659" s="9"/>
      <c r="H659" s="581"/>
      <c r="I659" s="581"/>
      <c r="J659" s="581"/>
      <c r="K659" s="581"/>
      <c r="L659" s="581"/>
      <c r="M659" s="581"/>
      <c r="N659" s="581"/>
      <c r="O659" s="581"/>
      <c r="P659" s="581"/>
      <c r="Q659" s="581"/>
      <c r="R659" s="581"/>
      <c r="S659" s="581"/>
      <c r="T659" s="581"/>
      <c r="U659" s="9"/>
      <c r="V659" s="9"/>
      <c r="W659" s="9"/>
      <c r="X659" s="9"/>
      <c r="Y659" s="9"/>
      <c r="Z659" s="9"/>
      <c r="AA659" s="9"/>
      <c r="AB659" s="9"/>
      <c r="AC659" s="9"/>
    </row>
    <row r="660" spans="1:29" ht="12.75" customHeight="1" x14ac:dyDescent="0.25">
      <c r="A660" s="9"/>
      <c r="B660" s="9"/>
      <c r="C660" s="9"/>
      <c r="D660" s="9"/>
      <c r="E660" s="9"/>
      <c r="F660" s="9"/>
      <c r="G660" s="9"/>
      <c r="H660" s="581"/>
      <c r="I660" s="581"/>
      <c r="J660" s="581"/>
      <c r="K660" s="581"/>
      <c r="L660" s="581"/>
      <c r="M660" s="581"/>
      <c r="N660" s="581"/>
      <c r="O660" s="581"/>
      <c r="P660" s="581"/>
      <c r="Q660" s="581"/>
      <c r="R660" s="581"/>
      <c r="S660" s="581"/>
      <c r="T660" s="581"/>
      <c r="U660" s="9"/>
      <c r="V660" s="9"/>
      <c r="W660" s="9"/>
      <c r="X660" s="9"/>
      <c r="Y660" s="9"/>
      <c r="Z660" s="9"/>
      <c r="AA660" s="9"/>
      <c r="AB660" s="9"/>
      <c r="AC660" s="9"/>
    </row>
    <row r="661" spans="1:29" ht="12.75" customHeight="1" x14ac:dyDescent="0.25">
      <c r="A661" s="9"/>
      <c r="B661" s="9"/>
      <c r="C661" s="9"/>
      <c r="D661" s="9"/>
      <c r="E661" s="9"/>
      <c r="F661" s="9"/>
      <c r="G661" s="9"/>
      <c r="H661" s="581"/>
      <c r="I661" s="581"/>
      <c r="J661" s="581"/>
      <c r="K661" s="581"/>
      <c r="L661" s="581"/>
      <c r="M661" s="581"/>
      <c r="N661" s="581"/>
      <c r="O661" s="581"/>
      <c r="P661" s="581"/>
      <c r="Q661" s="581"/>
      <c r="R661" s="581"/>
      <c r="S661" s="581"/>
      <c r="T661" s="581"/>
      <c r="U661" s="9"/>
      <c r="V661" s="9"/>
      <c r="W661" s="9"/>
      <c r="X661" s="9"/>
      <c r="Y661" s="9"/>
      <c r="Z661" s="9"/>
      <c r="AA661" s="9"/>
      <c r="AB661" s="9"/>
      <c r="AC661" s="9"/>
    </row>
    <row r="662" spans="1:29" ht="12.75" customHeight="1" x14ac:dyDescent="0.25">
      <c r="A662" s="9"/>
      <c r="B662" s="9"/>
      <c r="C662" s="9"/>
      <c r="D662" s="9"/>
      <c r="E662" s="9"/>
      <c r="F662" s="9"/>
      <c r="G662" s="9"/>
      <c r="H662" s="581"/>
      <c r="I662" s="581"/>
      <c r="J662" s="581"/>
      <c r="K662" s="581"/>
      <c r="L662" s="581"/>
      <c r="M662" s="581"/>
      <c r="N662" s="581"/>
      <c r="O662" s="581"/>
      <c r="P662" s="581"/>
      <c r="Q662" s="581"/>
      <c r="R662" s="581"/>
      <c r="S662" s="581"/>
      <c r="T662" s="581"/>
      <c r="U662" s="9"/>
      <c r="V662" s="9"/>
      <c r="W662" s="9"/>
      <c r="X662" s="9"/>
      <c r="Y662" s="9"/>
      <c r="Z662" s="9"/>
      <c r="AA662" s="9"/>
      <c r="AB662" s="9"/>
      <c r="AC662" s="9"/>
    </row>
    <row r="663" spans="1:29" ht="12.75" customHeight="1" x14ac:dyDescent="0.25">
      <c r="A663" s="9"/>
      <c r="B663" s="9"/>
      <c r="C663" s="9"/>
      <c r="D663" s="9"/>
      <c r="E663" s="9"/>
      <c r="F663" s="9"/>
      <c r="G663" s="9"/>
      <c r="H663" s="581"/>
      <c r="I663" s="581"/>
      <c r="J663" s="581"/>
      <c r="K663" s="581"/>
      <c r="L663" s="581"/>
      <c r="M663" s="581"/>
      <c r="N663" s="581"/>
      <c r="O663" s="581"/>
      <c r="P663" s="581"/>
      <c r="Q663" s="581"/>
      <c r="R663" s="581"/>
      <c r="S663" s="581"/>
      <c r="T663" s="581"/>
      <c r="U663" s="9"/>
      <c r="V663" s="9"/>
      <c r="W663" s="9"/>
      <c r="X663" s="9"/>
      <c r="Y663" s="9"/>
      <c r="Z663" s="9"/>
      <c r="AA663" s="9"/>
      <c r="AB663" s="9"/>
      <c r="AC663" s="9"/>
    </row>
    <row r="664" spans="1:29" ht="12.75" customHeight="1" x14ac:dyDescent="0.25">
      <c r="A664" s="9"/>
      <c r="B664" s="9"/>
      <c r="C664" s="9"/>
      <c r="D664" s="9"/>
      <c r="E664" s="9"/>
      <c r="F664" s="9"/>
      <c r="G664" s="9"/>
      <c r="H664" s="581"/>
      <c r="I664" s="581"/>
      <c r="J664" s="581"/>
      <c r="K664" s="581"/>
      <c r="L664" s="581"/>
      <c r="M664" s="581"/>
      <c r="N664" s="581"/>
      <c r="O664" s="581"/>
      <c r="P664" s="581"/>
      <c r="Q664" s="581"/>
      <c r="R664" s="581"/>
      <c r="S664" s="581"/>
      <c r="T664" s="581"/>
      <c r="U664" s="9"/>
      <c r="V664" s="9"/>
      <c r="W664" s="9"/>
      <c r="X664" s="9"/>
      <c r="Y664" s="9"/>
      <c r="Z664" s="9"/>
      <c r="AA664" s="9"/>
      <c r="AB664" s="9"/>
      <c r="AC664" s="9"/>
    </row>
    <row r="665" spans="1:29" ht="12.75" customHeight="1" x14ac:dyDescent="0.25">
      <c r="A665" s="9"/>
      <c r="B665" s="9"/>
      <c r="C665" s="9"/>
      <c r="D665" s="9"/>
      <c r="E665" s="9"/>
      <c r="F665" s="9"/>
      <c r="G665" s="9"/>
      <c r="H665" s="581"/>
      <c r="I665" s="581"/>
      <c r="J665" s="581"/>
      <c r="K665" s="581"/>
      <c r="L665" s="581"/>
      <c r="M665" s="581"/>
      <c r="N665" s="581"/>
      <c r="O665" s="581"/>
      <c r="P665" s="581"/>
      <c r="Q665" s="581"/>
      <c r="R665" s="581"/>
      <c r="S665" s="581"/>
      <c r="T665" s="581"/>
      <c r="U665" s="9"/>
      <c r="V665" s="9"/>
      <c r="W665" s="9"/>
      <c r="X665" s="9"/>
      <c r="Y665" s="9"/>
      <c r="Z665" s="9"/>
      <c r="AA665" s="9"/>
      <c r="AB665" s="9"/>
      <c r="AC665" s="9"/>
    </row>
    <row r="666" spans="1:29" ht="12.75" customHeight="1" x14ac:dyDescent="0.25">
      <c r="A666" s="9"/>
      <c r="B666" s="9"/>
      <c r="C666" s="9"/>
      <c r="D666" s="9"/>
      <c r="E666" s="9"/>
      <c r="F666" s="9"/>
      <c r="G666" s="9"/>
      <c r="H666" s="581"/>
      <c r="I666" s="581"/>
      <c r="J666" s="581"/>
      <c r="K666" s="581"/>
      <c r="L666" s="581"/>
      <c r="M666" s="581"/>
      <c r="N666" s="581"/>
      <c r="O666" s="581"/>
      <c r="P666" s="581"/>
      <c r="Q666" s="581"/>
      <c r="R666" s="581"/>
      <c r="S666" s="581"/>
      <c r="T666" s="581"/>
      <c r="U666" s="9"/>
      <c r="V666" s="9"/>
      <c r="W666" s="9"/>
      <c r="X666" s="9"/>
      <c r="Y666" s="9"/>
      <c r="Z666" s="9"/>
      <c r="AA666" s="9"/>
      <c r="AB666" s="9"/>
      <c r="AC666" s="9"/>
    </row>
    <row r="667" spans="1:29" ht="12.75" customHeight="1" x14ac:dyDescent="0.25">
      <c r="A667" s="9"/>
      <c r="B667" s="9"/>
      <c r="C667" s="9"/>
      <c r="D667" s="9"/>
      <c r="E667" s="9"/>
      <c r="F667" s="9"/>
      <c r="G667" s="9"/>
      <c r="H667" s="581"/>
      <c r="I667" s="581"/>
      <c r="J667" s="581"/>
      <c r="K667" s="581"/>
      <c r="L667" s="581"/>
      <c r="M667" s="581"/>
      <c r="N667" s="581"/>
      <c r="O667" s="581"/>
      <c r="P667" s="581"/>
      <c r="Q667" s="581"/>
      <c r="R667" s="581"/>
      <c r="S667" s="581"/>
      <c r="T667" s="581"/>
      <c r="U667" s="9"/>
      <c r="V667" s="9"/>
      <c r="W667" s="9"/>
      <c r="X667" s="9"/>
      <c r="Y667" s="9"/>
      <c r="Z667" s="9"/>
      <c r="AA667" s="9"/>
      <c r="AB667" s="9"/>
      <c r="AC667" s="9"/>
    </row>
    <row r="668" spans="1:29" ht="12.75" customHeight="1" x14ac:dyDescent="0.25">
      <c r="A668" s="9"/>
      <c r="B668" s="9"/>
      <c r="C668" s="9"/>
      <c r="D668" s="9"/>
      <c r="E668" s="9"/>
      <c r="F668" s="9"/>
      <c r="G668" s="9"/>
      <c r="H668" s="581"/>
      <c r="I668" s="581"/>
      <c r="J668" s="581"/>
      <c r="K668" s="581"/>
      <c r="L668" s="581"/>
      <c r="M668" s="581"/>
      <c r="N668" s="581"/>
      <c r="O668" s="581"/>
      <c r="P668" s="581"/>
      <c r="Q668" s="581"/>
      <c r="R668" s="581"/>
      <c r="S668" s="581"/>
      <c r="T668" s="581"/>
      <c r="U668" s="9"/>
      <c r="V668" s="9"/>
      <c r="W668" s="9"/>
      <c r="X668" s="9"/>
      <c r="Y668" s="9"/>
      <c r="Z668" s="9"/>
      <c r="AA668" s="9"/>
      <c r="AB668" s="9"/>
      <c r="AC668" s="9"/>
    </row>
    <row r="669" spans="1:29" ht="12.75" customHeight="1" x14ac:dyDescent="0.25">
      <c r="A669" s="9"/>
      <c r="B669" s="9"/>
      <c r="C669" s="9"/>
      <c r="D669" s="9"/>
      <c r="E669" s="9"/>
      <c r="F669" s="9"/>
      <c r="G669" s="9"/>
      <c r="H669" s="581"/>
      <c r="I669" s="581"/>
      <c r="J669" s="581"/>
      <c r="K669" s="581"/>
      <c r="L669" s="581"/>
      <c r="M669" s="581"/>
      <c r="N669" s="581"/>
      <c r="O669" s="581"/>
      <c r="P669" s="581"/>
      <c r="Q669" s="581"/>
      <c r="R669" s="581"/>
      <c r="S669" s="581"/>
      <c r="T669" s="581"/>
      <c r="U669" s="9"/>
      <c r="V669" s="9"/>
      <c r="W669" s="9"/>
      <c r="X669" s="9"/>
      <c r="Y669" s="9"/>
      <c r="Z669" s="9"/>
      <c r="AA669" s="9"/>
      <c r="AB669" s="9"/>
      <c r="AC669" s="9"/>
    </row>
    <row r="670" spans="1:29" ht="12.75" customHeight="1" x14ac:dyDescent="0.25">
      <c r="A670" s="9"/>
      <c r="B670" s="9"/>
      <c r="C670" s="9"/>
      <c r="D670" s="9"/>
      <c r="E670" s="9"/>
      <c r="F670" s="9"/>
      <c r="G670" s="9"/>
      <c r="H670" s="581"/>
      <c r="I670" s="581"/>
      <c r="J670" s="581"/>
      <c r="K670" s="581"/>
      <c r="L670" s="581"/>
      <c r="M670" s="581"/>
      <c r="N670" s="581"/>
      <c r="O670" s="581"/>
      <c r="P670" s="581"/>
      <c r="Q670" s="581"/>
      <c r="R670" s="581"/>
      <c r="S670" s="581"/>
      <c r="T670" s="581"/>
      <c r="U670" s="9"/>
      <c r="V670" s="9"/>
      <c r="W670" s="9"/>
      <c r="X670" s="9"/>
      <c r="Y670" s="9"/>
      <c r="Z670" s="9"/>
      <c r="AA670" s="9"/>
      <c r="AB670" s="9"/>
      <c r="AC670" s="9"/>
    </row>
    <row r="671" spans="1:29" ht="12.75" customHeight="1" x14ac:dyDescent="0.25">
      <c r="A671" s="9"/>
      <c r="B671" s="9"/>
      <c r="C671" s="9"/>
      <c r="D671" s="9"/>
      <c r="E671" s="9"/>
      <c r="F671" s="9"/>
      <c r="G671" s="9"/>
      <c r="H671" s="581"/>
      <c r="I671" s="581"/>
      <c r="J671" s="581"/>
      <c r="K671" s="581"/>
      <c r="L671" s="581"/>
      <c r="M671" s="581"/>
      <c r="N671" s="581"/>
      <c r="O671" s="581"/>
      <c r="P671" s="581"/>
      <c r="Q671" s="581"/>
      <c r="R671" s="581"/>
      <c r="S671" s="581"/>
      <c r="T671" s="581"/>
      <c r="U671" s="9"/>
      <c r="V671" s="9"/>
      <c r="W671" s="9"/>
      <c r="X671" s="9"/>
      <c r="Y671" s="9"/>
      <c r="Z671" s="9"/>
      <c r="AA671" s="9"/>
      <c r="AB671" s="9"/>
      <c r="AC671" s="9"/>
    </row>
    <row r="672" spans="1:29" ht="12.75" customHeight="1" x14ac:dyDescent="0.25">
      <c r="A672" s="9"/>
      <c r="B672" s="9"/>
      <c r="C672" s="9"/>
      <c r="D672" s="9"/>
      <c r="E672" s="9"/>
      <c r="F672" s="9"/>
      <c r="G672" s="9"/>
      <c r="H672" s="581"/>
      <c r="I672" s="581"/>
      <c r="J672" s="581"/>
      <c r="K672" s="581"/>
      <c r="L672" s="581"/>
      <c r="M672" s="581"/>
      <c r="N672" s="581"/>
      <c r="O672" s="581"/>
      <c r="P672" s="581"/>
      <c r="Q672" s="581"/>
      <c r="R672" s="581"/>
      <c r="S672" s="581"/>
      <c r="T672" s="581"/>
      <c r="U672" s="9"/>
      <c r="V672" s="9"/>
      <c r="W672" s="9"/>
      <c r="X672" s="9"/>
      <c r="Y672" s="9"/>
      <c r="Z672" s="9"/>
      <c r="AA672" s="9"/>
      <c r="AB672" s="9"/>
      <c r="AC672" s="9"/>
    </row>
    <row r="673" spans="1:29" ht="12.75" customHeight="1" x14ac:dyDescent="0.25">
      <c r="A673" s="9"/>
      <c r="B673" s="9"/>
      <c r="C673" s="9"/>
      <c r="D673" s="9"/>
      <c r="E673" s="9"/>
      <c r="F673" s="9"/>
      <c r="G673" s="9"/>
      <c r="H673" s="581"/>
      <c r="I673" s="581"/>
      <c r="J673" s="581"/>
      <c r="K673" s="581"/>
      <c r="L673" s="581"/>
      <c r="M673" s="581"/>
      <c r="N673" s="581"/>
      <c r="O673" s="581"/>
      <c r="P673" s="581"/>
      <c r="Q673" s="581"/>
      <c r="R673" s="581"/>
      <c r="S673" s="581"/>
      <c r="T673" s="581"/>
      <c r="U673" s="9"/>
      <c r="V673" s="9"/>
      <c r="W673" s="9"/>
      <c r="X673" s="9"/>
      <c r="Y673" s="9"/>
      <c r="Z673" s="9"/>
      <c r="AA673" s="9"/>
      <c r="AB673" s="9"/>
      <c r="AC673" s="9"/>
    </row>
    <row r="674" spans="1:29" ht="12.75" customHeight="1" x14ac:dyDescent="0.25">
      <c r="A674" s="9"/>
      <c r="B674" s="9"/>
      <c r="C674" s="9"/>
      <c r="D674" s="9"/>
      <c r="E674" s="9"/>
      <c r="F674" s="9"/>
      <c r="G674" s="9"/>
      <c r="H674" s="581"/>
      <c r="I674" s="581"/>
      <c r="J674" s="581"/>
      <c r="K674" s="581"/>
      <c r="L674" s="581"/>
      <c r="M674" s="581"/>
      <c r="N674" s="581"/>
      <c r="O674" s="581"/>
      <c r="P674" s="581"/>
      <c r="Q674" s="581"/>
      <c r="R674" s="581"/>
      <c r="S674" s="581"/>
      <c r="T674" s="581"/>
      <c r="U674" s="9"/>
      <c r="V674" s="9"/>
      <c r="W674" s="9"/>
      <c r="X674" s="9"/>
      <c r="Y674" s="9"/>
      <c r="Z674" s="9"/>
      <c r="AA674" s="9"/>
      <c r="AB674" s="9"/>
      <c r="AC674" s="9"/>
    </row>
    <row r="675" spans="1:29" ht="12.75" customHeight="1" x14ac:dyDescent="0.25">
      <c r="A675" s="9"/>
      <c r="B675" s="9"/>
      <c r="C675" s="9"/>
      <c r="D675" s="9"/>
      <c r="E675" s="9"/>
      <c r="F675" s="9"/>
      <c r="G675" s="9"/>
      <c r="H675" s="581"/>
      <c r="I675" s="581"/>
      <c r="J675" s="581"/>
      <c r="K675" s="581"/>
      <c r="L675" s="581"/>
      <c r="M675" s="581"/>
      <c r="N675" s="581"/>
      <c r="O675" s="581"/>
      <c r="P675" s="581"/>
      <c r="Q675" s="581"/>
      <c r="R675" s="581"/>
      <c r="S675" s="581"/>
      <c r="T675" s="581"/>
      <c r="U675" s="9"/>
      <c r="V675" s="9"/>
      <c r="W675" s="9"/>
      <c r="X675" s="9"/>
      <c r="Y675" s="9"/>
      <c r="Z675" s="9"/>
      <c r="AA675" s="9"/>
      <c r="AB675" s="9"/>
      <c r="AC675" s="9"/>
    </row>
    <row r="676" spans="1:29" ht="12.75" customHeight="1" x14ac:dyDescent="0.25">
      <c r="A676" s="9"/>
      <c r="B676" s="9"/>
      <c r="C676" s="9"/>
      <c r="D676" s="9"/>
      <c r="E676" s="9"/>
      <c r="F676" s="9"/>
      <c r="G676" s="9"/>
      <c r="H676" s="581"/>
      <c r="I676" s="581"/>
      <c r="J676" s="581"/>
      <c r="K676" s="581"/>
      <c r="L676" s="581"/>
      <c r="M676" s="581"/>
      <c r="N676" s="581"/>
      <c r="O676" s="581"/>
      <c r="P676" s="581"/>
      <c r="Q676" s="581"/>
      <c r="R676" s="581"/>
      <c r="S676" s="581"/>
      <c r="T676" s="581"/>
      <c r="U676" s="9"/>
      <c r="V676" s="9"/>
      <c r="W676" s="9"/>
      <c r="X676" s="9"/>
      <c r="Y676" s="9"/>
      <c r="Z676" s="9"/>
      <c r="AA676" s="9"/>
      <c r="AB676" s="9"/>
      <c r="AC676" s="9"/>
    </row>
    <row r="677" spans="1:29" ht="12.75" customHeight="1" x14ac:dyDescent="0.25">
      <c r="A677" s="9"/>
      <c r="B677" s="9"/>
      <c r="C677" s="9"/>
      <c r="D677" s="9"/>
      <c r="E677" s="9"/>
      <c r="F677" s="9"/>
      <c r="G677" s="9"/>
      <c r="H677" s="581"/>
      <c r="I677" s="581"/>
      <c r="J677" s="581"/>
      <c r="K677" s="581"/>
      <c r="L677" s="581"/>
      <c r="M677" s="581"/>
      <c r="N677" s="581"/>
      <c r="O677" s="581"/>
      <c r="P677" s="581"/>
      <c r="Q677" s="581"/>
      <c r="R677" s="581"/>
      <c r="S677" s="581"/>
      <c r="T677" s="581"/>
      <c r="U677" s="9"/>
      <c r="V677" s="9"/>
      <c r="W677" s="9"/>
      <c r="X677" s="9"/>
      <c r="Y677" s="9"/>
      <c r="Z677" s="9"/>
      <c r="AA677" s="9"/>
      <c r="AB677" s="9"/>
      <c r="AC677" s="9"/>
    </row>
    <row r="678" spans="1:29" ht="12.75" customHeight="1" x14ac:dyDescent="0.25">
      <c r="A678" s="9"/>
      <c r="B678" s="9"/>
      <c r="C678" s="9"/>
      <c r="D678" s="9"/>
      <c r="E678" s="9"/>
      <c r="F678" s="9"/>
      <c r="G678" s="9"/>
      <c r="H678" s="581"/>
      <c r="I678" s="581"/>
      <c r="J678" s="581"/>
      <c r="K678" s="581"/>
      <c r="L678" s="581"/>
      <c r="M678" s="581"/>
      <c r="N678" s="581"/>
      <c r="O678" s="581"/>
      <c r="P678" s="581"/>
      <c r="Q678" s="581"/>
      <c r="R678" s="581"/>
      <c r="S678" s="581"/>
      <c r="T678" s="581"/>
      <c r="U678" s="9"/>
      <c r="V678" s="9"/>
      <c r="W678" s="9"/>
      <c r="X678" s="9"/>
      <c r="Y678" s="9"/>
      <c r="Z678" s="9"/>
      <c r="AA678" s="9"/>
      <c r="AB678" s="9"/>
      <c r="AC678" s="9"/>
    </row>
    <row r="679" spans="1:29" ht="12.75" customHeight="1" x14ac:dyDescent="0.25">
      <c r="A679" s="9"/>
      <c r="B679" s="9"/>
      <c r="C679" s="9"/>
      <c r="D679" s="9"/>
      <c r="E679" s="9"/>
      <c r="F679" s="9"/>
      <c r="G679" s="9"/>
      <c r="H679" s="581"/>
      <c r="I679" s="581"/>
      <c r="J679" s="581"/>
      <c r="K679" s="581"/>
      <c r="L679" s="581"/>
      <c r="M679" s="581"/>
      <c r="N679" s="581"/>
      <c r="O679" s="581"/>
      <c r="P679" s="581"/>
      <c r="Q679" s="581"/>
      <c r="R679" s="581"/>
      <c r="S679" s="581"/>
      <c r="T679" s="581"/>
      <c r="U679" s="9"/>
      <c r="V679" s="9"/>
      <c r="W679" s="9"/>
      <c r="X679" s="9"/>
      <c r="Y679" s="9"/>
      <c r="Z679" s="9"/>
      <c r="AA679" s="9"/>
      <c r="AB679" s="9"/>
      <c r="AC679" s="9"/>
    </row>
    <row r="680" spans="1:29" ht="12.75" customHeight="1" x14ac:dyDescent="0.25">
      <c r="A680" s="9"/>
      <c r="B680" s="9"/>
      <c r="C680" s="9"/>
      <c r="D680" s="9"/>
      <c r="E680" s="9"/>
      <c r="F680" s="9"/>
      <c r="G680" s="9"/>
      <c r="H680" s="581"/>
      <c r="I680" s="581"/>
      <c r="J680" s="581"/>
      <c r="K680" s="581"/>
      <c r="L680" s="581"/>
      <c r="M680" s="581"/>
      <c r="N680" s="581"/>
      <c r="O680" s="581"/>
      <c r="P680" s="581"/>
      <c r="Q680" s="581"/>
      <c r="R680" s="581"/>
      <c r="S680" s="581"/>
      <c r="T680" s="581"/>
      <c r="U680" s="9"/>
      <c r="V680" s="9"/>
      <c r="W680" s="9"/>
      <c r="X680" s="9"/>
      <c r="Y680" s="9"/>
      <c r="Z680" s="9"/>
      <c r="AA680" s="9"/>
      <c r="AB680" s="9"/>
      <c r="AC680" s="9"/>
    </row>
    <row r="681" spans="1:29" ht="12.75" customHeight="1" x14ac:dyDescent="0.25">
      <c r="A681" s="9"/>
      <c r="B681" s="9"/>
      <c r="C681" s="9"/>
      <c r="D681" s="9"/>
      <c r="E681" s="9"/>
      <c r="F681" s="9"/>
      <c r="G681" s="9"/>
      <c r="H681" s="581"/>
      <c r="I681" s="581"/>
      <c r="J681" s="581"/>
      <c r="K681" s="581"/>
      <c r="L681" s="581"/>
      <c r="M681" s="581"/>
      <c r="N681" s="581"/>
      <c r="O681" s="581"/>
      <c r="P681" s="581"/>
      <c r="Q681" s="581"/>
      <c r="R681" s="581"/>
      <c r="S681" s="581"/>
      <c r="T681" s="581"/>
      <c r="U681" s="9"/>
      <c r="V681" s="9"/>
      <c r="W681" s="9"/>
      <c r="X681" s="9"/>
      <c r="Y681" s="9"/>
      <c r="Z681" s="9"/>
      <c r="AA681" s="9"/>
      <c r="AB681" s="9"/>
      <c r="AC681" s="9"/>
    </row>
    <row r="682" spans="1:29" ht="12.75" customHeight="1" x14ac:dyDescent="0.25">
      <c r="A682" s="9"/>
      <c r="B682" s="9"/>
      <c r="C682" s="9"/>
      <c r="D682" s="9"/>
      <c r="E682" s="9"/>
      <c r="F682" s="9"/>
      <c r="G682" s="9"/>
      <c r="H682" s="581"/>
      <c r="I682" s="581"/>
      <c r="J682" s="581"/>
      <c r="K682" s="581"/>
      <c r="L682" s="581"/>
      <c r="M682" s="581"/>
      <c r="N682" s="581"/>
      <c r="O682" s="581"/>
      <c r="P682" s="581"/>
      <c r="Q682" s="581"/>
      <c r="R682" s="581"/>
      <c r="S682" s="581"/>
      <c r="T682" s="581"/>
      <c r="U682" s="9"/>
      <c r="V682" s="9"/>
      <c r="W682" s="9"/>
      <c r="X682" s="9"/>
      <c r="Y682" s="9"/>
      <c r="Z682" s="9"/>
      <c r="AA682" s="9"/>
      <c r="AB682" s="9"/>
      <c r="AC682" s="9"/>
    </row>
    <row r="683" spans="1:29" ht="12.75" customHeight="1" x14ac:dyDescent="0.25">
      <c r="A683" s="9"/>
      <c r="B683" s="9"/>
      <c r="C683" s="9"/>
      <c r="D683" s="9"/>
      <c r="E683" s="9"/>
      <c r="F683" s="9"/>
      <c r="G683" s="9"/>
      <c r="H683" s="581"/>
      <c r="I683" s="581"/>
      <c r="J683" s="581"/>
      <c r="K683" s="581"/>
      <c r="L683" s="581"/>
      <c r="M683" s="581"/>
      <c r="N683" s="581"/>
      <c r="O683" s="581"/>
      <c r="P683" s="581"/>
      <c r="Q683" s="581"/>
      <c r="R683" s="581"/>
      <c r="S683" s="581"/>
      <c r="T683" s="581"/>
      <c r="U683" s="9"/>
      <c r="V683" s="9"/>
      <c r="W683" s="9"/>
      <c r="X683" s="9"/>
      <c r="Y683" s="9"/>
      <c r="Z683" s="9"/>
      <c r="AA683" s="9"/>
      <c r="AB683" s="9"/>
      <c r="AC683" s="9"/>
    </row>
    <row r="684" spans="1:29" ht="12.75" customHeight="1" x14ac:dyDescent="0.25">
      <c r="A684" s="9"/>
      <c r="B684" s="9"/>
      <c r="C684" s="9"/>
      <c r="D684" s="9"/>
      <c r="E684" s="9"/>
      <c r="F684" s="9"/>
      <c r="G684" s="9"/>
      <c r="H684" s="581"/>
      <c r="I684" s="581"/>
      <c r="J684" s="581"/>
      <c r="K684" s="581"/>
      <c r="L684" s="581"/>
      <c r="M684" s="581"/>
      <c r="N684" s="581"/>
      <c r="O684" s="581"/>
      <c r="P684" s="581"/>
      <c r="Q684" s="581"/>
      <c r="R684" s="581"/>
      <c r="S684" s="581"/>
      <c r="T684" s="581"/>
      <c r="U684" s="9"/>
      <c r="V684" s="9"/>
      <c r="W684" s="9"/>
      <c r="X684" s="9"/>
      <c r="Y684" s="9"/>
      <c r="Z684" s="9"/>
      <c r="AA684" s="9"/>
      <c r="AB684" s="9"/>
      <c r="AC684" s="9"/>
    </row>
    <row r="685" spans="1:29" ht="12.75" customHeight="1" x14ac:dyDescent="0.25">
      <c r="A685" s="9"/>
      <c r="B685" s="9"/>
      <c r="C685" s="9"/>
      <c r="D685" s="9"/>
      <c r="E685" s="9"/>
      <c r="F685" s="9"/>
      <c r="G685" s="9"/>
      <c r="H685" s="581"/>
      <c r="I685" s="581"/>
      <c r="J685" s="581"/>
      <c r="K685" s="581"/>
      <c r="L685" s="581"/>
      <c r="M685" s="581"/>
      <c r="N685" s="581"/>
      <c r="O685" s="581"/>
      <c r="P685" s="581"/>
      <c r="Q685" s="581"/>
      <c r="R685" s="581"/>
      <c r="S685" s="581"/>
      <c r="T685" s="581"/>
      <c r="U685" s="9"/>
      <c r="V685" s="9"/>
      <c r="W685" s="9"/>
      <c r="X685" s="9"/>
      <c r="Y685" s="9"/>
      <c r="Z685" s="9"/>
      <c r="AA685" s="9"/>
      <c r="AB685" s="9"/>
      <c r="AC685" s="9"/>
    </row>
    <row r="686" spans="1:29" ht="12.75" customHeight="1" x14ac:dyDescent="0.25">
      <c r="A686" s="9"/>
      <c r="B686" s="9"/>
      <c r="C686" s="9"/>
      <c r="D686" s="9"/>
      <c r="E686" s="9"/>
      <c r="F686" s="9"/>
      <c r="G686" s="9"/>
      <c r="H686" s="581"/>
      <c r="I686" s="581"/>
      <c r="J686" s="581"/>
      <c r="K686" s="581"/>
      <c r="L686" s="581"/>
      <c r="M686" s="581"/>
      <c r="N686" s="581"/>
      <c r="O686" s="581"/>
      <c r="P686" s="581"/>
      <c r="Q686" s="581"/>
      <c r="R686" s="581"/>
      <c r="S686" s="581"/>
      <c r="T686" s="581"/>
      <c r="U686" s="9"/>
      <c r="V686" s="9"/>
      <c r="W686" s="9"/>
      <c r="X686" s="9"/>
      <c r="Y686" s="9"/>
      <c r="Z686" s="9"/>
      <c r="AA686" s="9"/>
      <c r="AB686" s="9"/>
      <c r="AC686" s="9"/>
    </row>
    <row r="687" spans="1:29" ht="12.75" customHeight="1" x14ac:dyDescent="0.25">
      <c r="A687" s="9"/>
      <c r="B687" s="9"/>
      <c r="C687" s="9"/>
      <c r="D687" s="9"/>
      <c r="E687" s="9"/>
      <c r="F687" s="9"/>
      <c r="G687" s="9"/>
      <c r="H687" s="581"/>
      <c r="I687" s="581"/>
      <c r="J687" s="581"/>
      <c r="K687" s="581"/>
      <c r="L687" s="581"/>
      <c r="M687" s="581"/>
      <c r="N687" s="581"/>
      <c r="O687" s="581"/>
      <c r="P687" s="581"/>
      <c r="Q687" s="581"/>
      <c r="R687" s="581"/>
      <c r="S687" s="581"/>
      <c r="T687" s="581"/>
      <c r="U687" s="9"/>
      <c r="V687" s="9"/>
      <c r="W687" s="9"/>
      <c r="X687" s="9"/>
      <c r="Y687" s="9"/>
      <c r="Z687" s="9"/>
      <c r="AA687" s="9"/>
      <c r="AB687" s="9"/>
      <c r="AC687" s="9"/>
    </row>
    <row r="688" spans="1:29" ht="12.75" customHeight="1" x14ac:dyDescent="0.25">
      <c r="A688" s="9"/>
      <c r="B688" s="9"/>
      <c r="C688" s="9"/>
      <c r="D688" s="9"/>
      <c r="E688" s="9"/>
      <c r="F688" s="9"/>
      <c r="G688" s="9"/>
      <c r="H688" s="581"/>
      <c r="I688" s="581"/>
      <c r="J688" s="581"/>
      <c r="K688" s="581"/>
      <c r="L688" s="581"/>
      <c r="M688" s="581"/>
      <c r="N688" s="581"/>
      <c r="O688" s="581"/>
      <c r="P688" s="581"/>
      <c r="Q688" s="581"/>
      <c r="R688" s="581"/>
      <c r="S688" s="581"/>
      <c r="T688" s="581"/>
      <c r="U688" s="9"/>
      <c r="V688" s="9"/>
      <c r="W688" s="9"/>
      <c r="X688" s="9"/>
      <c r="Y688" s="9"/>
      <c r="Z688" s="9"/>
      <c r="AA688" s="9"/>
      <c r="AB688" s="9"/>
      <c r="AC688" s="9"/>
    </row>
    <row r="689" spans="1:29" ht="12.75" customHeight="1" x14ac:dyDescent="0.25">
      <c r="A689" s="9"/>
      <c r="B689" s="9"/>
      <c r="C689" s="9"/>
      <c r="D689" s="9"/>
      <c r="E689" s="9"/>
      <c r="F689" s="9"/>
      <c r="G689" s="9"/>
      <c r="H689" s="581"/>
      <c r="I689" s="581"/>
      <c r="J689" s="581"/>
      <c r="K689" s="581"/>
      <c r="L689" s="581"/>
      <c r="M689" s="581"/>
      <c r="N689" s="581"/>
      <c r="O689" s="581"/>
      <c r="P689" s="581"/>
      <c r="Q689" s="581"/>
      <c r="R689" s="581"/>
      <c r="S689" s="581"/>
      <c r="T689" s="581"/>
      <c r="U689" s="9"/>
      <c r="V689" s="9"/>
      <c r="W689" s="9"/>
      <c r="X689" s="9"/>
      <c r="Y689" s="9"/>
      <c r="Z689" s="9"/>
      <c r="AA689" s="9"/>
      <c r="AB689" s="9"/>
      <c r="AC689" s="9"/>
    </row>
    <row r="690" spans="1:29" ht="12.75" customHeight="1" x14ac:dyDescent="0.25">
      <c r="A690" s="9"/>
      <c r="B690" s="9"/>
      <c r="C690" s="9"/>
      <c r="D690" s="9"/>
      <c r="E690" s="9"/>
      <c r="F690" s="9"/>
      <c r="G690" s="9"/>
      <c r="H690" s="581"/>
      <c r="I690" s="581"/>
      <c r="J690" s="581"/>
      <c r="K690" s="581"/>
      <c r="L690" s="581"/>
      <c r="M690" s="581"/>
      <c r="N690" s="581"/>
      <c r="O690" s="581"/>
      <c r="P690" s="581"/>
      <c r="Q690" s="581"/>
      <c r="R690" s="581"/>
      <c r="S690" s="581"/>
      <c r="T690" s="581"/>
      <c r="U690" s="9"/>
      <c r="V690" s="9"/>
      <c r="W690" s="9"/>
      <c r="X690" s="9"/>
      <c r="Y690" s="9"/>
      <c r="Z690" s="9"/>
      <c r="AA690" s="9"/>
      <c r="AB690" s="9"/>
      <c r="AC690" s="9"/>
    </row>
    <row r="691" spans="1:29" ht="12.75" customHeight="1" x14ac:dyDescent="0.25">
      <c r="A691" s="9"/>
      <c r="B691" s="9"/>
      <c r="C691" s="9"/>
      <c r="D691" s="9"/>
      <c r="E691" s="9"/>
      <c r="F691" s="9"/>
      <c r="G691" s="9"/>
      <c r="H691" s="581"/>
      <c r="I691" s="581"/>
      <c r="J691" s="581"/>
      <c r="K691" s="581"/>
      <c r="L691" s="581"/>
      <c r="M691" s="581"/>
      <c r="N691" s="581"/>
      <c r="O691" s="581"/>
      <c r="P691" s="581"/>
      <c r="Q691" s="581"/>
      <c r="R691" s="581"/>
      <c r="S691" s="581"/>
      <c r="T691" s="581"/>
      <c r="U691" s="9"/>
      <c r="V691" s="9"/>
      <c r="W691" s="9"/>
      <c r="X691" s="9"/>
      <c r="Y691" s="9"/>
      <c r="Z691" s="9"/>
      <c r="AA691" s="9"/>
      <c r="AB691" s="9"/>
      <c r="AC691" s="9"/>
    </row>
    <row r="692" spans="1:29" ht="12.75" customHeight="1" x14ac:dyDescent="0.25">
      <c r="A692" s="9"/>
      <c r="B692" s="9"/>
      <c r="C692" s="9"/>
      <c r="D692" s="9"/>
      <c r="E692" s="9"/>
      <c r="F692" s="9"/>
      <c r="G692" s="9"/>
      <c r="H692" s="581"/>
      <c r="I692" s="581"/>
      <c r="J692" s="581"/>
      <c r="K692" s="581"/>
      <c r="L692" s="581"/>
      <c r="M692" s="581"/>
      <c r="N692" s="581"/>
      <c r="O692" s="581"/>
      <c r="P692" s="581"/>
      <c r="Q692" s="581"/>
      <c r="R692" s="581"/>
      <c r="S692" s="581"/>
      <c r="T692" s="581"/>
      <c r="U692" s="9"/>
      <c r="V692" s="9"/>
      <c r="W692" s="9"/>
      <c r="X692" s="9"/>
      <c r="Y692" s="9"/>
      <c r="Z692" s="9"/>
      <c r="AA692" s="9"/>
      <c r="AB692" s="9"/>
      <c r="AC692" s="9"/>
    </row>
    <row r="693" spans="1:29" ht="12.75" customHeight="1" x14ac:dyDescent="0.25">
      <c r="A693" s="9"/>
      <c r="B693" s="9"/>
      <c r="C693" s="9"/>
      <c r="D693" s="9"/>
      <c r="E693" s="9"/>
      <c r="F693" s="9"/>
      <c r="G693" s="9"/>
      <c r="H693" s="581"/>
      <c r="I693" s="581"/>
      <c r="J693" s="581"/>
      <c r="K693" s="581"/>
      <c r="L693" s="581"/>
      <c r="M693" s="581"/>
      <c r="N693" s="581"/>
      <c r="O693" s="581"/>
      <c r="P693" s="581"/>
      <c r="Q693" s="581"/>
      <c r="R693" s="581"/>
      <c r="S693" s="581"/>
      <c r="T693" s="581"/>
      <c r="U693" s="9"/>
      <c r="V693" s="9"/>
      <c r="W693" s="9"/>
      <c r="X693" s="9"/>
      <c r="Y693" s="9"/>
      <c r="Z693" s="9"/>
      <c r="AA693" s="9"/>
      <c r="AB693" s="9"/>
      <c r="AC693" s="9"/>
    </row>
    <row r="694" spans="1:29" ht="12.75" customHeight="1" x14ac:dyDescent="0.25">
      <c r="A694" s="9"/>
      <c r="B694" s="9"/>
      <c r="C694" s="9"/>
      <c r="D694" s="9"/>
      <c r="E694" s="9"/>
      <c r="F694" s="9"/>
      <c r="G694" s="9"/>
      <c r="H694" s="581"/>
      <c r="I694" s="581"/>
      <c r="J694" s="581"/>
      <c r="K694" s="581"/>
      <c r="L694" s="581"/>
      <c r="M694" s="581"/>
      <c r="N694" s="581"/>
      <c r="O694" s="581"/>
      <c r="P694" s="581"/>
      <c r="Q694" s="581"/>
      <c r="R694" s="581"/>
      <c r="S694" s="581"/>
      <c r="T694" s="581"/>
      <c r="U694" s="9"/>
      <c r="V694" s="9"/>
      <c r="W694" s="9"/>
      <c r="X694" s="9"/>
      <c r="Y694" s="9"/>
      <c r="Z694" s="9"/>
      <c r="AA694" s="9"/>
      <c r="AB694" s="9"/>
      <c r="AC694" s="9"/>
    </row>
    <row r="695" spans="1:29" ht="12.75" customHeight="1" x14ac:dyDescent="0.25">
      <c r="A695" s="9"/>
      <c r="B695" s="9"/>
      <c r="C695" s="9"/>
      <c r="D695" s="9"/>
      <c r="E695" s="9"/>
      <c r="F695" s="9"/>
      <c r="G695" s="9"/>
      <c r="H695" s="581"/>
      <c r="I695" s="581"/>
      <c r="J695" s="581"/>
      <c r="K695" s="581"/>
      <c r="L695" s="581"/>
      <c r="M695" s="581"/>
      <c r="N695" s="581"/>
      <c r="O695" s="581"/>
      <c r="P695" s="581"/>
      <c r="Q695" s="581"/>
      <c r="R695" s="581"/>
      <c r="S695" s="581"/>
      <c r="T695" s="581"/>
      <c r="U695" s="9"/>
      <c r="V695" s="9"/>
      <c r="W695" s="9"/>
      <c r="X695" s="9"/>
      <c r="Y695" s="9"/>
      <c r="Z695" s="9"/>
      <c r="AA695" s="9"/>
      <c r="AB695" s="9"/>
      <c r="AC695" s="9"/>
    </row>
    <row r="696" spans="1:29" ht="12.75" customHeight="1" x14ac:dyDescent="0.25">
      <c r="A696" s="9"/>
      <c r="B696" s="9"/>
      <c r="C696" s="9"/>
      <c r="D696" s="9"/>
      <c r="E696" s="9"/>
      <c r="F696" s="9"/>
      <c r="G696" s="9"/>
      <c r="H696" s="581"/>
      <c r="I696" s="581"/>
      <c r="J696" s="581"/>
      <c r="K696" s="581"/>
      <c r="L696" s="581"/>
      <c r="M696" s="581"/>
      <c r="N696" s="581"/>
      <c r="O696" s="581"/>
      <c r="P696" s="581"/>
      <c r="Q696" s="581"/>
      <c r="R696" s="581"/>
      <c r="S696" s="581"/>
      <c r="T696" s="581"/>
      <c r="U696" s="9"/>
      <c r="V696" s="9"/>
      <c r="W696" s="9"/>
      <c r="X696" s="9"/>
      <c r="Y696" s="9"/>
      <c r="Z696" s="9"/>
      <c r="AA696" s="9"/>
      <c r="AB696" s="9"/>
      <c r="AC696" s="9"/>
    </row>
    <row r="697" spans="1:29" ht="12.75" customHeight="1" x14ac:dyDescent="0.25">
      <c r="A697" s="9"/>
      <c r="B697" s="9"/>
      <c r="C697" s="9"/>
      <c r="D697" s="9"/>
      <c r="E697" s="9"/>
      <c r="F697" s="9"/>
      <c r="G697" s="9"/>
      <c r="H697" s="581"/>
      <c r="I697" s="581"/>
      <c r="J697" s="581"/>
      <c r="K697" s="581"/>
      <c r="L697" s="581"/>
      <c r="M697" s="581"/>
      <c r="N697" s="581"/>
      <c r="O697" s="581"/>
      <c r="P697" s="581"/>
      <c r="Q697" s="581"/>
      <c r="R697" s="581"/>
      <c r="S697" s="581"/>
      <c r="T697" s="581"/>
      <c r="U697" s="9"/>
      <c r="V697" s="9"/>
      <c r="W697" s="9"/>
      <c r="X697" s="9"/>
      <c r="Y697" s="9"/>
      <c r="Z697" s="9"/>
      <c r="AA697" s="9"/>
      <c r="AB697" s="9"/>
      <c r="AC697" s="9"/>
    </row>
    <row r="698" spans="1:29" ht="12.75" customHeight="1" x14ac:dyDescent="0.25">
      <c r="A698" s="9"/>
      <c r="B698" s="9"/>
      <c r="C698" s="9"/>
      <c r="D698" s="9"/>
      <c r="E698" s="9"/>
      <c r="F698" s="9"/>
      <c r="G698" s="9"/>
      <c r="H698" s="581"/>
      <c r="I698" s="581"/>
      <c r="J698" s="581"/>
      <c r="K698" s="581"/>
      <c r="L698" s="581"/>
      <c r="M698" s="581"/>
      <c r="N698" s="581"/>
      <c r="O698" s="581"/>
      <c r="P698" s="581"/>
      <c r="Q698" s="581"/>
      <c r="R698" s="581"/>
      <c r="S698" s="581"/>
      <c r="T698" s="581"/>
      <c r="U698" s="9"/>
      <c r="V698" s="9"/>
      <c r="W698" s="9"/>
      <c r="X698" s="9"/>
      <c r="Y698" s="9"/>
      <c r="Z698" s="9"/>
      <c r="AA698" s="9"/>
      <c r="AB698" s="9"/>
      <c r="AC698" s="9"/>
    </row>
    <row r="699" spans="1:29" ht="12.75" customHeight="1" x14ac:dyDescent="0.25">
      <c r="A699" s="9"/>
      <c r="B699" s="9"/>
      <c r="C699" s="9"/>
      <c r="D699" s="9"/>
      <c r="E699" s="9"/>
      <c r="F699" s="9"/>
      <c r="G699" s="9"/>
      <c r="H699" s="581"/>
      <c r="I699" s="581"/>
      <c r="J699" s="581"/>
      <c r="K699" s="581"/>
      <c r="L699" s="581"/>
      <c r="M699" s="581"/>
      <c r="N699" s="581"/>
      <c r="O699" s="581"/>
      <c r="P699" s="581"/>
      <c r="Q699" s="581"/>
      <c r="R699" s="581"/>
      <c r="S699" s="581"/>
      <c r="T699" s="581"/>
      <c r="U699" s="9"/>
      <c r="V699" s="9"/>
      <c r="W699" s="9"/>
      <c r="X699" s="9"/>
      <c r="Y699" s="9"/>
      <c r="Z699" s="9"/>
      <c r="AA699" s="9"/>
      <c r="AB699" s="9"/>
      <c r="AC699" s="9"/>
    </row>
    <row r="700" spans="1:29" ht="12.75" customHeight="1" x14ac:dyDescent="0.25">
      <c r="A700" s="9"/>
      <c r="B700" s="9"/>
      <c r="C700" s="9"/>
      <c r="D700" s="9"/>
      <c r="E700" s="9"/>
      <c r="F700" s="9"/>
      <c r="G700" s="9"/>
      <c r="H700" s="581"/>
      <c r="I700" s="581"/>
      <c r="J700" s="581"/>
      <c r="K700" s="581"/>
      <c r="L700" s="581"/>
      <c r="M700" s="581"/>
      <c r="N700" s="581"/>
      <c r="O700" s="581"/>
      <c r="P700" s="581"/>
      <c r="Q700" s="581"/>
      <c r="R700" s="581"/>
      <c r="S700" s="581"/>
      <c r="T700" s="581"/>
      <c r="U700" s="9"/>
      <c r="V700" s="9"/>
      <c r="W700" s="9"/>
      <c r="X700" s="9"/>
      <c r="Y700" s="9"/>
      <c r="Z700" s="9"/>
      <c r="AA700" s="9"/>
      <c r="AB700" s="9"/>
      <c r="AC700" s="9"/>
    </row>
    <row r="701" spans="1:29" ht="12.75" customHeight="1" x14ac:dyDescent="0.25">
      <c r="A701" s="9"/>
      <c r="B701" s="9"/>
      <c r="C701" s="9"/>
      <c r="D701" s="9"/>
      <c r="E701" s="9"/>
      <c r="F701" s="9"/>
      <c r="G701" s="9"/>
      <c r="H701" s="581"/>
      <c r="I701" s="581"/>
      <c r="J701" s="581"/>
      <c r="K701" s="581"/>
      <c r="L701" s="581"/>
      <c r="M701" s="581"/>
      <c r="N701" s="581"/>
      <c r="O701" s="581"/>
      <c r="P701" s="581"/>
      <c r="Q701" s="581"/>
      <c r="R701" s="581"/>
      <c r="S701" s="581"/>
      <c r="T701" s="581"/>
      <c r="U701" s="9"/>
      <c r="V701" s="9"/>
      <c r="W701" s="9"/>
      <c r="X701" s="9"/>
      <c r="Y701" s="9"/>
      <c r="Z701" s="9"/>
      <c r="AA701" s="9"/>
      <c r="AB701" s="9"/>
      <c r="AC701" s="9"/>
    </row>
    <row r="702" spans="1:29" ht="12.75" customHeight="1" x14ac:dyDescent="0.25">
      <c r="A702" s="9"/>
      <c r="B702" s="9"/>
      <c r="C702" s="9"/>
      <c r="D702" s="9"/>
      <c r="E702" s="9"/>
      <c r="F702" s="9"/>
      <c r="G702" s="9"/>
      <c r="H702" s="581"/>
      <c r="I702" s="581"/>
      <c r="J702" s="581"/>
      <c r="K702" s="581"/>
      <c r="L702" s="581"/>
      <c r="M702" s="581"/>
      <c r="N702" s="581"/>
      <c r="O702" s="581"/>
      <c r="P702" s="581"/>
      <c r="Q702" s="581"/>
      <c r="R702" s="581"/>
      <c r="S702" s="581"/>
      <c r="T702" s="581"/>
      <c r="U702" s="9"/>
      <c r="V702" s="9"/>
      <c r="W702" s="9"/>
      <c r="X702" s="9"/>
      <c r="Y702" s="9"/>
      <c r="Z702" s="9"/>
      <c r="AA702" s="9"/>
      <c r="AB702" s="9"/>
      <c r="AC702" s="9"/>
    </row>
    <row r="703" spans="1:29" ht="12.75" customHeight="1" x14ac:dyDescent="0.25">
      <c r="A703" s="9"/>
      <c r="B703" s="9"/>
      <c r="C703" s="9"/>
      <c r="D703" s="9"/>
      <c r="E703" s="9"/>
      <c r="F703" s="9"/>
      <c r="G703" s="9"/>
      <c r="H703" s="581"/>
      <c r="I703" s="581"/>
      <c r="J703" s="581"/>
      <c r="K703" s="581"/>
      <c r="L703" s="581"/>
      <c r="M703" s="581"/>
      <c r="N703" s="581"/>
      <c r="O703" s="581"/>
      <c r="P703" s="581"/>
      <c r="Q703" s="581"/>
      <c r="R703" s="581"/>
      <c r="S703" s="581"/>
      <c r="T703" s="581"/>
      <c r="U703" s="9"/>
      <c r="V703" s="9"/>
      <c r="W703" s="9"/>
      <c r="X703" s="9"/>
      <c r="Y703" s="9"/>
      <c r="Z703" s="9"/>
      <c r="AA703" s="9"/>
      <c r="AB703" s="9"/>
      <c r="AC703" s="9"/>
    </row>
    <row r="704" spans="1:29" ht="12.75" customHeight="1" x14ac:dyDescent="0.25">
      <c r="A704" s="9"/>
      <c r="B704" s="9"/>
      <c r="C704" s="9"/>
      <c r="D704" s="9"/>
      <c r="E704" s="9"/>
      <c r="F704" s="9"/>
      <c r="G704" s="9"/>
      <c r="H704" s="581"/>
      <c r="I704" s="581"/>
      <c r="J704" s="581"/>
      <c r="K704" s="581"/>
      <c r="L704" s="581"/>
      <c r="M704" s="581"/>
      <c r="N704" s="581"/>
      <c r="O704" s="581"/>
      <c r="P704" s="581"/>
      <c r="Q704" s="581"/>
      <c r="R704" s="581"/>
      <c r="S704" s="581"/>
      <c r="T704" s="581"/>
      <c r="U704" s="9"/>
      <c r="V704" s="9"/>
      <c r="W704" s="9"/>
      <c r="X704" s="9"/>
      <c r="Y704" s="9"/>
      <c r="Z704" s="9"/>
      <c r="AA704" s="9"/>
      <c r="AB704" s="9"/>
      <c r="AC704" s="9"/>
    </row>
    <row r="705" spans="1:29" ht="12.75" customHeight="1" x14ac:dyDescent="0.25">
      <c r="A705" s="9"/>
      <c r="B705" s="9"/>
      <c r="C705" s="9"/>
      <c r="D705" s="9"/>
      <c r="E705" s="9"/>
      <c r="F705" s="9"/>
      <c r="G705" s="9"/>
      <c r="H705" s="581"/>
      <c r="I705" s="581"/>
      <c r="J705" s="581"/>
      <c r="K705" s="581"/>
      <c r="L705" s="581"/>
      <c r="M705" s="581"/>
      <c r="N705" s="581"/>
      <c r="O705" s="581"/>
      <c r="P705" s="581"/>
      <c r="Q705" s="581"/>
      <c r="R705" s="581"/>
      <c r="S705" s="581"/>
      <c r="T705" s="581"/>
      <c r="U705" s="9"/>
      <c r="V705" s="9"/>
      <c r="W705" s="9"/>
      <c r="X705" s="9"/>
      <c r="Y705" s="9"/>
      <c r="Z705" s="9"/>
      <c r="AA705" s="9"/>
      <c r="AB705" s="9"/>
      <c r="AC705" s="9"/>
    </row>
    <row r="706" spans="1:29" ht="12.75" customHeight="1" x14ac:dyDescent="0.25">
      <c r="A706" s="9"/>
      <c r="B706" s="9"/>
      <c r="C706" s="9"/>
      <c r="D706" s="9"/>
      <c r="E706" s="9"/>
      <c r="F706" s="9"/>
      <c r="G706" s="9"/>
      <c r="H706" s="581"/>
      <c r="I706" s="581"/>
      <c r="J706" s="581"/>
      <c r="K706" s="581"/>
      <c r="L706" s="581"/>
      <c r="M706" s="581"/>
      <c r="N706" s="581"/>
      <c r="O706" s="581"/>
      <c r="P706" s="581"/>
      <c r="Q706" s="581"/>
      <c r="R706" s="581"/>
      <c r="S706" s="581"/>
      <c r="T706" s="581"/>
      <c r="U706" s="9"/>
      <c r="V706" s="9"/>
      <c r="W706" s="9"/>
      <c r="X706" s="9"/>
      <c r="Y706" s="9"/>
      <c r="Z706" s="9"/>
      <c r="AA706" s="9"/>
      <c r="AB706" s="9"/>
      <c r="AC706" s="9"/>
    </row>
    <row r="707" spans="1:29" ht="12.75" customHeight="1" x14ac:dyDescent="0.25">
      <c r="A707" s="9"/>
      <c r="B707" s="9"/>
      <c r="C707" s="9"/>
      <c r="D707" s="9"/>
      <c r="E707" s="9"/>
      <c r="F707" s="9"/>
      <c r="G707" s="9"/>
      <c r="H707" s="581"/>
      <c r="I707" s="581"/>
      <c r="J707" s="581"/>
      <c r="K707" s="581"/>
      <c r="L707" s="581"/>
      <c r="M707" s="581"/>
      <c r="N707" s="581"/>
      <c r="O707" s="581"/>
      <c r="P707" s="581"/>
      <c r="Q707" s="581"/>
      <c r="R707" s="581"/>
      <c r="S707" s="581"/>
      <c r="T707" s="581"/>
      <c r="U707" s="9"/>
      <c r="V707" s="9"/>
      <c r="W707" s="9"/>
      <c r="X707" s="9"/>
      <c r="Y707" s="9"/>
      <c r="Z707" s="9"/>
      <c r="AA707" s="9"/>
      <c r="AB707" s="9"/>
      <c r="AC707" s="9"/>
    </row>
    <row r="708" spans="1:29" ht="12.75" customHeight="1" x14ac:dyDescent="0.25">
      <c r="A708" s="9"/>
      <c r="B708" s="9"/>
      <c r="C708" s="9"/>
      <c r="D708" s="9"/>
      <c r="E708" s="9"/>
      <c r="F708" s="9"/>
      <c r="G708" s="9"/>
      <c r="H708" s="581"/>
      <c r="I708" s="581"/>
      <c r="J708" s="581"/>
      <c r="K708" s="581"/>
      <c r="L708" s="581"/>
      <c r="M708" s="581"/>
      <c r="N708" s="581"/>
      <c r="O708" s="581"/>
      <c r="P708" s="581"/>
      <c r="Q708" s="581"/>
      <c r="R708" s="581"/>
      <c r="S708" s="581"/>
      <c r="T708" s="581"/>
      <c r="U708" s="9"/>
      <c r="V708" s="9"/>
      <c r="W708" s="9"/>
      <c r="X708" s="9"/>
      <c r="Y708" s="9"/>
      <c r="Z708" s="9"/>
      <c r="AA708" s="9"/>
      <c r="AB708" s="9"/>
      <c r="AC708" s="9"/>
    </row>
    <row r="709" spans="1:29" ht="12.75" customHeight="1" x14ac:dyDescent="0.25">
      <c r="A709" s="9"/>
      <c r="B709" s="9"/>
      <c r="C709" s="9"/>
      <c r="D709" s="9"/>
      <c r="E709" s="9"/>
      <c r="F709" s="9"/>
      <c r="G709" s="9"/>
      <c r="H709" s="581"/>
      <c r="I709" s="581"/>
      <c r="J709" s="581"/>
      <c r="K709" s="581"/>
      <c r="L709" s="581"/>
      <c r="M709" s="581"/>
      <c r="N709" s="581"/>
      <c r="O709" s="581"/>
      <c r="P709" s="581"/>
      <c r="Q709" s="581"/>
      <c r="R709" s="581"/>
      <c r="S709" s="581"/>
      <c r="T709" s="581"/>
      <c r="U709" s="9"/>
      <c r="V709" s="9"/>
      <c r="W709" s="9"/>
      <c r="X709" s="9"/>
      <c r="Y709" s="9"/>
      <c r="Z709" s="9"/>
      <c r="AA709" s="9"/>
      <c r="AB709" s="9"/>
      <c r="AC709" s="9"/>
    </row>
    <row r="710" spans="1:29" ht="12.75" customHeight="1" x14ac:dyDescent="0.25">
      <c r="A710" s="9"/>
      <c r="B710" s="9"/>
      <c r="C710" s="9"/>
      <c r="D710" s="9"/>
      <c r="E710" s="9"/>
      <c r="F710" s="9"/>
      <c r="G710" s="9"/>
      <c r="H710" s="581"/>
      <c r="I710" s="581"/>
      <c r="J710" s="581"/>
      <c r="K710" s="581"/>
      <c r="L710" s="581"/>
      <c r="M710" s="581"/>
      <c r="N710" s="581"/>
      <c r="O710" s="581"/>
      <c r="P710" s="581"/>
      <c r="Q710" s="581"/>
      <c r="R710" s="581"/>
      <c r="S710" s="581"/>
      <c r="T710" s="581"/>
      <c r="U710" s="9"/>
      <c r="V710" s="9"/>
      <c r="W710" s="9"/>
      <c r="X710" s="9"/>
      <c r="Y710" s="9"/>
      <c r="Z710" s="9"/>
      <c r="AA710" s="9"/>
      <c r="AB710" s="9"/>
      <c r="AC710" s="9"/>
    </row>
    <row r="711" spans="1:29" ht="12.75" customHeight="1" x14ac:dyDescent="0.25">
      <c r="A711" s="9"/>
      <c r="B711" s="9"/>
      <c r="C711" s="9"/>
      <c r="D711" s="9"/>
      <c r="E711" s="9"/>
      <c r="F711" s="9"/>
      <c r="G711" s="9"/>
      <c r="H711" s="581"/>
      <c r="I711" s="581"/>
      <c r="J711" s="581"/>
      <c r="K711" s="581"/>
      <c r="L711" s="581"/>
      <c r="M711" s="581"/>
      <c r="N711" s="581"/>
      <c r="O711" s="581"/>
      <c r="P711" s="581"/>
      <c r="Q711" s="581"/>
      <c r="R711" s="581"/>
      <c r="S711" s="581"/>
      <c r="T711" s="581"/>
      <c r="U711" s="9"/>
      <c r="V711" s="9"/>
      <c r="W711" s="9"/>
      <c r="X711" s="9"/>
      <c r="Y711" s="9"/>
      <c r="Z711" s="9"/>
      <c r="AA711" s="9"/>
      <c r="AB711" s="9"/>
      <c r="AC711" s="9"/>
    </row>
    <row r="712" spans="1:29" ht="12.75" customHeight="1" x14ac:dyDescent="0.25">
      <c r="A712" s="9"/>
      <c r="B712" s="9"/>
      <c r="C712" s="9"/>
      <c r="D712" s="9"/>
      <c r="E712" s="9"/>
      <c r="F712" s="9"/>
      <c r="G712" s="9"/>
      <c r="H712" s="581"/>
      <c r="I712" s="581"/>
      <c r="J712" s="581"/>
      <c r="K712" s="581"/>
      <c r="L712" s="581"/>
      <c r="M712" s="581"/>
      <c r="N712" s="581"/>
      <c r="O712" s="581"/>
      <c r="P712" s="581"/>
      <c r="Q712" s="581"/>
      <c r="R712" s="581"/>
      <c r="S712" s="581"/>
      <c r="T712" s="581"/>
      <c r="U712" s="9"/>
      <c r="V712" s="9"/>
      <c r="W712" s="9"/>
      <c r="X712" s="9"/>
      <c r="Y712" s="9"/>
      <c r="Z712" s="9"/>
      <c r="AA712" s="9"/>
      <c r="AB712" s="9"/>
      <c r="AC712" s="9"/>
    </row>
    <row r="713" spans="1:29" ht="12.75" customHeight="1" x14ac:dyDescent="0.25">
      <c r="A713" s="9"/>
      <c r="B713" s="9"/>
      <c r="C713" s="9"/>
      <c r="D713" s="9"/>
      <c r="E713" s="9"/>
      <c r="F713" s="9"/>
      <c r="G713" s="9"/>
      <c r="H713" s="581"/>
      <c r="I713" s="581"/>
      <c r="J713" s="581"/>
      <c r="K713" s="581"/>
      <c r="L713" s="581"/>
      <c r="M713" s="581"/>
      <c r="N713" s="581"/>
      <c r="O713" s="581"/>
      <c r="P713" s="581"/>
      <c r="Q713" s="581"/>
      <c r="R713" s="581"/>
      <c r="S713" s="581"/>
      <c r="T713" s="581"/>
      <c r="U713" s="9"/>
      <c r="V713" s="9"/>
      <c r="W713" s="9"/>
      <c r="X713" s="9"/>
      <c r="Y713" s="9"/>
      <c r="Z713" s="9"/>
      <c r="AA713" s="9"/>
      <c r="AB713" s="9"/>
      <c r="AC713" s="9"/>
    </row>
    <row r="714" spans="1:29" ht="12.75" customHeight="1" x14ac:dyDescent="0.25">
      <c r="A714" s="9"/>
      <c r="B714" s="9"/>
      <c r="C714" s="9"/>
      <c r="D714" s="9"/>
      <c r="E714" s="9"/>
      <c r="F714" s="9"/>
      <c r="G714" s="9"/>
      <c r="H714" s="581"/>
      <c r="I714" s="581"/>
      <c r="J714" s="581"/>
      <c r="K714" s="581"/>
      <c r="L714" s="581"/>
      <c r="M714" s="581"/>
      <c r="N714" s="581"/>
      <c r="O714" s="581"/>
      <c r="P714" s="581"/>
      <c r="Q714" s="581"/>
      <c r="R714" s="581"/>
      <c r="S714" s="581"/>
      <c r="T714" s="581"/>
      <c r="U714" s="9"/>
      <c r="V714" s="9"/>
      <c r="W714" s="9"/>
      <c r="X714" s="9"/>
      <c r="Y714" s="9"/>
      <c r="Z714" s="9"/>
      <c r="AA714" s="9"/>
      <c r="AB714" s="9"/>
      <c r="AC714" s="9"/>
    </row>
    <row r="715" spans="1:29" ht="12.75" customHeight="1" x14ac:dyDescent="0.25">
      <c r="A715" s="9"/>
      <c r="B715" s="9"/>
      <c r="C715" s="9"/>
      <c r="D715" s="9"/>
      <c r="E715" s="9"/>
      <c r="F715" s="9"/>
      <c r="G715" s="9"/>
      <c r="H715" s="581"/>
      <c r="I715" s="581"/>
      <c r="J715" s="581"/>
      <c r="K715" s="581"/>
      <c r="L715" s="581"/>
      <c r="M715" s="581"/>
      <c r="N715" s="581"/>
      <c r="O715" s="581"/>
      <c r="P715" s="581"/>
      <c r="Q715" s="581"/>
      <c r="R715" s="581"/>
      <c r="S715" s="581"/>
      <c r="T715" s="581"/>
      <c r="U715" s="9"/>
      <c r="V715" s="9"/>
      <c r="W715" s="9"/>
      <c r="X715" s="9"/>
      <c r="Y715" s="9"/>
      <c r="Z715" s="9"/>
      <c r="AA715" s="9"/>
      <c r="AB715" s="9"/>
      <c r="AC715" s="9"/>
    </row>
    <row r="716" spans="1:29" ht="12.75" customHeight="1" x14ac:dyDescent="0.25">
      <c r="A716" s="9"/>
      <c r="B716" s="9"/>
      <c r="C716" s="9"/>
      <c r="D716" s="9"/>
      <c r="E716" s="9"/>
      <c r="F716" s="9"/>
      <c r="G716" s="9"/>
      <c r="H716" s="581"/>
      <c r="I716" s="581"/>
      <c r="J716" s="581"/>
      <c r="K716" s="581"/>
      <c r="L716" s="581"/>
      <c r="M716" s="581"/>
      <c r="N716" s="581"/>
      <c r="O716" s="581"/>
      <c r="P716" s="581"/>
      <c r="Q716" s="581"/>
      <c r="R716" s="581"/>
      <c r="S716" s="581"/>
      <c r="T716" s="581"/>
      <c r="U716" s="9"/>
      <c r="V716" s="9"/>
      <c r="W716" s="9"/>
      <c r="X716" s="9"/>
      <c r="Y716" s="9"/>
      <c r="Z716" s="9"/>
      <c r="AA716" s="9"/>
      <c r="AB716" s="9"/>
      <c r="AC716" s="9"/>
    </row>
    <row r="717" spans="1:29" ht="12.75" customHeight="1" x14ac:dyDescent="0.25">
      <c r="A717" s="9"/>
      <c r="B717" s="9"/>
      <c r="C717" s="9"/>
      <c r="D717" s="9"/>
      <c r="E717" s="9"/>
      <c r="F717" s="9"/>
      <c r="G717" s="9"/>
      <c r="H717" s="581"/>
      <c r="I717" s="581"/>
      <c r="J717" s="581"/>
      <c r="K717" s="581"/>
      <c r="L717" s="581"/>
      <c r="M717" s="581"/>
      <c r="N717" s="581"/>
      <c r="O717" s="581"/>
      <c r="P717" s="581"/>
      <c r="Q717" s="581"/>
      <c r="R717" s="581"/>
      <c r="S717" s="581"/>
      <c r="T717" s="581"/>
      <c r="U717" s="9"/>
      <c r="V717" s="9"/>
      <c r="W717" s="9"/>
      <c r="X717" s="9"/>
      <c r="Y717" s="9"/>
      <c r="Z717" s="9"/>
      <c r="AA717" s="9"/>
      <c r="AB717" s="9"/>
      <c r="AC717" s="9"/>
    </row>
    <row r="718" spans="1:29" ht="12.75" customHeight="1" x14ac:dyDescent="0.25">
      <c r="A718" s="9"/>
      <c r="B718" s="9"/>
      <c r="C718" s="9"/>
      <c r="D718" s="9"/>
      <c r="E718" s="9"/>
      <c r="F718" s="9"/>
      <c r="G718" s="9"/>
      <c r="H718" s="581"/>
      <c r="I718" s="581"/>
      <c r="J718" s="581"/>
      <c r="K718" s="581"/>
      <c r="L718" s="581"/>
      <c r="M718" s="581"/>
      <c r="N718" s="581"/>
      <c r="O718" s="581"/>
      <c r="P718" s="581"/>
      <c r="Q718" s="581"/>
      <c r="R718" s="581"/>
      <c r="S718" s="581"/>
      <c r="T718" s="581"/>
      <c r="U718" s="9"/>
      <c r="V718" s="9"/>
      <c r="W718" s="9"/>
      <c r="X718" s="9"/>
      <c r="Y718" s="9"/>
      <c r="Z718" s="9"/>
      <c r="AA718" s="9"/>
      <c r="AB718" s="9"/>
      <c r="AC718" s="9"/>
    </row>
    <row r="719" spans="1:29" ht="12.75" customHeight="1" x14ac:dyDescent="0.25">
      <c r="A719" s="9"/>
      <c r="B719" s="9"/>
      <c r="C719" s="9"/>
      <c r="D719" s="9"/>
      <c r="E719" s="9"/>
      <c r="F719" s="9"/>
      <c r="G719" s="9"/>
      <c r="H719" s="581"/>
      <c r="I719" s="581"/>
      <c r="J719" s="581"/>
      <c r="K719" s="581"/>
      <c r="L719" s="581"/>
      <c r="M719" s="581"/>
      <c r="N719" s="581"/>
      <c r="O719" s="581"/>
      <c r="P719" s="581"/>
      <c r="Q719" s="581"/>
      <c r="R719" s="581"/>
      <c r="S719" s="581"/>
      <c r="T719" s="581"/>
      <c r="U719" s="9"/>
      <c r="V719" s="9"/>
      <c r="W719" s="9"/>
      <c r="X719" s="9"/>
      <c r="Y719" s="9"/>
      <c r="Z719" s="9"/>
      <c r="AA719" s="9"/>
      <c r="AB719" s="9"/>
      <c r="AC719" s="9"/>
    </row>
    <row r="720" spans="1:29" ht="12.75" customHeight="1" x14ac:dyDescent="0.25">
      <c r="A720" s="9"/>
      <c r="B720" s="9"/>
      <c r="C720" s="9"/>
      <c r="D720" s="9"/>
      <c r="E720" s="9"/>
      <c r="F720" s="9"/>
      <c r="G720" s="9"/>
      <c r="H720" s="581"/>
      <c r="I720" s="581"/>
      <c r="J720" s="581"/>
      <c r="K720" s="581"/>
      <c r="L720" s="581"/>
      <c r="M720" s="581"/>
      <c r="N720" s="581"/>
      <c r="O720" s="581"/>
      <c r="P720" s="581"/>
      <c r="Q720" s="581"/>
      <c r="R720" s="581"/>
      <c r="S720" s="581"/>
      <c r="T720" s="581"/>
      <c r="U720" s="9"/>
      <c r="V720" s="9"/>
      <c r="W720" s="9"/>
      <c r="X720" s="9"/>
      <c r="Y720" s="9"/>
      <c r="Z720" s="9"/>
      <c r="AA720" s="9"/>
      <c r="AB720" s="9"/>
      <c r="AC720" s="9"/>
    </row>
    <row r="721" spans="1:29" ht="12.75" customHeight="1" x14ac:dyDescent="0.25">
      <c r="A721" s="9"/>
      <c r="B721" s="9"/>
      <c r="C721" s="9"/>
      <c r="D721" s="9"/>
      <c r="E721" s="9"/>
      <c r="F721" s="9"/>
      <c r="G721" s="9"/>
      <c r="H721" s="581"/>
      <c r="I721" s="581"/>
      <c r="J721" s="581"/>
      <c r="K721" s="581"/>
      <c r="L721" s="581"/>
      <c r="M721" s="581"/>
      <c r="N721" s="581"/>
      <c r="O721" s="581"/>
      <c r="P721" s="581"/>
      <c r="Q721" s="581"/>
      <c r="R721" s="581"/>
      <c r="S721" s="581"/>
      <c r="T721" s="581"/>
      <c r="U721" s="9"/>
      <c r="V721" s="9"/>
      <c r="W721" s="9"/>
      <c r="X721" s="9"/>
      <c r="Y721" s="9"/>
      <c r="Z721" s="9"/>
      <c r="AA721" s="9"/>
      <c r="AB721" s="9"/>
      <c r="AC721" s="9"/>
    </row>
    <row r="722" spans="1:29" ht="12.75" customHeight="1" x14ac:dyDescent="0.25">
      <c r="A722" s="9"/>
      <c r="B722" s="9"/>
      <c r="C722" s="9"/>
      <c r="D722" s="9"/>
      <c r="E722" s="9"/>
      <c r="F722" s="9"/>
      <c r="G722" s="9"/>
      <c r="H722" s="581"/>
      <c r="I722" s="581"/>
      <c r="J722" s="581"/>
      <c r="K722" s="581"/>
      <c r="L722" s="581"/>
      <c r="M722" s="581"/>
      <c r="N722" s="581"/>
      <c r="O722" s="581"/>
      <c r="P722" s="581"/>
      <c r="Q722" s="581"/>
      <c r="R722" s="581"/>
      <c r="S722" s="581"/>
      <c r="T722" s="581"/>
      <c r="U722" s="9"/>
      <c r="V722" s="9"/>
      <c r="W722" s="9"/>
      <c r="X722" s="9"/>
      <c r="Y722" s="9"/>
      <c r="Z722" s="9"/>
      <c r="AA722" s="9"/>
      <c r="AB722" s="9"/>
      <c r="AC722" s="9"/>
    </row>
    <row r="723" spans="1:29" ht="12.75" customHeight="1" x14ac:dyDescent="0.25">
      <c r="A723" s="9"/>
      <c r="B723" s="9"/>
      <c r="C723" s="9"/>
      <c r="D723" s="9"/>
      <c r="E723" s="9"/>
      <c r="F723" s="9"/>
      <c r="G723" s="9"/>
      <c r="H723" s="581"/>
      <c r="I723" s="581"/>
      <c r="J723" s="581"/>
      <c r="K723" s="581"/>
      <c r="L723" s="581"/>
      <c r="M723" s="581"/>
      <c r="N723" s="581"/>
      <c r="O723" s="581"/>
      <c r="P723" s="581"/>
      <c r="Q723" s="581"/>
      <c r="R723" s="581"/>
      <c r="S723" s="581"/>
      <c r="T723" s="581"/>
      <c r="U723" s="9"/>
      <c r="V723" s="9"/>
      <c r="W723" s="9"/>
      <c r="X723" s="9"/>
      <c r="Y723" s="9"/>
      <c r="Z723" s="9"/>
      <c r="AA723" s="9"/>
      <c r="AB723" s="9"/>
      <c r="AC723" s="9"/>
    </row>
    <row r="724" spans="1:29" ht="12.75" customHeight="1" x14ac:dyDescent="0.25">
      <c r="A724" s="9"/>
      <c r="B724" s="9"/>
      <c r="C724" s="9"/>
      <c r="D724" s="9"/>
      <c r="E724" s="9"/>
      <c r="F724" s="9"/>
      <c r="G724" s="9"/>
      <c r="H724" s="581"/>
      <c r="I724" s="581"/>
      <c r="J724" s="581"/>
      <c r="K724" s="581"/>
      <c r="L724" s="581"/>
      <c r="M724" s="581"/>
      <c r="N724" s="581"/>
      <c r="O724" s="581"/>
      <c r="P724" s="581"/>
      <c r="Q724" s="581"/>
      <c r="R724" s="581"/>
      <c r="S724" s="581"/>
      <c r="T724" s="581"/>
      <c r="U724" s="9"/>
      <c r="V724" s="9"/>
      <c r="W724" s="9"/>
      <c r="X724" s="9"/>
      <c r="Y724" s="9"/>
      <c r="Z724" s="9"/>
      <c r="AA724" s="9"/>
      <c r="AB724" s="9"/>
      <c r="AC724" s="9"/>
    </row>
    <row r="725" spans="1:29" ht="12.75" customHeight="1" x14ac:dyDescent="0.25">
      <c r="A725" s="9"/>
      <c r="B725" s="9"/>
      <c r="C725" s="9"/>
      <c r="D725" s="9"/>
      <c r="E725" s="9"/>
      <c r="F725" s="9"/>
      <c r="G725" s="9"/>
      <c r="H725" s="581"/>
      <c r="I725" s="581"/>
      <c r="J725" s="581"/>
      <c r="K725" s="581"/>
      <c r="L725" s="581"/>
      <c r="M725" s="581"/>
      <c r="N725" s="581"/>
      <c r="O725" s="581"/>
      <c r="P725" s="581"/>
      <c r="Q725" s="581"/>
      <c r="R725" s="581"/>
      <c r="S725" s="581"/>
      <c r="T725" s="581"/>
      <c r="U725" s="9"/>
      <c r="V725" s="9"/>
      <c r="W725" s="9"/>
      <c r="X725" s="9"/>
      <c r="Y725" s="9"/>
      <c r="Z725" s="9"/>
      <c r="AA725" s="9"/>
      <c r="AB725" s="9"/>
      <c r="AC725" s="9"/>
    </row>
    <row r="726" spans="1:29" ht="12.75" customHeight="1" x14ac:dyDescent="0.25">
      <c r="A726" s="9"/>
      <c r="B726" s="9"/>
      <c r="C726" s="9"/>
      <c r="D726" s="9"/>
      <c r="E726" s="9"/>
      <c r="F726" s="9"/>
      <c r="G726" s="9"/>
      <c r="H726" s="581"/>
      <c r="I726" s="581"/>
      <c r="J726" s="581"/>
      <c r="K726" s="581"/>
      <c r="L726" s="581"/>
      <c r="M726" s="581"/>
      <c r="N726" s="581"/>
      <c r="O726" s="581"/>
      <c r="P726" s="581"/>
      <c r="Q726" s="581"/>
      <c r="R726" s="581"/>
      <c r="S726" s="581"/>
      <c r="T726" s="581"/>
      <c r="U726" s="9"/>
      <c r="V726" s="9"/>
      <c r="W726" s="9"/>
      <c r="X726" s="9"/>
      <c r="Y726" s="9"/>
      <c r="Z726" s="9"/>
      <c r="AA726" s="9"/>
      <c r="AB726" s="9"/>
      <c r="AC726" s="9"/>
    </row>
    <row r="727" spans="1:29" ht="12.75" customHeight="1" x14ac:dyDescent="0.25">
      <c r="A727" s="9"/>
      <c r="B727" s="9"/>
      <c r="C727" s="9"/>
      <c r="D727" s="9"/>
      <c r="E727" s="9"/>
      <c r="F727" s="9"/>
      <c r="G727" s="9"/>
      <c r="H727" s="581"/>
      <c r="I727" s="581"/>
      <c r="J727" s="581"/>
      <c r="K727" s="581"/>
      <c r="L727" s="581"/>
      <c r="M727" s="581"/>
      <c r="N727" s="581"/>
      <c r="O727" s="581"/>
      <c r="P727" s="581"/>
      <c r="Q727" s="581"/>
      <c r="R727" s="581"/>
      <c r="S727" s="581"/>
      <c r="T727" s="581"/>
      <c r="U727" s="9"/>
      <c r="V727" s="9"/>
      <c r="W727" s="9"/>
      <c r="X727" s="9"/>
      <c r="Y727" s="9"/>
      <c r="Z727" s="9"/>
      <c r="AA727" s="9"/>
      <c r="AB727" s="9"/>
      <c r="AC727" s="9"/>
    </row>
    <row r="728" spans="1:29" ht="12.75" customHeight="1" x14ac:dyDescent="0.25">
      <c r="A728" s="9"/>
      <c r="B728" s="9"/>
      <c r="C728" s="9"/>
      <c r="D728" s="9"/>
      <c r="E728" s="9"/>
      <c r="F728" s="9"/>
      <c r="G728" s="9"/>
      <c r="H728" s="581"/>
      <c r="I728" s="581"/>
      <c r="J728" s="581"/>
      <c r="K728" s="581"/>
      <c r="L728" s="581"/>
      <c r="M728" s="581"/>
      <c r="N728" s="581"/>
      <c r="O728" s="581"/>
      <c r="P728" s="581"/>
      <c r="Q728" s="581"/>
      <c r="R728" s="581"/>
      <c r="S728" s="581"/>
      <c r="T728" s="581"/>
      <c r="U728" s="9"/>
      <c r="V728" s="9"/>
      <c r="W728" s="9"/>
      <c r="X728" s="9"/>
      <c r="Y728" s="9"/>
      <c r="Z728" s="9"/>
      <c r="AA728" s="9"/>
      <c r="AB728" s="9"/>
      <c r="AC728" s="9"/>
    </row>
    <row r="729" spans="1:29" ht="12.75" customHeight="1" x14ac:dyDescent="0.25">
      <c r="A729" s="9"/>
      <c r="B729" s="9"/>
      <c r="C729" s="9"/>
      <c r="D729" s="9"/>
      <c r="E729" s="9"/>
      <c r="F729" s="9"/>
      <c r="G729" s="9"/>
      <c r="H729" s="581"/>
      <c r="I729" s="581"/>
      <c r="J729" s="581"/>
      <c r="K729" s="581"/>
      <c r="L729" s="581"/>
      <c r="M729" s="581"/>
      <c r="N729" s="581"/>
      <c r="O729" s="581"/>
      <c r="P729" s="581"/>
      <c r="Q729" s="581"/>
      <c r="R729" s="581"/>
      <c r="S729" s="581"/>
      <c r="T729" s="581"/>
      <c r="U729" s="9"/>
      <c r="V729" s="9"/>
      <c r="W729" s="9"/>
      <c r="X729" s="9"/>
      <c r="Y729" s="9"/>
      <c r="Z729" s="9"/>
      <c r="AA729" s="9"/>
      <c r="AB729" s="9"/>
      <c r="AC729" s="9"/>
    </row>
    <row r="730" spans="1:29" ht="12.75" customHeight="1" x14ac:dyDescent="0.25">
      <c r="A730" s="9"/>
      <c r="B730" s="9"/>
      <c r="C730" s="9"/>
      <c r="D730" s="9"/>
      <c r="E730" s="9"/>
      <c r="F730" s="9"/>
      <c r="G730" s="9"/>
      <c r="H730" s="581"/>
      <c r="I730" s="581"/>
      <c r="J730" s="581"/>
      <c r="K730" s="581"/>
      <c r="L730" s="581"/>
      <c r="M730" s="581"/>
      <c r="N730" s="581"/>
      <c r="O730" s="581"/>
      <c r="P730" s="581"/>
      <c r="Q730" s="581"/>
      <c r="R730" s="581"/>
      <c r="S730" s="581"/>
      <c r="T730" s="581"/>
      <c r="U730" s="9"/>
      <c r="V730" s="9"/>
      <c r="W730" s="9"/>
      <c r="X730" s="9"/>
      <c r="Y730" s="9"/>
      <c r="Z730" s="9"/>
      <c r="AA730" s="9"/>
      <c r="AB730" s="9"/>
      <c r="AC730" s="9"/>
    </row>
    <row r="731" spans="1:29" ht="12.75" customHeight="1" x14ac:dyDescent="0.25">
      <c r="A731" s="9"/>
      <c r="B731" s="9"/>
      <c r="C731" s="9"/>
      <c r="D731" s="9"/>
      <c r="E731" s="9"/>
      <c r="F731" s="9"/>
      <c r="G731" s="9"/>
      <c r="H731" s="581"/>
      <c r="I731" s="581"/>
      <c r="J731" s="581"/>
      <c r="K731" s="581"/>
      <c r="L731" s="581"/>
      <c r="M731" s="581"/>
      <c r="N731" s="581"/>
      <c r="O731" s="581"/>
      <c r="P731" s="581"/>
      <c r="Q731" s="581"/>
      <c r="R731" s="581"/>
      <c r="S731" s="581"/>
      <c r="T731" s="581"/>
      <c r="U731" s="9"/>
      <c r="V731" s="9"/>
      <c r="W731" s="9"/>
      <c r="X731" s="9"/>
      <c r="Y731" s="9"/>
      <c r="Z731" s="9"/>
      <c r="AA731" s="9"/>
      <c r="AB731" s="9"/>
      <c r="AC731" s="9"/>
    </row>
    <row r="732" spans="1:29" ht="12.75" customHeight="1" x14ac:dyDescent="0.25">
      <c r="A732" s="9"/>
      <c r="B732" s="9"/>
      <c r="C732" s="9"/>
      <c r="D732" s="9"/>
      <c r="E732" s="9"/>
      <c r="F732" s="9"/>
      <c r="G732" s="9"/>
      <c r="H732" s="581"/>
      <c r="I732" s="581"/>
      <c r="J732" s="581"/>
      <c r="K732" s="581"/>
      <c r="L732" s="581"/>
      <c r="M732" s="581"/>
      <c r="N732" s="581"/>
      <c r="O732" s="581"/>
      <c r="P732" s="581"/>
      <c r="Q732" s="581"/>
      <c r="R732" s="581"/>
      <c r="S732" s="581"/>
      <c r="T732" s="581"/>
      <c r="U732" s="9"/>
      <c r="V732" s="9"/>
      <c r="W732" s="9"/>
      <c r="X732" s="9"/>
      <c r="Y732" s="9"/>
      <c r="Z732" s="9"/>
      <c r="AA732" s="9"/>
      <c r="AB732" s="9"/>
      <c r="AC732" s="9"/>
    </row>
    <row r="733" spans="1:29" ht="12.75" customHeight="1" x14ac:dyDescent="0.25">
      <c r="A733" s="9"/>
      <c r="B733" s="9"/>
      <c r="C733" s="9"/>
      <c r="D733" s="9"/>
      <c r="E733" s="9"/>
      <c r="F733" s="9"/>
      <c r="G733" s="9"/>
      <c r="H733" s="581"/>
      <c r="I733" s="581"/>
      <c r="J733" s="581"/>
      <c r="K733" s="581"/>
      <c r="L733" s="581"/>
      <c r="M733" s="581"/>
      <c r="N733" s="581"/>
      <c r="O733" s="581"/>
      <c r="P733" s="581"/>
      <c r="Q733" s="581"/>
      <c r="R733" s="581"/>
      <c r="S733" s="581"/>
      <c r="T733" s="581"/>
      <c r="U733" s="9"/>
      <c r="V733" s="9"/>
      <c r="W733" s="9"/>
      <c r="X733" s="9"/>
      <c r="Y733" s="9"/>
      <c r="Z733" s="9"/>
      <c r="AA733" s="9"/>
      <c r="AB733" s="9"/>
      <c r="AC733" s="9"/>
    </row>
    <row r="734" spans="1:29" ht="12.75" customHeight="1" x14ac:dyDescent="0.25">
      <c r="A734" s="9"/>
      <c r="B734" s="9"/>
      <c r="C734" s="9"/>
      <c r="D734" s="9"/>
      <c r="E734" s="9"/>
      <c r="F734" s="9"/>
      <c r="G734" s="9"/>
      <c r="H734" s="581"/>
      <c r="I734" s="581"/>
      <c r="J734" s="581"/>
      <c r="K734" s="581"/>
      <c r="L734" s="581"/>
      <c r="M734" s="581"/>
      <c r="N734" s="581"/>
      <c r="O734" s="581"/>
      <c r="P734" s="581"/>
      <c r="Q734" s="581"/>
      <c r="R734" s="581"/>
      <c r="S734" s="581"/>
      <c r="T734" s="581"/>
      <c r="U734" s="9"/>
      <c r="V734" s="9"/>
      <c r="W734" s="9"/>
      <c r="X734" s="9"/>
      <c r="Y734" s="9"/>
      <c r="Z734" s="9"/>
      <c r="AA734" s="9"/>
      <c r="AB734" s="9"/>
      <c r="AC734" s="9"/>
    </row>
    <row r="735" spans="1:29" ht="12.75" customHeight="1" x14ac:dyDescent="0.25">
      <c r="A735" s="9"/>
      <c r="B735" s="9"/>
      <c r="C735" s="9"/>
      <c r="D735" s="9"/>
      <c r="E735" s="9"/>
      <c r="F735" s="9"/>
      <c r="G735" s="9"/>
      <c r="H735" s="581"/>
      <c r="I735" s="581"/>
      <c r="J735" s="581"/>
      <c r="K735" s="581"/>
      <c r="L735" s="581"/>
      <c r="M735" s="581"/>
      <c r="N735" s="581"/>
      <c r="O735" s="581"/>
      <c r="P735" s="581"/>
      <c r="Q735" s="581"/>
      <c r="R735" s="581"/>
      <c r="S735" s="581"/>
      <c r="T735" s="581"/>
      <c r="U735" s="9"/>
      <c r="V735" s="9"/>
      <c r="W735" s="9"/>
      <c r="X735" s="9"/>
      <c r="Y735" s="9"/>
      <c r="Z735" s="9"/>
      <c r="AA735" s="9"/>
      <c r="AB735" s="9"/>
      <c r="AC735" s="9"/>
    </row>
    <row r="736" spans="1:29" ht="12.75" customHeight="1" x14ac:dyDescent="0.25">
      <c r="A736" s="9"/>
      <c r="B736" s="9"/>
      <c r="C736" s="9"/>
      <c r="D736" s="9"/>
      <c r="E736" s="9"/>
      <c r="F736" s="9"/>
      <c r="G736" s="9"/>
      <c r="H736" s="581"/>
      <c r="I736" s="581"/>
      <c r="J736" s="581"/>
      <c r="K736" s="581"/>
      <c r="L736" s="581"/>
      <c r="M736" s="581"/>
      <c r="N736" s="581"/>
      <c r="O736" s="581"/>
      <c r="P736" s="581"/>
      <c r="Q736" s="581"/>
      <c r="R736" s="581"/>
      <c r="S736" s="581"/>
      <c r="T736" s="581"/>
      <c r="U736" s="9"/>
      <c r="V736" s="9"/>
      <c r="W736" s="9"/>
      <c r="X736" s="9"/>
      <c r="Y736" s="9"/>
      <c r="Z736" s="9"/>
      <c r="AA736" s="9"/>
      <c r="AB736" s="9"/>
      <c r="AC736" s="9"/>
    </row>
    <row r="737" spans="1:29" ht="12.75" customHeight="1" x14ac:dyDescent="0.25">
      <c r="A737" s="9"/>
      <c r="B737" s="9"/>
      <c r="C737" s="9"/>
      <c r="D737" s="9"/>
      <c r="E737" s="9"/>
      <c r="F737" s="9"/>
      <c r="G737" s="9"/>
      <c r="H737" s="581"/>
      <c r="I737" s="581"/>
      <c r="J737" s="581"/>
      <c r="K737" s="581"/>
      <c r="L737" s="581"/>
      <c r="M737" s="581"/>
      <c r="N737" s="581"/>
      <c r="O737" s="581"/>
      <c r="P737" s="581"/>
      <c r="Q737" s="581"/>
      <c r="R737" s="581"/>
      <c r="S737" s="581"/>
      <c r="T737" s="581"/>
      <c r="U737" s="9"/>
      <c r="V737" s="9"/>
      <c r="W737" s="9"/>
      <c r="X737" s="9"/>
      <c r="Y737" s="9"/>
      <c r="Z737" s="9"/>
      <c r="AA737" s="9"/>
      <c r="AB737" s="9"/>
      <c r="AC737" s="9"/>
    </row>
    <row r="738" spans="1:29" ht="12.75" customHeight="1" x14ac:dyDescent="0.25">
      <c r="A738" s="9"/>
      <c r="B738" s="9"/>
      <c r="C738" s="9"/>
      <c r="D738" s="9"/>
      <c r="E738" s="9"/>
      <c r="F738" s="9"/>
      <c r="G738" s="9"/>
      <c r="H738" s="581"/>
      <c r="I738" s="581"/>
      <c r="J738" s="581"/>
      <c r="K738" s="581"/>
      <c r="L738" s="581"/>
      <c r="M738" s="581"/>
      <c r="N738" s="581"/>
      <c r="O738" s="581"/>
      <c r="P738" s="581"/>
      <c r="Q738" s="581"/>
      <c r="R738" s="581"/>
      <c r="S738" s="581"/>
      <c r="T738" s="581"/>
      <c r="U738" s="9"/>
      <c r="V738" s="9"/>
      <c r="W738" s="9"/>
      <c r="X738" s="9"/>
      <c r="Y738" s="9"/>
      <c r="Z738" s="9"/>
      <c r="AA738" s="9"/>
      <c r="AB738" s="9"/>
      <c r="AC738" s="9"/>
    </row>
    <row r="739" spans="1:29" ht="12.75" customHeight="1" x14ac:dyDescent="0.25">
      <c r="A739" s="9"/>
      <c r="B739" s="9"/>
      <c r="C739" s="9"/>
      <c r="D739" s="9"/>
      <c r="E739" s="9"/>
      <c r="F739" s="9"/>
      <c r="G739" s="9"/>
      <c r="H739" s="581"/>
      <c r="I739" s="581"/>
      <c r="J739" s="581"/>
      <c r="K739" s="581"/>
      <c r="L739" s="581"/>
      <c r="M739" s="581"/>
      <c r="N739" s="581"/>
      <c r="O739" s="581"/>
      <c r="P739" s="581"/>
      <c r="Q739" s="581"/>
      <c r="R739" s="581"/>
      <c r="S739" s="581"/>
      <c r="T739" s="581"/>
      <c r="U739" s="9"/>
      <c r="V739" s="9"/>
      <c r="W739" s="9"/>
      <c r="X739" s="9"/>
      <c r="Y739" s="9"/>
      <c r="Z739" s="9"/>
      <c r="AA739" s="9"/>
      <c r="AB739" s="9"/>
      <c r="AC739" s="9"/>
    </row>
    <row r="740" spans="1:29" ht="12.75" customHeight="1" x14ac:dyDescent="0.25">
      <c r="A740" s="9"/>
      <c r="B740" s="9"/>
      <c r="C740" s="9"/>
      <c r="D740" s="9"/>
      <c r="E740" s="9"/>
      <c r="F740" s="9"/>
      <c r="G740" s="9"/>
      <c r="H740" s="581"/>
      <c r="I740" s="581"/>
      <c r="J740" s="581"/>
      <c r="K740" s="581"/>
      <c r="L740" s="581"/>
      <c r="M740" s="581"/>
      <c r="N740" s="581"/>
      <c r="O740" s="581"/>
      <c r="P740" s="581"/>
      <c r="Q740" s="581"/>
      <c r="R740" s="581"/>
      <c r="S740" s="581"/>
      <c r="T740" s="581"/>
      <c r="U740" s="9"/>
      <c r="V740" s="9"/>
      <c r="W740" s="9"/>
      <c r="X740" s="9"/>
      <c r="Y740" s="9"/>
      <c r="Z740" s="9"/>
      <c r="AA740" s="9"/>
      <c r="AB740" s="9"/>
      <c r="AC740" s="9"/>
    </row>
    <row r="741" spans="1:29" ht="12.75" customHeight="1" x14ac:dyDescent="0.25">
      <c r="A741" s="9"/>
      <c r="B741" s="9"/>
      <c r="C741" s="9"/>
      <c r="D741" s="9"/>
      <c r="E741" s="9"/>
      <c r="F741" s="9"/>
      <c r="G741" s="9"/>
      <c r="H741" s="581"/>
      <c r="I741" s="581"/>
      <c r="J741" s="581"/>
      <c r="K741" s="581"/>
      <c r="L741" s="581"/>
      <c r="M741" s="581"/>
      <c r="N741" s="581"/>
      <c r="O741" s="581"/>
      <c r="P741" s="581"/>
      <c r="Q741" s="581"/>
      <c r="R741" s="581"/>
      <c r="S741" s="581"/>
      <c r="T741" s="581"/>
      <c r="U741" s="9"/>
      <c r="V741" s="9"/>
      <c r="W741" s="9"/>
      <c r="X741" s="9"/>
      <c r="Y741" s="9"/>
      <c r="Z741" s="9"/>
      <c r="AA741" s="9"/>
      <c r="AB741" s="9"/>
      <c r="AC741" s="9"/>
    </row>
    <row r="742" spans="1:29" ht="12.75" customHeight="1" x14ac:dyDescent="0.25">
      <c r="A742" s="9"/>
      <c r="B742" s="9"/>
      <c r="C742" s="9"/>
      <c r="D742" s="9"/>
      <c r="E742" s="9"/>
      <c r="F742" s="9"/>
      <c r="G742" s="9"/>
      <c r="H742" s="581"/>
      <c r="I742" s="581"/>
      <c r="J742" s="581"/>
      <c r="K742" s="581"/>
      <c r="L742" s="581"/>
      <c r="M742" s="581"/>
      <c r="N742" s="581"/>
      <c r="O742" s="581"/>
      <c r="P742" s="581"/>
      <c r="Q742" s="581"/>
      <c r="R742" s="581"/>
      <c r="S742" s="581"/>
      <c r="T742" s="581"/>
      <c r="U742" s="9"/>
      <c r="V742" s="9"/>
      <c r="W742" s="9"/>
      <c r="X742" s="9"/>
      <c r="Y742" s="9"/>
      <c r="Z742" s="9"/>
      <c r="AA742" s="9"/>
      <c r="AB742" s="9"/>
      <c r="AC742" s="9"/>
    </row>
    <row r="743" spans="1:29" ht="12.75" customHeight="1" x14ac:dyDescent="0.25">
      <c r="A743" s="9"/>
      <c r="B743" s="9"/>
      <c r="C743" s="9"/>
      <c r="D743" s="9"/>
      <c r="E743" s="9"/>
      <c r="F743" s="9"/>
      <c r="G743" s="9"/>
      <c r="H743" s="581"/>
      <c r="I743" s="581"/>
      <c r="J743" s="581"/>
      <c r="K743" s="581"/>
      <c r="L743" s="581"/>
      <c r="M743" s="581"/>
      <c r="N743" s="581"/>
      <c r="O743" s="581"/>
      <c r="P743" s="581"/>
      <c r="Q743" s="581"/>
      <c r="R743" s="581"/>
      <c r="S743" s="581"/>
      <c r="T743" s="581"/>
      <c r="U743" s="9"/>
      <c r="V743" s="9"/>
      <c r="W743" s="9"/>
      <c r="X743" s="9"/>
      <c r="Y743" s="9"/>
      <c r="Z743" s="9"/>
      <c r="AA743" s="9"/>
      <c r="AB743" s="9"/>
      <c r="AC743" s="9"/>
    </row>
    <row r="744" spans="1:29" ht="12.75" customHeight="1" x14ac:dyDescent="0.25">
      <c r="A744" s="9"/>
      <c r="B744" s="9"/>
      <c r="C744" s="9"/>
      <c r="D744" s="9"/>
      <c r="E744" s="9"/>
      <c r="F744" s="9"/>
      <c r="G744" s="9"/>
      <c r="H744" s="581"/>
      <c r="I744" s="581"/>
      <c r="J744" s="581"/>
      <c r="K744" s="581"/>
      <c r="L744" s="581"/>
      <c r="M744" s="581"/>
      <c r="N744" s="581"/>
      <c r="O744" s="581"/>
      <c r="P744" s="581"/>
      <c r="Q744" s="581"/>
      <c r="R744" s="581"/>
      <c r="S744" s="581"/>
      <c r="T744" s="581"/>
      <c r="U744" s="9"/>
      <c r="V744" s="9"/>
      <c r="W744" s="9"/>
      <c r="X744" s="9"/>
      <c r="Y744" s="9"/>
      <c r="Z744" s="9"/>
      <c r="AA744" s="9"/>
      <c r="AB744" s="9"/>
      <c r="AC744" s="9"/>
    </row>
    <row r="745" spans="1:29" ht="12.75" customHeight="1" x14ac:dyDescent="0.25">
      <c r="A745" s="9"/>
      <c r="B745" s="9"/>
      <c r="C745" s="9"/>
      <c r="D745" s="9"/>
      <c r="E745" s="9"/>
      <c r="F745" s="9"/>
      <c r="G745" s="9"/>
      <c r="H745" s="581"/>
      <c r="I745" s="581"/>
      <c r="J745" s="581"/>
      <c r="K745" s="581"/>
      <c r="L745" s="581"/>
      <c r="M745" s="581"/>
      <c r="N745" s="581"/>
      <c r="O745" s="581"/>
      <c r="P745" s="581"/>
      <c r="Q745" s="581"/>
      <c r="R745" s="581"/>
      <c r="S745" s="581"/>
      <c r="T745" s="581"/>
      <c r="U745" s="9"/>
      <c r="V745" s="9"/>
      <c r="W745" s="9"/>
      <c r="X745" s="9"/>
      <c r="Y745" s="9"/>
      <c r="Z745" s="9"/>
      <c r="AA745" s="9"/>
      <c r="AB745" s="9"/>
      <c r="AC745" s="9"/>
    </row>
    <row r="746" spans="1:29" ht="12.75" customHeight="1" x14ac:dyDescent="0.25">
      <c r="A746" s="9"/>
      <c r="B746" s="9"/>
      <c r="C746" s="9"/>
      <c r="D746" s="9"/>
      <c r="E746" s="9"/>
      <c r="F746" s="9"/>
      <c r="G746" s="9"/>
      <c r="H746" s="581"/>
      <c r="I746" s="581"/>
      <c r="J746" s="581"/>
      <c r="K746" s="581"/>
      <c r="L746" s="581"/>
      <c r="M746" s="581"/>
      <c r="N746" s="581"/>
      <c r="O746" s="581"/>
      <c r="P746" s="581"/>
      <c r="Q746" s="581"/>
      <c r="R746" s="581"/>
      <c r="S746" s="581"/>
      <c r="T746" s="581"/>
      <c r="U746" s="9"/>
      <c r="V746" s="9"/>
      <c r="W746" s="9"/>
      <c r="X746" s="9"/>
      <c r="Y746" s="9"/>
      <c r="Z746" s="9"/>
      <c r="AA746" s="9"/>
      <c r="AB746" s="9"/>
      <c r="AC746" s="9"/>
    </row>
    <row r="747" spans="1:29" ht="12.75" customHeight="1" x14ac:dyDescent="0.25">
      <c r="A747" s="9"/>
      <c r="B747" s="9"/>
      <c r="C747" s="9"/>
      <c r="D747" s="9"/>
      <c r="E747" s="9"/>
      <c r="F747" s="9"/>
      <c r="G747" s="9"/>
      <c r="H747" s="581"/>
      <c r="I747" s="581"/>
      <c r="J747" s="581"/>
      <c r="K747" s="581"/>
      <c r="L747" s="581"/>
      <c r="M747" s="581"/>
      <c r="N747" s="581"/>
      <c r="O747" s="581"/>
      <c r="P747" s="581"/>
      <c r="Q747" s="581"/>
      <c r="R747" s="581"/>
      <c r="S747" s="581"/>
      <c r="T747" s="581"/>
      <c r="U747" s="9"/>
      <c r="V747" s="9"/>
      <c r="W747" s="9"/>
      <c r="X747" s="9"/>
      <c r="Y747" s="9"/>
      <c r="Z747" s="9"/>
      <c r="AA747" s="9"/>
      <c r="AB747" s="9"/>
      <c r="AC747" s="9"/>
    </row>
    <row r="748" spans="1:29" ht="12.75" customHeight="1" x14ac:dyDescent="0.25">
      <c r="A748" s="9"/>
      <c r="B748" s="9"/>
      <c r="C748" s="9"/>
      <c r="D748" s="9"/>
      <c r="E748" s="9"/>
      <c r="F748" s="9"/>
      <c r="G748" s="9"/>
      <c r="H748" s="581"/>
      <c r="I748" s="581"/>
      <c r="J748" s="581"/>
      <c r="K748" s="581"/>
      <c r="L748" s="581"/>
      <c r="M748" s="581"/>
      <c r="N748" s="581"/>
      <c r="O748" s="581"/>
      <c r="P748" s="581"/>
      <c r="Q748" s="581"/>
      <c r="R748" s="581"/>
      <c r="S748" s="581"/>
      <c r="T748" s="581"/>
      <c r="U748" s="9"/>
      <c r="V748" s="9"/>
      <c r="W748" s="9"/>
      <c r="X748" s="9"/>
      <c r="Y748" s="9"/>
      <c r="Z748" s="9"/>
      <c r="AA748" s="9"/>
      <c r="AB748" s="9"/>
      <c r="AC748" s="9"/>
    </row>
    <row r="749" spans="1:29" ht="12.75" customHeight="1" x14ac:dyDescent="0.25">
      <c r="A749" s="9"/>
      <c r="B749" s="9"/>
      <c r="C749" s="9"/>
      <c r="D749" s="9"/>
      <c r="E749" s="9"/>
      <c r="F749" s="9"/>
      <c r="G749" s="9"/>
      <c r="H749" s="581"/>
      <c r="I749" s="581"/>
      <c r="J749" s="581"/>
      <c r="K749" s="581"/>
      <c r="L749" s="581"/>
      <c r="M749" s="581"/>
      <c r="N749" s="581"/>
      <c r="O749" s="581"/>
      <c r="P749" s="581"/>
      <c r="Q749" s="581"/>
      <c r="R749" s="581"/>
      <c r="S749" s="581"/>
      <c r="T749" s="581"/>
      <c r="U749" s="9"/>
      <c r="V749" s="9"/>
      <c r="W749" s="9"/>
      <c r="X749" s="9"/>
      <c r="Y749" s="9"/>
      <c r="Z749" s="9"/>
      <c r="AA749" s="9"/>
      <c r="AB749" s="9"/>
      <c r="AC749" s="9"/>
    </row>
    <row r="750" spans="1:29" ht="12.75" customHeight="1" x14ac:dyDescent="0.25">
      <c r="A750" s="9"/>
      <c r="B750" s="9"/>
      <c r="C750" s="9"/>
      <c r="D750" s="9"/>
      <c r="E750" s="9"/>
      <c r="F750" s="9"/>
      <c r="G750" s="9"/>
      <c r="H750" s="581"/>
      <c r="I750" s="581"/>
      <c r="J750" s="581"/>
      <c r="K750" s="581"/>
      <c r="L750" s="581"/>
      <c r="M750" s="581"/>
      <c r="N750" s="581"/>
      <c r="O750" s="581"/>
      <c r="P750" s="581"/>
      <c r="Q750" s="581"/>
      <c r="R750" s="581"/>
      <c r="S750" s="581"/>
      <c r="T750" s="581"/>
      <c r="U750" s="9"/>
      <c r="V750" s="9"/>
      <c r="W750" s="9"/>
      <c r="X750" s="9"/>
      <c r="Y750" s="9"/>
      <c r="Z750" s="9"/>
      <c r="AA750" s="9"/>
      <c r="AB750" s="9"/>
      <c r="AC750" s="9"/>
    </row>
    <row r="751" spans="1:29" ht="12.75" customHeight="1" x14ac:dyDescent="0.25">
      <c r="A751" s="9"/>
      <c r="B751" s="9"/>
      <c r="C751" s="9"/>
      <c r="D751" s="9"/>
      <c r="E751" s="9"/>
      <c r="F751" s="9"/>
      <c r="G751" s="9"/>
      <c r="H751" s="581"/>
      <c r="I751" s="581"/>
      <c r="J751" s="581"/>
      <c r="K751" s="581"/>
      <c r="L751" s="581"/>
      <c r="M751" s="581"/>
      <c r="N751" s="581"/>
      <c r="O751" s="581"/>
      <c r="P751" s="581"/>
      <c r="Q751" s="581"/>
      <c r="R751" s="581"/>
      <c r="S751" s="581"/>
      <c r="T751" s="581"/>
      <c r="U751" s="9"/>
      <c r="V751" s="9"/>
      <c r="W751" s="9"/>
      <c r="X751" s="9"/>
      <c r="Y751" s="9"/>
      <c r="Z751" s="9"/>
      <c r="AA751" s="9"/>
      <c r="AB751" s="9"/>
      <c r="AC751" s="9"/>
    </row>
    <row r="752" spans="1:29" ht="12.75" customHeight="1" x14ac:dyDescent="0.25">
      <c r="A752" s="9"/>
      <c r="B752" s="9"/>
      <c r="C752" s="9"/>
      <c r="D752" s="9"/>
      <c r="E752" s="9"/>
      <c r="F752" s="9"/>
      <c r="G752" s="9"/>
      <c r="H752" s="581"/>
      <c r="I752" s="581"/>
      <c r="J752" s="581"/>
      <c r="K752" s="581"/>
      <c r="L752" s="581"/>
      <c r="M752" s="581"/>
      <c r="N752" s="581"/>
      <c r="O752" s="581"/>
      <c r="P752" s="581"/>
      <c r="Q752" s="581"/>
      <c r="R752" s="581"/>
      <c r="S752" s="581"/>
      <c r="T752" s="581"/>
      <c r="U752" s="9"/>
      <c r="V752" s="9"/>
      <c r="W752" s="9"/>
      <c r="X752" s="9"/>
      <c r="Y752" s="9"/>
      <c r="Z752" s="9"/>
      <c r="AA752" s="9"/>
      <c r="AB752" s="9"/>
      <c r="AC752" s="9"/>
    </row>
    <row r="753" spans="1:29" ht="12.75" customHeight="1" x14ac:dyDescent="0.25">
      <c r="A753" s="9"/>
      <c r="B753" s="9"/>
      <c r="C753" s="9"/>
      <c r="D753" s="9"/>
      <c r="E753" s="9"/>
      <c r="F753" s="9"/>
      <c r="G753" s="9"/>
      <c r="H753" s="581"/>
      <c r="I753" s="581"/>
      <c r="J753" s="581"/>
      <c r="K753" s="581"/>
      <c r="L753" s="581"/>
      <c r="M753" s="581"/>
      <c r="N753" s="581"/>
      <c r="O753" s="581"/>
      <c r="P753" s="581"/>
      <c r="Q753" s="581"/>
      <c r="R753" s="581"/>
      <c r="S753" s="581"/>
      <c r="T753" s="581"/>
      <c r="U753" s="9"/>
      <c r="V753" s="9"/>
      <c r="W753" s="9"/>
      <c r="X753" s="9"/>
      <c r="Y753" s="9"/>
      <c r="Z753" s="9"/>
      <c r="AA753" s="9"/>
      <c r="AB753" s="9"/>
      <c r="AC753" s="9"/>
    </row>
    <row r="754" spans="1:29" ht="12.75" customHeight="1" x14ac:dyDescent="0.25">
      <c r="A754" s="9"/>
      <c r="B754" s="9"/>
      <c r="C754" s="9"/>
      <c r="D754" s="9"/>
      <c r="E754" s="9"/>
      <c r="F754" s="9"/>
      <c r="G754" s="9"/>
      <c r="H754" s="581"/>
      <c r="I754" s="581"/>
      <c r="J754" s="581"/>
      <c r="K754" s="581"/>
      <c r="L754" s="581"/>
      <c r="M754" s="581"/>
      <c r="N754" s="581"/>
      <c r="O754" s="581"/>
      <c r="P754" s="581"/>
      <c r="Q754" s="581"/>
      <c r="R754" s="581"/>
      <c r="S754" s="581"/>
      <c r="T754" s="581"/>
      <c r="U754" s="9"/>
      <c r="V754" s="9"/>
      <c r="W754" s="9"/>
      <c r="X754" s="9"/>
      <c r="Y754" s="9"/>
      <c r="Z754" s="9"/>
      <c r="AA754" s="9"/>
      <c r="AB754" s="9"/>
      <c r="AC754" s="9"/>
    </row>
    <row r="755" spans="1:29" ht="12.75" customHeight="1" x14ac:dyDescent="0.25">
      <c r="A755" s="9"/>
      <c r="B755" s="9"/>
      <c r="C755" s="9"/>
      <c r="D755" s="9"/>
      <c r="E755" s="9"/>
      <c r="F755" s="9"/>
      <c r="G755" s="9"/>
      <c r="H755" s="581"/>
      <c r="I755" s="581"/>
      <c r="J755" s="581"/>
      <c r="K755" s="581"/>
      <c r="L755" s="581"/>
      <c r="M755" s="581"/>
      <c r="N755" s="581"/>
      <c r="O755" s="581"/>
      <c r="P755" s="581"/>
      <c r="Q755" s="581"/>
      <c r="R755" s="581"/>
      <c r="S755" s="581"/>
      <c r="T755" s="581"/>
      <c r="U755" s="9"/>
      <c r="V755" s="9"/>
      <c r="W755" s="9"/>
      <c r="X755" s="9"/>
      <c r="Y755" s="9"/>
      <c r="Z755" s="9"/>
      <c r="AA755" s="9"/>
      <c r="AB755" s="9"/>
      <c r="AC755" s="9"/>
    </row>
    <row r="756" spans="1:29" ht="12.75" customHeight="1" x14ac:dyDescent="0.25">
      <c r="A756" s="9"/>
      <c r="B756" s="9"/>
      <c r="C756" s="9"/>
      <c r="D756" s="9"/>
      <c r="E756" s="9"/>
      <c r="F756" s="9"/>
      <c r="G756" s="9"/>
      <c r="H756" s="581"/>
      <c r="I756" s="581"/>
      <c r="J756" s="581"/>
      <c r="K756" s="581"/>
      <c r="L756" s="581"/>
      <c r="M756" s="581"/>
      <c r="N756" s="581"/>
      <c r="O756" s="581"/>
      <c r="P756" s="581"/>
      <c r="Q756" s="581"/>
      <c r="R756" s="581"/>
      <c r="S756" s="581"/>
      <c r="T756" s="581"/>
      <c r="U756" s="9"/>
      <c r="V756" s="9"/>
      <c r="W756" s="9"/>
      <c r="X756" s="9"/>
      <c r="Y756" s="9"/>
      <c r="Z756" s="9"/>
      <c r="AA756" s="9"/>
      <c r="AB756" s="9"/>
      <c r="AC756" s="9"/>
    </row>
    <row r="757" spans="1:29" ht="12.75" customHeight="1" x14ac:dyDescent="0.25">
      <c r="A757" s="9"/>
      <c r="B757" s="9"/>
      <c r="C757" s="9"/>
      <c r="D757" s="9"/>
      <c r="E757" s="9"/>
      <c r="F757" s="9"/>
      <c r="G757" s="9"/>
      <c r="H757" s="581"/>
      <c r="I757" s="581"/>
      <c r="J757" s="581"/>
      <c r="K757" s="581"/>
      <c r="L757" s="581"/>
      <c r="M757" s="581"/>
      <c r="N757" s="581"/>
      <c r="O757" s="581"/>
      <c r="P757" s="581"/>
      <c r="Q757" s="581"/>
      <c r="R757" s="581"/>
      <c r="S757" s="581"/>
      <c r="T757" s="581"/>
      <c r="U757" s="9"/>
      <c r="V757" s="9"/>
      <c r="W757" s="9"/>
      <c r="X757" s="9"/>
      <c r="Y757" s="9"/>
      <c r="Z757" s="9"/>
      <c r="AA757" s="9"/>
      <c r="AB757" s="9"/>
      <c r="AC757" s="9"/>
    </row>
    <row r="758" spans="1:29" ht="12.75" customHeight="1" x14ac:dyDescent="0.25">
      <c r="A758" s="9"/>
      <c r="B758" s="9"/>
      <c r="C758" s="9"/>
      <c r="D758" s="9"/>
      <c r="E758" s="9"/>
      <c r="F758" s="9"/>
      <c r="G758" s="9"/>
      <c r="H758" s="581"/>
      <c r="I758" s="581"/>
      <c r="J758" s="581"/>
      <c r="K758" s="581"/>
      <c r="L758" s="581"/>
      <c r="M758" s="581"/>
      <c r="N758" s="581"/>
      <c r="O758" s="581"/>
      <c r="P758" s="581"/>
      <c r="Q758" s="581"/>
      <c r="R758" s="581"/>
      <c r="S758" s="581"/>
      <c r="T758" s="581"/>
      <c r="U758" s="9"/>
      <c r="V758" s="9"/>
      <c r="W758" s="9"/>
      <c r="X758" s="9"/>
      <c r="Y758" s="9"/>
      <c r="Z758" s="9"/>
      <c r="AA758" s="9"/>
      <c r="AB758" s="9"/>
      <c r="AC758" s="9"/>
    </row>
    <row r="759" spans="1:29" ht="12.75" customHeight="1" x14ac:dyDescent="0.25">
      <c r="A759" s="9"/>
      <c r="B759" s="9"/>
      <c r="C759" s="9"/>
      <c r="D759" s="9"/>
      <c r="E759" s="9"/>
      <c r="F759" s="9"/>
      <c r="G759" s="9"/>
      <c r="H759" s="581"/>
      <c r="I759" s="581"/>
      <c r="J759" s="581"/>
      <c r="K759" s="581"/>
      <c r="L759" s="581"/>
      <c r="M759" s="581"/>
      <c r="N759" s="581"/>
      <c r="O759" s="581"/>
      <c r="P759" s="581"/>
      <c r="Q759" s="581"/>
      <c r="R759" s="581"/>
      <c r="S759" s="581"/>
      <c r="T759" s="581"/>
      <c r="U759" s="9"/>
      <c r="V759" s="9"/>
      <c r="W759" s="9"/>
      <c r="X759" s="9"/>
      <c r="Y759" s="9"/>
      <c r="Z759" s="9"/>
      <c r="AA759" s="9"/>
      <c r="AB759" s="9"/>
      <c r="AC759" s="9"/>
    </row>
    <row r="760" spans="1:29" ht="12.75" customHeight="1" x14ac:dyDescent="0.25">
      <c r="A760" s="9"/>
      <c r="B760" s="9"/>
      <c r="C760" s="9"/>
      <c r="D760" s="9"/>
      <c r="E760" s="9"/>
      <c r="F760" s="9"/>
      <c r="G760" s="9"/>
      <c r="H760" s="581"/>
      <c r="I760" s="581"/>
      <c r="J760" s="581"/>
      <c r="K760" s="581"/>
      <c r="L760" s="581"/>
      <c r="M760" s="581"/>
      <c r="N760" s="581"/>
      <c r="O760" s="581"/>
      <c r="P760" s="581"/>
      <c r="Q760" s="581"/>
      <c r="R760" s="581"/>
      <c r="S760" s="581"/>
      <c r="T760" s="581"/>
      <c r="U760" s="9"/>
      <c r="V760" s="9"/>
      <c r="W760" s="9"/>
      <c r="X760" s="9"/>
      <c r="Y760" s="9"/>
      <c r="Z760" s="9"/>
      <c r="AA760" s="9"/>
      <c r="AB760" s="9"/>
      <c r="AC760" s="9"/>
    </row>
    <row r="761" spans="1:29" ht="12.75" customHeight="1" x14ac:dyDescent="0.25">
      <c r="A761" s="9"/>
      <c r="B761" s="9"/>
      <c r="C761" s="9"/>
      <c r="D761" s="9"/>
      <c r="E761" s="9"/>
      <c r="F761" s="9"/>
      <c r="G761" s="9"/>
      <c r="H761" s="581"/>
      <c r="I761" s="581"/>
      <c r="J761" s="581"/>
      <c r="K761" s="581"/>
      <c r="L761" s="581"/>
      <c r="M761" s="581"/>
      <c r="N761" s="581"/>
      <c r="O761" s="581"/>
      <c r="P761" s="581"/>
      <c r="Q761" s="581"/>
      <c r="R761" s="581"/>
      <c r="S761" s="581"/>
      <c r="T761" s="581"/>
      <c r="U761" s="9"/>
      <c r="V761" s="9"/>
      <c r="W761" s="9"/>
      <c r="X761" s="9"/>
      <c r="Y761" s="9"/>
      <c r="Z761" s="9"/>
      <c r="AA761" s="9"/>
      <c r="AB761" s="9"/>
      <c r="AC761" s="9"/>
    </row>
    <row r="762" spans="1:29" ht="12.75" customHeight="1" x14ac:dyDescent="0.25">
      <c r="A762" s="9"/>
      <c r="B762" s="9"/>
      <c r="C762" s="9"/>
      <c r="D762" s="9"/>
      <c r="E762" s="9"/>
      <c r="F762" s="9"/>
      <c r="G762" s="9"/>
      <c r="H762" s="581"/>
      <c r="I762" s="581"/>
      <c r="J762" s="581"/>
      <c r="K762" s="581"/>
      <c r="L762" s="581"/>
      <c r="M762" s="581"/>
      <c r="N762" s="581"/>
      <c r="O762" s="581"/>
      <c r="P762" s="581"/>
      <c r="Q762" s="581"/>
      <c r="R762" s="581"/>
      <c r="S762" s="581"/>
      <c r="T762" s="581"/>
      <c r="U762" s="9"/>
      <c r="V762" s="9"/>
      <c r="W762" s="9"/>
      <c r="X762" s="9"/>
      <c r="Y762" s="9"/>
      <c r="Z762" s="9"/>
      <c r="AA762" s="9"/>
      <c r="AB762" s="9"/>
      <c r="AC762" s="9"/>
    </row>
    <row r="763" spans="1:29" ht="12.75" customHeight="1" x14ac:dyDescent="0.25">
      <c r="A763" s="9"/>
      <c r="B763" s="9"/>
      <c r="C763" s="9"/>
      <c r="D763" s="9"/>
      <c r="E763" s="9"/>
      <c r="F763" s="9"/>
      <c r="G763" s="9"/>
      <c r="H763" s="581"/>
      <c r="I763" s="581"/>
      <c r="J763" s="581"/>
      <c r="K763" s="581"/>
      <c r="L763" s="581"/>
      <c r="M763" s="581"/>
      <c r="N763" s="581"/>
      <c r="O763" s="581"/>
      <c r="P763" s="581"/>
      <c r="Q763" s="581"/>
      <c r="R763" s="581"/>
      <c r="S763" s="581"/>
      <c r="T763" s="581"/>
      <c r="U763" s="9"/>
      <c r="V763" s="9"/>
      <c r="W763" s="9"/>
      <c r="X763" s="9"/>
      <c r="Y763" s="9"/>
      <c r="Z763" s="9"/>
      <c r="AA763" s="9"/>
      <c r="AB763" s="9"/>
      <c r="AC763" s="9"/>
    </row>
    <row r="764" spans="1:29" ht="12.75" customHeight="1" x14ac:dyDescent="0.25">
      <c r="A764" s="9"/>
      <c r="B764" s="9"/>
      <c r="C764" s="9"/>
      <c r="D764" s="9"/>
      <c r="E764" s="9"/>
      <c r="F764" s="9"/>
      <c r="G764" s="9"/>
      <c r="H764" s="581"/>
      <c r="I764" s="581"/>
      <c r="J764" s="581"/>
      <c r="K764" s="581"/>
      <c r="L764" s="581"/>
      <c r="M764" s="581"/>
      <c r="N764" s="581"/>
      <c r="O764" s="581"/>
      <c r="P764" s="581"/>
      <c r="Q764" s="581"/>
      <c r="R764" s="581"/>
      <c r="S764" s="581"/>
      <c r="T764" s="581"/>
      <c r="U764" s="9"/>
      <c r="V764" s="9"/>
      <c r="W764" s="9"/>
      <c r="X764" s="9"/>
      <c r="Y764" s="9"/>
      <c r="Z764" s="9"/>
      <c r="AA764" s="9"/>
      <c r="AB764" s="9"/>
      <c r="AC764" s="9"/>
    </row>
    <row r="765" spans="1:29" ht="12.75" customHeight="1" x14ac:dyDescent="0.25">
      <c r="A765" s="9"/>
      <c r="B765" s="9"/>
      <c r="C765" s="9"/>
      <c r="D765" s="9"/>
      <c r="E765" s="9"/>
      <c r="F765" s="9"/>
      <c r="G765" s="9"/>
      <c r="H765" s="581"/>
      <c r="I765" s="581"/>
      <c r="J765" s="581"/>
      <c r="K765" s="581"/>
      <c r="L765" s="581"/>
      <c r="M765" s="581"/>
      <c r="N765" s="581"/>
      <c r="O765" s="581"/>
      <c r="P765" s="581"/>
      <c r="Q765" s="581"/>
      <c r="R765" s="581"/>
      <c r="S765" s="581"/>
      <c r="T765" s="581"/>
      <c r="U765" s="9"/>
      <c r="V765" s="9"/>
      <c r="W765" s="9"/>
      <c r="X765" s="9"/>
      <c r="Y765" s="9"/>
      <c r="Z765" s="9"/>
      <c r="AA765" s="9"/>
      <c r="AB765" s="9"/>
      <c r="AC765" s="9"/>
    </row>
    <row r="766" spans="1:29" ht="12.75" customHeight="1" x14ac:dyDescent="0.25">
      <c r="A766" s="9"/>
      <c r="B766" s="9"/>
      <c r="C766" s="9"/>
      <c r="D766" s="9"/>
      <c r="E766" s="9"/>
      <c r="F766" s="9"/>
      <c r="G766" s="9"/>
      <c r="H766" s="581"/>
      <c r="I766" s="581"/>
      <c r="J766" s="581"/>
      <c r="K766" s="581"/>
      <c r="L766" s="581"/>
      <c r="M766" s="581"/>
      <c r="N766" s="581"/>
      <c r="O766" s="581"/>
      <c r="P766" s="581"/>
      <c r="Q766" s="581"/>
      <c r="R766" s="581"/>
      <c r="S766" s="581"/>
      <c r="T766" s="581"/>
      <c r="U766" s="9"/>
      <c r="V766" s="9"/>
      <c r="W766" s="9"/>
      <c r="X766" s="9"/>
      <c r="Y766" s="9"/>
      <c r="Z766" s="9"/>
      <c r="AA766" s="9"/>
      <c r="AB766" s="9"/>
      <c r="AC766" s="9"/>
    </row>
    <row r="767" spans="1:29" ht="12.75" customHeight="1" x14ac:dyDescent="0.25">
      <c r="A767" s="9"/>
      <c r="B767" s="9"/>
      <c r="C767" s="9"/>
      <c r="D767" s="9"/>
      <c r="E767" s="9"/>
      <c r="F767" s="9"/>
      <c r="G767" s="9"/>
      <c r="H767" s="581"/>
      <c r="I767" s="581"/>
      <c r="J767" s="581"/>
      <c r="K767" s="581"/>
      <c r="L767" s="581"/>
      <c r="M767" s="581"/>
      <c r="N767" s="581"/>
      <c r="O767" s="581"/>
      <c r="P767" s="581"/>
      <c r="Q767" s="581"/>
      <c r="R767" s="581"/>
      <c r="S767" s="581"/>
      <c r="T767" s="581"/>
      <c r="U767" s="9"/>
      <c r="V767" s="9"/>
      <c r="W767" s="9"/>
      <c r="X767" s="9"/>
      <c r="Y767" s="9"/>
      <c r="Z767" s="9"/>
      <c r="AA767" s="9"/>
      <c r="AB767" s="9"/>
      <c r="AC767" s="9"/>
    </row>
    <row r="768" spans="1:29" ht="12.75" customHeight="1" x14ac:dyDescent="0.25">
      <c r="A768" s="9"/>
      <c r="B768" s="9"/>
      <c r="C768" s="9"/>
      <c r="D768" s="9"/>
      <c r="E768" s="9"/>
      <c r="F768" s="9"/>
      <c r="G768" s="9"/>
      <c r="H768" s="581"/>
      <c r="I768" s="581"/>
      <c r="J768" s="581"/>
      <c r="K768" s="581"/>
      <c r="L768" s="581"/>
      <c r="M768" s="581"/>
      <c r="N768" s="581"/>
      <c r="O768" s="581"/>
      <c r="P768" s="581"/>
      <c r="Q768" s="581"/>
      <c r="R768" s="581"/>
      <c r="S768" s="581"/>
      <c r="T768" s="581"/>
      <c r="U768" s="9"/>
      <c r="V768" s="9"/>
      <c r="W768" s="9"/>
      <c r="X768" s="9"/>
      <c r="Y768" s="9"/>
      <c r="Z768" s="9"/>
      <c r="AA768" s="9"/>
      <c r="AB768" s="9"/>
      <c r="AC768" s="9"/>
    </row>
    <row r="769" spans="1:29" ht="12.75" customHeight="1" x14ac:dyDescent="0.25">
      <c r="A769" s="9"/>
      <c r="B769" s="9"/>
      <c r="C769" s="9"/>
      <c r="D769" s="9"/>
      <c r="E769" s="9"/>
      <c r="F769" s="9"/>
      <c r="G769" s="9"/>
      <c r="H769" s="581"/>
      <c r="I769" s="581"/>
      <c r="J769" s="581"/>
      <c r="K769" s="581"/>
      <c r="L769" s="581"/>
      <c r="M769" s="581"/>
      <c r="N769" s="581"/>
      <c r="O769" s="581"/>
      <c r="P769" s="581"/>
      <c r="Q769" s="581"/>
      <c r="R769" s="581"/>
      <c r="S769" s="581"/>
      <c r="T769" s="581"/>
      <c r="U769" s="9"/>
      <c r="V769" s="9"/>
      <c r="W769" s="9"/>
      <c r="X769" s="9"/>
      <c r="Y769" s="9"/>
      <c r="Z769" s="9"/>
      <c r="AA769" s="9"/>
      <c r="AB769" s="9"/>
      <c r="AC769" s="9"/>
    </row>
    <row r="770" spans="1:29" ht="12.75" customHeight="1" x14ac:dyDescent="0.25">
      <c r="A770" s="9"/>
      <c r="B770" s="9"/>
      <c r="C770" s="9"/>
      <c r="D770" s="9"/>
      <c r="E770" s="9"/>
      <c r="F770" s="9"/>
      <c r="G770" s="9"/>
      <c r="H770" s="581"/>
      <c r="I770" s="581"/>
      <c r="J770" s="581"/>
      <c r="K770" s="581"/>
      <c r="L770" s="581"/>
      <c r="M770" s="581"/>
      <c r="N770" s="581"/>
      <c r="O770" s="581"/>
      <c r="P770" s="581"/>
      <c r="Q770" s="581"/>
      <c r="R770" s="581"/>
      <c r="S770" s="581"/>
      <c r="T770" s="581"/>
      <c r="U770" s="9"/>
      <c r="V770" s="9"/>
      <c r="W770" s="9"/>
      <c r="X770" s="9"/>
      <c r="Y770" s="9"/>
      <c r="Z770" s="9"/>
      <c r="AA770" s="9"/>
      <c r="AB770" s="9"/>
      <c r="AC770" s="9"/>
    </row>
    <row r="771" spans="1:29" ht="12.75" customHeight="1" x14ac:dyDescent="0.25">
      <c r="A771" s="9"/>
      <c r="B771" s="9"/>
      <c r="C771" s="9"/>
      <c r="D771" s="9"/>
      <c r="E771" s="9"/>
      <c r="F771" s="9"/>
      <c r="G771" s="9"/>
      <c r="H771" s="581"/>
      <c r="I771" s="581"/>
      <c r="J771" s="581"/>
      <c r="K771" s="581"/>
      <c r="L771" s="581"/>
      <c r="M771" s="581"/>
      <c r="N771" s="581"/>
      <c r="O771" s="581"/>
      <c r="P771" s="581"/>
      <c r="Q771" s="581"/>
      <c r="R771" s="581"/>
      <c r="S771" s="581"/>
      <c r="T771" s="581"/>
      <c r="U771" s="9"/>
      <c r="V771" s="9"/>
      <c r="W771" s="9"/>
      <c r="X771" s="9"/>
      <c r="Y771" s="9"/>
      <c r="Z771" s="9"/>
      <c r="AA771" s="9"/>
      <c r="AB771" s="9"/>
      <c r="AC771" s="9"/>
    </row>
    <row r="772" spans="1:29" ht="12.75" customHeight="1" x14ac:dyDescent="0.25">
      <c r="A772" s="9"/>
      <c r="B772" s="9"/>
      <c r="C772" s="9"/>
      <c r="D772" s="9"/>
      <c r="E772" s="9"/>
      <c r="F772" s="9"/>
      <c r="G772" s="9"/>
      <c r="H772" s="581"/>
      <c r="I772" s="581"/>
      <c r="J772" s="581"/>
      <c r="K772" s="581"/>
      <c r="L772" s="581"/>
      <c r="M772" s="581"/>
      <c r="N772" s="581"/>
      <c r="O772" s="581"/>
      <c r="P772" s="581"/>
      <c r="Q772" s="581"/>
      <c r="R772" s="581"/>
      <c r="S772" s="581"/>
      <c r="T772" s="581"/>
      <c r="U772" s="9"/>
      <c r="V772" s="9"/>
      <c r="W772" s="9"/>
      <c r="X772" s="9"/>
      <c r="Y772" s="9"/>
      <c r="Z772" s="9"/>
      <c r="AA772" s="9"/>
      <c r="AB772" s="9"/>
      <c r="AC772" s="9"/>
    </row>
    <row r="773" spans="1:29" ht="12.75" customHeight="1" x14ac:dyDescent="0.25">
      <c r="A773" s="9"/>
      <c r="B773" s="9"/>
      <c r="C773" s="9"/>
      <c r="D773" s="9"/>
      <c r="E773" s="9"/>
      <c r="F773" s="9"/>
      <c r="G773" s="9"/>
      <c r="H773" s="581"/>
      <c r="I773" s="581"/>
      <c r="J773" s="581"/>
      <c r="K773" s="581"/>
      <c r="L773" s="581"/>
      <c r="M773" s="581"/>
      <c r="N773" s="581"/>
      <c r="O773" s="581"/>
      <c r="P773" s="581"/>
      <c r="Q773" s="581"/>
      <c r="R773" s="581"/>
      <c r="S773" s="581"/>
      <c r="T773" s="581"/>
      <c r="U773" s="9"/>
      <c r="V773" s="9"/>
      <c r="W773" s="9"/>
      <c r="X773" s="9"/>
      <c r="Y773" s="9"/>
      <c r="Z773" s="9"/>
      <c r="AA773" s="9"/>
      <c r="AB773" s="9"/>
      <c r="AC773" s="9"/>
    </row>
    <row r="774" spans="1:29" ht="12.75" customHeight="1" x14ac:dyDescent="0.25">
      <c r="A774" s="9"/>
      <c r="B774" s="9"/>
      <c r="C774" s="9"/>
      <c r="D774" s="9"/>
      <c r="E774" s="9"/>
      <c r="F774" s="9"/>
      <c r="G774" s="9"/>
      <c r="H774" s="581"/>
      <c r="I774" s="581"/>
      <c r="J774" s="581"/>
      <c r="K774" s="581"/>
      <c r="L774" s="581"/>
      <c r="M774" s="581"/>
      <c r="N774" s="581"/>
      <c r="O774" s="581"/>
      <c r="P774" s="581"/>
      <c r="Q774" s="581"/>
      <c r="R774" s="581"/>
      <c r="S774" s="581"/>
      <c r="T774" s="581"/>
      <c r="U774" s="9"/>
      <c r="V774" s="9"/>
      <c r="W774" s="9"/>
      <c r="X774" s="9"/>
      <c r="Y774" s="9"/>
      <c r="Z774" s="9"/>
      <c r="AA774" s="9"/>
      <c r="AB774" s="9"/>
      <c r="AC774" s="9"/>
    </row>
    <row r="775" spans="1:29" ht="12.75" customHeight="1" x14ac:dyDescent="0.25">
      <c r="A775" s="9"/>
      <c r="B775" s="9"/>
      <c r="C775" s="9"/>
      <c r="D775" s="9"/>
      <c r="E775" s="9"/>
      <c r="F775" s="9"/>
      <c r="G775" s="9"/>
      <c r="H775" s="581"/>
      <c r="I775" s="581"/>
      <c r="J775" s="581"/>
      <c r="K775" s="581"/>
      <c r="L775" s="581"/>
      <c r="M775" s="581"/>
      <c r="N775" s="581"/>
      <c r="O775" s="581"/>
      <c r="P775" s="581"/>
      <c r="Q775" s="581"/>
      <c r="R775" s="581"/>
      <c r="S775" s="581"/>
      <c r="T775" s="581"/>
      <c r="U775" s="9"/>
      <c r="V775" s="9"/>
      <c r="W775" s="9"/>
      <c r="X775" s="9"/>
      <c r="Y775" s="9"/>
      <c r="Z775" s="9"/>
      <c r="AA775" s="9"/>
      <c r="AB775" s="9"/>
      <c r="AC775" s="9"/>
    </row>
    <row r="776" spans="1:29" ht="12.75" customHeight="1" x14ac:dyDescent="0.25">
      <c r="A776" s="9"/>
      <c r="B776" s="9"/>
      <c r="C776" s="9"/>
      <c r="D776" s="9"/>
      <c r="E776" s="9"/>
      <c r="F776" s="9"/>
      <c r="G776" s="9"/>
      <c r="H776" s="581"/>
      <c r="I776" s="581"/>
      <c r="J776" s="581"/>
      <c r="K776" s="581"/>
      <c r="L776" s="581"/>
      <c r="M776" s="581"/>
      <c r="N776" s="581"/>
      <c r="O776" s="581"/>
      <c r="P776" s="581"/>
      <c r="Q776" s="581"/>
      <c r="R776" s="581"/>
      <c r="S776" s="581"/>
      <c r="T776" s="581"/>
      <c r="U776" s="9"/>
      <c r="V776" s="9"/>
      <c r="W776" s="9"/>
      <c r="X776" s="9"/>
      <c r="Y776" s="9"/>
      <c r="Z776" s="9"/>
      <c r="AA776" s="9"/>
      <c r="AB776" s="9"/>
      <c r="AC776" s="9"/>
    </row>
    <row r="777" spans="1:29" ht="12.75" customHeight="1" x14ac:dyDescent="0.25">
      <c r="A777" s="9"/>
      <c r="B777" s="9"/>
      <c r="C777" s="9"/>
      <c r="D777" s="9"/>
      <c r="E777" s="9"/>
      <c r="F777" s="9"/>
      <c r="G777" s="9"/>
      <c r="H777" s="581"/>
      <c r="I777" s="581"/>
      <c r="J777" s="581"/>
      <c r="K777" s="581"/>
      <c r="L777" s="581"/>
      <c r="M777" s="581"/>
      <c r="N777" s="581"/>
      <c r="O777" s="581"/>
      <c r="P777" s="581"/>
      <c r="Q777" s="581"/>
      <c r="R777" s="581"/>
      <c r="S777" s="581"/>
      <c r="T777" s="581"/>
      <c r="U777" s="9"/>
      <c r="V777" s="9"/>
      <c r="W777" s="9"/>
      <c r="X777" s="9"/>
      <c r="Y777" s="9"/>
      <c r="Z777" s="9"/>
      <c r="AA777" s="9"/>
      <c r="AB777" s="9"/>
      <c r="AC777" s="9"/>
    </row>
    <row r="778" spans="1:29" ht="12.75" customHeight="1" x14ac:dyDescent="0.25">
      <c r="A778" s="9"/>
      <c r="B778" s="9"/>
      <c r="C778" s="9"/>
      <c r="D778" s="9"/>
      <c r="E778" s="9"/>
      <c r="F778" s="9"/>
      <c r="G778" s="9"/>
      <c r="H778" s="581"/>
      <c r="I778" s="581"/>
      <c r="J778" s="581"/>
      <c r="K778" s="581"/>
      <c r="L778" s="581"/>
      <c r="M778" s="581"/>
      <c r="N778" s="581"/>
      <c r="O778" s="581"/>
      <c r="P778" s="581"/>
      <c r="Q778" s="581"/>
      <c r="R778" s="581"/>
      <c r="S778" s="581"/>
      <c r="T778" s="581"/>
      <c r="U778" s="9"/>
      <c r="V778" s="9"/>
      <c r="W778" s="9"/>
      <c r="X778" s="9"/>
      <c r="Y778" s="9"/>
      <c r="Z778" s="9"/>
      <c r="AA778" s="9"/>
      <c r="AB778" s="9"/>
      <c r="AC778" s="9"/>
    </row>
    <row r="779" spans="1:29" ht="12.75" customHeight="1" x14ac:dyDescent="0.25">
      <c r="A779" s="9"/>
      <c r="B779" s="9"/>
      <c r="C779" s="9"/>
      <c r="D779" s="9"/>
      <c r="E779" s="9"/>
      <c r="F779" s="9"/>
      <c r="G779" s="9"/>
      <c r="H779" s="581"/>
      <c r="I779" s="581"/>
      <c r="J779" s="581"/>
      <c r="K779" s="581"/>
      <c r="L779" s="581"/>
      <c r="M779" s="581"/>
      <c r="N779" s="581"/>
      <c r="O779" s="581"/>
      <c r="P779" s="581"/>
      <c r="Q779" s="581"/>
      <c r="R779" s="581"/>
      <c r="S779" s="581"/>
      <c r="T779" s="581"/>
      <c r="U779" s="9"/>
      <c r="V779" s="9"/>
      <c r="W779" s="9"/>
      <c r="X779" s="9"/>
      <c r="Y779" s="9"/>
      <c r="Z779" s="9"/>
      <c r="AA779" s="9"/>
      <c r="AB779" s="9"/>
      <c r="AC779" s="9"/>
    </row>
    <row r="780" spans="1:29" ht="12.75" customHeight="1" x14ac:dyDescent="0.25">
      <c r="A780" s="9"/>
      <c r="B780" s="9"/>
      <c r="C780" s="9"/>
      <c r="D780" s="9"/>
      <c r="E780" s="9"/>
      <c r="F780" s="9"/>
      <c r="G780" s="9"/>
      <c r="H780" s="581"/>
      <c r="I780" s="581"/>
      <c r="J780" s="581"/>
      <c r="K780" s="581"/>
      <c r="L780" s="581"/>
      <c r="M780" s="581"/>
      <c r="N780" s="581"/>
      <c r="O780" s="581"/>
      <c r="P780" s="581"/>
      <c r="Q780" s="581"/>
      <c r="R780" s="581"/>
      <c r="S780" s="581"/>
      <c r="T780" s="581"/>
      <c r="U780" s="9"/>
      <c r="V780" s="9"/>
      <c r="W780" s="9"/>
      <c r="X780" s="9"/>
      <c r="Y780" s="9"/>
      <c r="Z780" s="9"/>
      <c r="AA780" s="9"/>
      <c r="AB780" s="9"/>
      <c r="AC780" s="9"/>
    </row>
    <row r="781" spans="1:29" ht="12.75" customHeight="1" x14ac:dyDescent="0.25">
      <c r="A781" s="9"/>
      <c r="B781" s="9"/>
      <c r="C781" s="9"/>
      <c r="D781" s="9"/>
      <c r="E781" s="9"/>
      <c r="F781" s="9"/>
      <c r="G781" s="9"/>
      <c r="H781" s="581"/>
      <c r="I781" s="581"/>
      <c r="J781" s="581"/>
      <c r="K781" s="581"/>
      <c r="L781" s="581"/>
      <c r="M781" s="581"/>
      <c r="N781" s="581"/>
      <c r="O781" s="581"/>
      <c r="P781" s="581"/>
      <c r="Q781" s="581"/>
      <c r="R781" s="581"/>
      <c r="S781" s="581"/>
      <c r="T781" s="581"/>
      <c r="U781" s="9"/>
      <c r="V781" s="9"/>
      <c r="W781" s="9"/>
      <c r="X781" s="9"/>
      <c r="Y781" s="9"/>
      <c r="Z781" s="9"/>
      <c r="AA781" s="9"/>
      <c r="AB781" s="9"/>
      <c r="AC781" s="9"/>
    </row>
    <row r="782" spans="1:29" ht="12.75" customHeight="1" x14ac:dyDescent="0.25">
      <c r="A782" s="9"/>
      <c r="B782" s="9"/>
      <c r="C782" s="9"/>
      <c r="D782" s="9"/>
      <c r="E782" s="9"/>
      <c r="F782" s="9"/>
      <c r="G782" s="9"/>
      <c r="H782" s="581"/>
      <c r="I782" s="581"/>
      <c r="J782" s="581"/>
      <c r="K782" s="581"/>
      <c r="L782" s="581"/>
      <c r="M782" s="581"/>
      <c r="N782" s="581"/>
      <c r="O782" s="581"/>
      <c r="P782" s="581"/>
      <c r="Q782" s="581"/>
      <c r="R782" s="581"/>
      <c r="S782" s="581"/>
      <c r="T782" s="581"/>
      <c r="U782" s="9"/>
      <c r="V782" s="9"/>
      <c r="W782" s="9"/>
      <c r="X782" s="9"/>
      <c r="Y782" s="9"/>
      <c r="Z782" s="9"/>
      <c r="AA782" s="9"/>
      <c r="AB782" s="9"/>
      <c r="AC782" s="9"/>
    </row>
    <row r="783" spans="1:29" ht="12.75" customHeight="1" x14ac:dyDescent="0.25">
      <c r="A783" s="9"/>
      <c r="B783" s="9"/>
      <c r="C783" s="9"/>
      <c r="D783" s="9"/>
      <c r="E783" s="9"/>
      <c r="F783" s="9"/>
      <c r="G783" s="9"/>
      <c r="H783" s="581"/>
      <c r="I783" s="581"/>
      <c r="J783" s="581"/>
      <c r="K783" s="581"/>
      <c r="L783" s="581"/>
      <c r="M783" s="581"/>
      <c r="N783" s="581"/>
      <c r="O783" s="581"/>
      <c r="P783" s="581"/>
      <c r="Q783" s="581"/>
      <c r="R783" s="581"/>
      <c r="S783" s="581"/>
      <c r="T783" s="581"/>
      <c r="U783" s="9"/>
      <c r="V783" s="9"/>
      <c r="W783" s="9"/>
      <c r="X783" s="9"/>
      <c r="Y783" s="9"/>
      <c r="Z783" s="9"/>
      <c r="AA783" s="9"/>
      <c r="AB783" s="9"/>
      <c r="AC783" s="9"/>
    </row>
    <row r="784" spans="1:29" ht="12.75" customHeight="1" x14ac:dyDescent="0.25">
      <c r="A784" s="9"/>
      <c r="B784" s="9"/>
      <c r="C784" s="9"/>
      <c r="D784" s="9"/>
      <c r="E784" s="9"/>
      <c r="F784" s="9"/>
      <c r="G784" s="9"/>
      <c r="H784" s="581"/>
      <c r="I784" s="581"/>
      <c r="J784" s="581"/>
      <c r="K784" s="581"/>
      <c r="L784" s="581"/>
      <c r="M784" s="581"/>
      <c r="N784" s="581"/>
      <c r="O784" s="581"/>
      <c r="P784" s="581"/>
      <c r="Q784" s="581"/>
      <c r="R784" s="581"/>
      <c r="S784" s="581"/>
      <c r="T784" s="581"/>
      <c r="U784" s="9"/>
      <c r="V784" s="9"/>
      <c r="W784" s="9"/>
      <c r="X784" s="9"/>
      <c r="Y784" s="9"/>
      <c r="Z784" s="9"/>
      <c r="AA784" s="9"/>
      <c r="AB784" s="9"/>
      <c r="AC784" s="9"/>
    </row>
    <row r="785" spans="1:29" ht="12.75" customHeight="1" x14ac:dyDescent="0.25">
      <c r="A785" s="9"/>
      <c r="B785" s="9"/>
      <c r="C785" s="9"/>
      <c r="D785" s="9"/>
      <c r="E785" s="9"/>
      <c r="F785" s="9"/>
      <c r="G785" s="9"/>
      <c r="H785" s="581"/>
      <c r="I785" s="581"/>
      <c r="J785" s="581"/>
      <c r="K785" s="581"/>
      <c r="L785" s="581"/>
      <c r="M785" s="581"/>
      <c r="N785" s="581"/>
      <c r="O785" s="581"/>
      <c r="P785" s="581"/>
      <c r="Q785" s="581"/>
      <c r="R785" s="581"/>
      <c r="S785" s="581"/>
      <c r="T785" s="581"/>
      <c r="U785" s="9"/>
      <c r="V785" s="9"/>
      <c r="W785" s="9"/>
      <c r="X785" s="9"/>
      <c r="Y785" s="9"/>
      <c r="Z785" s="9"/>
      <c r="AA785" s="9"/>
      <c r="AB785" s="9"/>
      <c r="AC785" s="9"/>
    </row>
    <row r="786" spans="1:29" ht="12.75" customHeight="1" x14ac:dyDescent="0.25">
      <c r="A786" s="9"/>
      <c r="B786" s="9"/>
      <c r="C786" s="9"/>
      <c r="D786" s="9"/>
      <c r="E786" s="9"/>
      <c r="F786" s="9"/>
      <c r="G786" s="9"/>
      <c r="H786" s="581"/>
      <c r="I786" s="581"/>
      <c r="J786" s="581"/>
      <c r="K786" s="581"/>
      <c r="L786" s="581"/>
      <c r="M786" s="581"/>
      <c r="N786" s="581"/>
      <c r="O786" s="581"/>
      <c r="P786" s="581"/>
      <c r="Q786" s="581"/>
      <c r="R786" s="581"/>
      <c r="S786" s="581"/>
      <c r="T786" s="581"/>
      <c r="U786" s="9"/>
      <c r="V786" s="9"/>
      <c r="W786" s="9"/>
      <c r="X786" s="9"/>
      <c r="Y786" s="9"/>
      <c r="Z786" s="9"/>
      <c r="AA786" s="9"/>
      <c r="AB786" s="9"/>
      <c r="AC786" s="9"/>
    </row>
    <row r="787" spans="1:29" ht="12.75" customHeight="1" x14ac:dyDescent="0.25">
      <c r="A787" s="9"/>
      <c r="B787" s="9"/>
      <c r="C787" s="9"/>
      <c r="D787" s="9"/>
      <c r="E787" s="9"/>
      <c r="F787" s="9"/>
      <c r="G787" s="9"/>
      <c r="H787" s="581"/>
      <c r="I787" s="581"/>
      <c r="J787" s="581"/>
      <c r="K787" s="581"/>
      <c r="L787" s="581"/>
      <c r="M787" s="581"/>
      <c r="N787" s="581"/>
      <c r="O787" s="581"/>
      <c r="P787" s="581"/>
      <c r="Q787" s="581"/>
      <c r="R787" s="581"/>
      <c r="S787" s="581"/>
      <c r="T787" s="581"/>
      <c r="U787" s="9"/>
      <c r="V787" s="9"/>
      <c r="W787" s="9"/>
      <c r="X787" s="9"/>
      <c r="Y787" s="9"/>
      <c r="Z787" s="9"/>
      <c r="AA787" s="9"/>
      <c r="AB787" s="9"/>
      <c r="AC787" s="9"/>
    </row>
    <row r="788" spans="1:29" ht="12.75" customHeight="1" x14ac:dyDescent="0.25">
      <c r="A788" s="9"/>
      <c r="B788" s="9"/>
      <c r="C788" s="9"/>
      <c r="D788" s="9"/>
      <c r="E788" s="9"/>
      <c r="F788" s="9"/>
      <c r="G788" s="9"/>
      <c r="H788" s="581"/>
      <c r="I788" s="581"/>
      <c r="J788" s="581"/>
      <c r="K788" s="581"/>
      <c r="L788" s="581"/>
      <c r="M788" s="581"/>
      <c r="N788" s="581"/>
      <c r="O788" s="581"/>
      <c r="P788" s="581"/>
      <c r="Q788" s="581"/>
      <c r="R788" s="581"/>
      <c r="S788" s="581"/>
      <c r="T788" s="581"/>
      <c r="U788" s="9"/>
      <c r="V788" s="9"/>
      <c r="W788" s="9"/>
      <c r="X788" s="9"/>
      <c r="Y788" s="9"/>
      <c r="Z788" s="9"/>
      <c r="AA788" s="9"/>
      <c r="AB788" s="9"/>
      <c r="AC788" s="9"/>
    </row>
    <row r="789" spans="1:29" ht="12.75" customHeight="1" x14ac:dyDescent="0.25">
      <c r="A789" s="9"/>
      <c r="B789" s="9"/>
      <c r="C789" s="9"/>
      <c r="D789" s="9"/>
      <c r="E789" s="9"/>
      <c r="F789" s="9"/>
      <c r="G789" s="9"/>
      <c r="H789" s="581"/>
      <c r="I789" s="581"/>
      <c r="J789" s="581"/>
      <c r="K789" s="581"/>
      <c r="L789" s="581"/>
      <c r="M789" s="581"/>
      <c r="N789" s="581"/>
      <c r="O789" s="581"/>
      <c r="P789" s="581"/>
      <c r="Q789" s="581"/>
      <c r="R789" s="581"/>
      <c r="S789" s="581"/>
      <c r="T789" s="581"/>
      <c r="U789" s="9"/>
      <c r="V789" s="9"/>
      <c r="W789" s="9"/>
      <c r="X789" s="9"/>
      <c r="Y789" s="9"/>
      <c r="Z789" s="9"/>
      <c r="AA789" s="9"/>
      <c r="AB789" s="9"/>
      <c r="AC789" s="9"/>
    </row>
    <row r="790" spans="1:29" ht="12.75" customHeight="1" x14ac:dyDescent="0.25">
      <c r="A790" s="9"/>
      <c r="B790" s="9"/>
      <c r="C790" s="9"/>
      <c r="D790" s="9"/>
      <c r="E790" s="9"/>
      <c r="F790" s="9"/>
      <c r="G790" s="9"/>
      <c r="H790" s="581"/>
      <c r="I790" s="581"/>
      <c r="J790" s="581"/>
      <c r="K790" s="581"/>
      <c r="L790" s="581"/>
      <c r="M790" s="581"/>
      <c r="N790" s="581"/>
      <c r="O790" s="581"/>
      <c r="P790" s="581"/>
      <c r="Q790" s="581"/>
      <c r="R790" s="581"/>
      <c r="S790" s="581"/>
      <c r="T790" s="581"/>
      <c r="U790" s="9"/>
      <c r="V790" s="9"/>
      <c r="W790" s="9"/>
      <c r="X790" s="9"/>
      <c r="Y790" s="9"/>
      <c r="Z790" s="9"/>
      <c r="AA790" s="9"/>
      <c r="AB790" s="9"/>
      <c r="AC790" s="9"/>
    </row>
    <row r="791" spans="1:29" ht="12.75" customHeight="1" x14ac:dyDescent="0.25">
      <c r="A791" s="9"/>
      <c r="B791" s="9"/>
      <c r="C791" s="9"/>
      <c r="D791" s="9"/>
      <c r="E791" s="9"/>
      <c r="F791" s="9"/>
      <c r="G791" s="9"/>
      <c r="H791" s="581"/>
      <c r="I791" s="581"/>
      <c r="J791" s="581"/>
      <c r="K791" s="581"/>
      <c r="L791" s="581"/>
      <c r="M791" s="581"/>
      <c r="N791" s="581"/>
      <c r="O791" s="581"/>
      <c r="P791" s="581"/>
      <c r="Q791" s="581"/>
      <c r="R791" s="581"/>
      <c r="S791" s="581"/>
      <c r="T791" s="581"/>
      <c r="U791" s="9"/>
      <c r="V791" s="9"/>
      <c r="W791" s="9"/>
      <c r="X791" s="9"/>
      <c r="Y791" s="9"/>
      <c r="Z791" s="9"/>
      <c r="AA791" s="9"/>
      <c r="AB791" s="9"/>
      <c r="AC791" s="9"/>
    </row>
    <row r="792" spans="1:29" ht="12.75" customHeight="1" x14ac:dyDescent="0.25">
      <c r="A792" s="9"/>
      <c r="B792" s="9"/>
      <c r="C792" s="9"/>
      <c r="D792" s="9"/>
      <c r="E792" s="9"/>
      <c r="F792" s="9"/>
      <c r="G792" s="9"/>
      <c r="H792" s="581"/>
      <c r="I792" s="581"/>
      <c r="J792" s="581"/>
      <c r="K792" s="581"/>
      <c r="L792" s="581"/>
      <c r="M792" s="581"/>
      <c r="N792" s="581"/>
      <c r="O792" s="581"/>
      <c r="P792" s="581"/>
      <c r="Q792" s="581"/>
      <c r="R792" s="581"/>
      <c r="S792" s="581"/>
      <c r="T792" s="581"/>
      <c r="U792" s="9"/>
      <c r="V792" s="9"/>
      <c r="W792" s="9"/>
      <c r="X792" s="9"/>
      <c r="Y792" s="9"/>
      <c r="Z792" s="9"/>
      <c r="AA792" s="9"/>
      <c r="AB792" s="9"/>
      <c r="AC792" s="9"/>
    </row>
    <row r="793" spans="1:29" ht="12.75" customHeight="1" x14ac:dyDescent="0.25">
      <c r="A793" s="9"/>
      <c r="B793" s="9"/>
      <c r="C793" s="9"/>
      <c r="D793" s="9"/>
      <c r="E793" s="9"/>
      <c r="F793" s="9"/>
      <c r="G793" s="9"/>
      <c r="H793" s="581"/>
      <c r="I793" s="581"/>
      <c r="J793" s="581"/>
      <c r="K793" s="581"/>
      <c r="L793" s="581"/>
      <c r="M793" s="581"/>
      <c r="N793" s="581"/>
      <c r="O793" s="581"/>
      <c r="P793" s="581"/>
      <c r="Q793" s="581"/>
      <c r="R793" s="581"/>
      <c r="S793" s="581"/>
      <c r="T793" s="581"/>
      <c r="U793" s="9"/>
      <c r="V793" s="9"/>
      <c r="W793" s="9"/>
      <c r="X793" s="9"/>
      <c r="Y793" s="9"/>
      <c r="Z793" s="9"/>
      <c r="AA793" s="9"/>
      <c r="AB793" s="9"/>
      <c r="AC793" s="9"/>
    </row>
    <row r="794" spans="1:29" ht="12.75" customHeight="1" x14ac:dyDescent="0.25">
      <c r="A794" s="9"/>
      <c r="B794" s="9"/>
      <c r="C794" s="9"/>
      <c r="D794" s="9"/>
      <c r="E794" s="9"/>
      <c r="F794" s="9"/>
      <c r="G794" s="9"/>
      <c r="H794" s="581"/>
      <c r="I794" s="581"/>
      <c r="J794" s="581"/>
      <c r="K794" s="581"/>
      <c r="L794" s="581"/>
      <c r="M794" s="581"/>
      <c r="N794" s="581"/>
      <c r="O794" s="581"/>
      <c r="P794" s="581"/>
      <c r="Q794" s="581"/>
      <c r="R794" s="581"/>
      <c r="S794" s="581"/>
      <c r="T794" s="581"/>
      <c r="U794" s="9"/>
      <c r="V794" s="9"/>
      <c r="W794" s="9"/>
      <c r="X794" s="9"/>
      <c r="Y794" s="9"/>
      <c r="Z794" s="9"/>
      <c r="AA794" s="9"/>
      <c r="AB794" s="9"/>
      <c r="AC794" s="9"/>
    </row>
    <row r="795" spans="1:29" ht="12.75" customHeight="1" x14ac:dyDescent="0.25">
      <c r="A795" s="9"/>
      <c r="B795" s="9"/>
      <c r="C795" s="9"/>
      <c r="D795" s="9"/>
      <c r="E795" s="9"/>
      <c r="F795" s="9"/>
      <c r="G795" s="9"/>
      <c r="H795" s="581"/>
      <c r="I795" s="581"/>
      <c r="J795" s="581"/>
      <c r="K795" s="581"/>
      <c r="L795" s="581"/>
      <c r="M795" s="581"/>
      <c r="N795" s="581"/>
      <c r="O795" s="581"/>
      <c r="P795" s="581"/>
      <c r="Q795" s="581"/>
      <c r="R795" s="581"/>
      <c r="S795" s="581"/>
      <c r="T795" s="581"/>
      <c r="U795" s="9"/>
      <c r="V795" s="9"/>
      <c r="W795" s="9"/>
      <c r="X795" s="9"/>
      <c r="Y795" s="9"/>
      <c r="Z795" s="9"/>
      <c r="AA795" s="9"/>
      <c r="AB795" s="9"/>
      <c r="AC795" s="9"/>
    </row>
    <row r="796" spans="1:29" ht="12.75" customHeight="1" x14ac:dyDescent="0.25">
      <c r="A796" s="9"/>
      <c r="B796" s="9"/>
      <c r="C796" s="9"/>
      <c r="D796" s="9"/>
      <c r="E796" s="9"/>
      <c r="F796" s="9"/>
      <c r="G796" s="9"/>
      <c r="H796" s="581"/>
      <c r="I796" s="581"/>
      <c r="J796" s="581"/>
      <c r="K796" s="581"/>
      <c r="L796" s="581"/>
      <c r="M796" s="581"/>
      <c r="N796" s="581"/>
      <c r="O796" s="581"/>
      <c r="P796" s="581"/>
      <c r="Q796" s="581"/>
      <c r="R796" s="581"/>
      <c r="S796" s="581"/>
      <c r="T796" s="581"/>
      <c r="U796" s="9"/>
      <c r="V796" s="9"/>
      <c r="W796" s="9"/>
      <c r="X796" s="9"/>
      <c r="Y796" s="9"/>
      <c r="Z796" s="9"/>
      <c r="AA796" s="9"/>
      <c r="AB796" s="9"/>
      <c r="AC796" s="9"/>
    </row>
    <row r="797" spans="1:29" ht="12.75" customHeight="1" x14ac:dyDescent="0.25">
      <c r="A797" s="9"/>
      <c r="B797" s="9"/>
      <c r="C797" s="9"/>
      <c r="D797" s="9"/>
      <c r="E797" s="9"/>
      <c r="F797" s="9"/>
      <c r="G797" s="9"/>
      <c r="H797" s="581"/>
      <c r="I797" s="581"/>
      <c r="J797" s="581"/>
      <c r="K797" s="581"/>
      <c r="L797" s="581"/>
      <c r="M797" s="581"/>
      <c r="N797" s="581"/>
      <c r="O797" s="581"/>
      <c r="P797" s="581"/>
      <c r="Q797" s="581"/>
      <c r="R797" s="581"/>
      <c r="S797" s="581"/>
      <c r="T797" s="581"/>
      <c r="U797" s="9"/>
      <c r="V797" s="9"/>
      <c r="W797" s="9"/>
      <c r="X797" s="9"/>
      <c r="Y797" s="9"/>
      <c r="Z797" s="9"/>
      <c r="AA797" s="9"/>
      <c r="AB797" s="9"/>
      <c r="AC797" s="9"/>
    </row>
    <row r="798" spans="1:29" ht="12.75" customHeight="1" x14ac:dyDescent="0.25">
      <c r="A798" s="9"/>
      <c r="B798" s="9"/>
      <c r="C798" s="9"/>
      <c r="D798" s="9"/>
      <c r="E798" s="9"/>
      <c r="F798" s="9"/>
      <c r="G798" s="9"/>
      <c r="H798" s="581"/>
      <c r="I798" s="581"/>
      <c r="J798" s="581"/>
      <c r="K798" s="581"/>
      <c r="L798" s="581"/>
      <c r="M798" s="581"/>
      <c r="N798" s="581"/>
      <c r="O798" s="581"/>
      <c r="P798" s="581"/>
      <c r="Q798" s="581"/>
      <c r="R798" s="581"/>
      <c r="S798" s="581"/>
      <c r="T798" s="581"/>
      <c r="U798" s="9"/>
      <c r="V798" s="9"/>
      <c r="W798" s="9"/>
      <c r="X798" s="9"/>
      <c r="Y798" s="9"/>
      <c r="Z798" s="9"/>
      <c r="AA798" s="9"/>
      <c r="AB798" s="9"/>
      <c r="AC798" s="9"/>
    </row>
    <row r="799" spans="1:29" ht="12.75" customHeight="1" x14ac:dyDescent="0.25">
      <c r="A799" s="9"/>
      <c r="B799" s="9"/>
      <c r="C799" s="9"/>
      <c r="D799" s="9"/>
      <c r="E799" s="9"/>
      <c r="F799" s="9"/>
      <c r="G799" s="9"/>
      <c r="H799" s="581"/>
      <c r="I799" s="581"/>
      <c r="J799" s="581"/>
      <c r="K799" s="581"/>
      <c r="L799" s="581"/>
      <c r="M799" s="581"/>
      <c r="N799" s="581"/>
      <c r="O799" s="581"/>
      <c r="P799" s="581"/>
      <c r="Q799" s="581"/>
      <c r="R799" s="581"/>
      <c r="S799" s="581"/>
      <c r="T799" s="581"/>
      <c r="U799" s="9"/>
      <c r="V799" s="9"/>
      <c r="W799" s="9"/>
      <c r="X799" s="9"/>
      <c r="Y799" s="9"/>
      <c r="Z799" s="9"/>
      <c r="AA799" s="9"/>
      <c r="AB799" s="9"/>
      <c r="AC799" s="9"/>
    </row>
    <row r="800" spans="1:29" ht="12.75" customHeight="1" x14ac:dyDescent="0.25">
      <c r="A800" s="9"/>
      <c r="B800" s="9"/>
      <c r="C800" s="9"/>
      <c r="D800" s="9"/>
      <c r="E800" s="9"/>
      <c r="F800" s="9"/>
      <c r="G800" s="9"/>
      <c r="H800" s="581"/>
      <c r="I800" s="581"/>
      <c r="J800" s="581"/>
      <c r="K800" s="581"/>
      <c r="L800" s="581"/>
      <c r="M800" s="581"/>
      <c r="N800" s="581"/>
      <c r="O800" s="581"/>
      <c r="P800" s="581"/>
      <c r="Q800" s="581"/>
      <c r="R800" s="581"/>
      <c r="S800" s="581"/>
      <c r="T800" s="581"/>
      <c r="U800" s="9"/>
      <c r="V800" s="9"/>
      <c r="W800" s="9"/>
      <c r="X800" s="9"/>
      <c r="Y800" s="9"/>
      <c r="Z800" s="9"/>
      <c r="AA800" s="9"/>
      <c r="AB800" s="9"/>
      <c r="AC800" s="9"/>
    </row>
    <row r="801" spans="1:29" ht="12.75" customHeight="1" x14ac:dyDescent="0.25">
      <c r="A801" s="9"/>
      <c r="B801" s="9"/>
      <c r="C801" s="9"/>
      <c r="D801" s="9"/>
      <c r="E801" s="9"/>
      <c r="F801" s="9"/>
      <c r="G801" s="9"/>
      <c r="H801" s="581"/>
      <c r="I801" s="581"/>
      <c r="J801" s="581"/>
      <c r="K801" s="581"/>
      <c r="L801" s="581"/>
      <c r="M801" s="581"/>
      <c r="N801" s="581"/>
      <c r="O801" s="581"/>
      <c r="P801" s="581"/>
      <c r="Q801" s="581"/>
      <c r="R801" s="581"/>
      <c r="S801" s="581"/>
      <c r="T801" s="581"/>
      <c r="U801" s="9"/>
      <c r="V801" s="9"/>
      <c r="W801" s="9"/>
      <c r="X801" s="9"/>
      <c r="Y801" s="9"/>
      <c r="Z801" s="9"/>
      <c r="AA801" s="9"/>
      <c r="AB801" s="9"/>
      <c r="AC801" s="9"/>
    </row>
    <row r="802" spans="1:29" ht="12.75" customHeight="1" x14ac:dyDescent="0.25">
      <c r="A802" s="9"/>
      <c r="B802" s="9"/>
      <c r="C802" s="9"/>
      <c r="D802" s="9"/>
      <c r="E802" s="9"/>
      <c r="F802" s="9"/>
      <c r="G802" s="9"/>
      <c r="H802" s="581"/>
      <c r="I802" s="581"/>
      <c r="J802" s="581"/>
      <c r="K802" s="581"/>
      <c r="L802" s="581"/>
      <c r="M802" s="581"/>
      <c r="N802" s="581"/>
      <c r="O802" s="581"/>
      <c r="P802" s="581"/>
      <c r="Q802" s="581"/>
      <c r="R802" s="581"/>
      <c r="S802" s="581"/>
      <c r="T802" s="581"/>
      <c r="U802" s="9"/>
      <c r="V802" s="9"/>
      <c r="W802" s="9"/>
      <c r="X802" s="9"/>
      <c r="Y802" s="9"/>
      <c r="Z802" s="9"/>
      <c r="AA802" s="9"/>
      <c r="AB802" s="9"/>
      <c r="AC802" s="9"/>
    </row>
    <row r="803" spans="1:29" ht="12.75" customHeight="1" x14ac:dyDescent="0.25">
      <c r="A803" s="9"/>
      <c r="B803" s="9"/>
      <c r="C803" s="9"/>
      <c r="D803" s="9"/>
      <c r="E803" s="9"/>
      <c r="F803" s="9"/>
      <c r="G803" s="9"/>
      <c r="H803" s="581"/>
      <c r="I803" s="581"/>
      <c r="J803" s="581"/>
      <c r="K803" s="581"/>
      <c r="L803" s="581"/>
      <c r="M803" s="581"/>
      <c r="N803" s="581"/>
      <c r="O803" s="581"/>
      <c r="P803" s="581"/>
      <c r="Q803" s="581"/>
      <c r="R803" s="581"/>
      <c r="S803" s="581"/>
      <c r="T803" s="581"/>
      <c r="U803" s="9"/>
      <c r="V803" s="9"/>
      <c r="W803" s="9"/>
      <c r="X803" s="9"/>
      <c r="Y803" s="9"/>
      <c r="Z803" s="9"/>
      <c r="AA803" s="9"/>
      <c r="AB803" s="9"/>
      <c r="AC803" s="9"/>
    </row>
    <row r="804" spans="1:29" ht="12.75" customHeight="1" x14ac:dyDescent="0.25">
      <c r="A804" s="9"/>
      <c r="B804" s="9"/>
      <c r="C804" s="9"/>
      <c r="D804" s="9"/>
      <c r="E804" s="9"/>
      <c r="F804" s="9"/>
      <c r="G804" s="9"/>
      <c r="H804" s="581"/>
      <c r="I804" s="581"/>
      <c r="J804" s="581"/>
      <c r="K804" s="581"/>
      <c r="L804" s="581"/>
      <c r="M804" s="581"/>
      <c r="N804" s="581"/>
      <c r="O804" s="581"/>
      <c r="P804" s="581"/>
      <c r="Q804" s="581"/>
      <c r="R804" s="581"/>
      <c r="S804" s="581"/>
      <c r="T804" s="581"/>
      <c r="U804" s="9"/>
      <c r="V804" s="9"/>
      <c r="W804" s="9"/>
      <c r="X804" s="9"/>
      <c r="Y804" s="9"/>
      <c r="Z804" s="9"/>
      <c r="AA804" s="9"/>
      <c r="AB804" s="9"/>
      <c r="AC804" s="9"/>
    </row>
    <row r="805" spans="1:29" ht="12.75" customHeight="1" x14ac:dyDescent="0.25">
      <c r="A805" s="9"/>
      <c r="B805" s="9"/>
      <c r="C805" s="9"/>
      <c r="D805" s="9"/>
      <c r="E805" s="9"/>
      <c r="F805" s="9"/>
      <c r="G805" s="9"/>
      <c r="H805" s="581"/>
      <c r="I805" s="581"/>
      <c r="J805" s="581"/>
      <c r="K805" s="581"/>
      <c r="L805" s="581"/>
      <c r="M805" s="581"/>
      <c r="N805" s="581"/>
      <c r="O805" s="581"/>
      <c r="P805" s="581"/>
      <c r="Q805" s="581"/>
      <c r="R805" s="581"/>
      <c r="S805" s="581"/>
      <c r="T805" s="581"/>
      <c r="U805" s="9"/>
      <c r="V805" s="9"/>
      <c r="W805" s="9"/>
      <c r="X805" s="9"/>
      <c r="Y805" s="9"/>
      <c r="Z805" s="9"/>
      <c r="AA805" s="9"/>
      <c r="AB805" s="9"/>
      <c r="AC805" s="9"/>
    </row>
    <row r="806" spans="1:29" ht="12.75" customHeight="1" x14ac:dyDescent="0.25">
      <c r="A806" s="9"/>
      <c r="B806" s="9"/>
      <c r="C806" s="9"/>
      <c r="D806" s="9"/>
      <c r="E806" s="9"/>
      <c r="F806" s="9"/>
      <c r="G806" s="9"/>
      <c r="H806" s="581"/>
      <c r="I806" s="581"/>
      <c r="J806" s="581"/>
      <c r="K806" s="581"/>
      <c r="L806" s="581"/>
      <c r="M806" s="581"/>
      <c r="N806" s="581"/>
      <c r="O806" s="581"/>
      <c r="P806" s="581"/>
      <c r="Q806" s="581"/>
      <c r="R806" s="581"/>
      <c r="S806" s="581"/>
      <c r="T806" s="581"/>
      <c r="U806" s="9"/>
      <c r="V806" s="9"/>
      <c r="W806" s="9"/>
      <c r="X806" s="9"/>
      <c r="Y806" s="9"/>
      <c r="Z806" s="9"/>
      <c r="AA806" s="9"/>
      <c r="AB806" s="9"/>
      <c r="AC806" s="9"/>
    </row>
    <row r="807" spans="1:29" ht="12.75" customHeight="1" x14ac:dyDescent="0.25">
      <c r="A807" s="9"/>
      <c r="B807" s="9"/>
      <c r="C807" s="9"/>
      <c r="D807" s="9"/>
      <c r="E807" s="9"/>
      <c r="F807" s="9"/>
      <c r="G807" s="9"/>
      <c r="H807" s="581"/>
      <c r="I807" s="581"/>
      <c r="J807" s="581"/>
      <c r="K807" s="581"/>
      <c r="L807" s="581"/>
      <c r="M807" s="581"/>
      <c r="N807" s="581"/>
      <c r="O807" s="581"/>
      <c r="P807" s="581"/>
      <c r="Q807" s="581"/>
      <c r="R807" s="581"/>
      <c r="S807" s="581"/>
      <c r="T807" s="581"/>
      <c r="U807" s="9"/>
      <c r="V807" s="9"/>
      <c r="W807" s="9"/>
      <c r="X807" s="9"/>
      <c r="Y807" s="9"/>
      <c r="Z807" s="9"/>
      <c r="AA807" s="9"/>
      <c r="AB807" s="9"/>
      <c r="AC807" s="9"/>
    </row>
    <row r="808" spans="1:29" ht="12.75" customHeight="1" x14ac:dyDescent="0.25">
      <c r="A808" s="9"/>
      <c r="B808" s="9"/>
      <c r="C808" s="9"/>
      <c r="D808" s="9"/>
      <c r="E808" s="9"/>
      <c r="F808" s="9"/>
      <c r="G808" s="9"/>
      <c r="H808" s="581"/>
      <c r="I808" s="581"/>
      <c r="J808" s="581"/>
      <c r="K808" s="581"/>
      <c r="L808" s="581"/>
      <c r="M808" s="581"/>
      <c r="N808" s="581"/>
      <c r="O808" s="581"/>
      <c r="P808" s="581"/>
      <c r="Q808" s="581"/>
      <c r="R808" s="581"/>
      <c r="S808" s="581"/>
      <c r="T808" s="581"/>
      <c r="U808" s="9"/>
      <c r="V808" s="9"/>
      <c r="W808" s="9"/>
      <c r="X808" s="9"/>
      <c r="Y808" s="9"/>
      <c r="Z808" s="9"/>
      <c r="AA808" s="9"/>
      <c r="AB808" s="9"/>
      <c r="AC808" s="9"/>
    </row>
    <row r="809" spans="1:29" ht="12.75" customHeight="1" x14ac:dyDescent="0.25">
      <c r="A809" s="9"/>
      <c r="B809" s="9"/>
      <c r="C809" s="9"/>
      <c r="D809" s="9"/>
      <c r="E809" s="9"/>
      <c r="F809" s="9"/>
      <c r="G809" s="9"/>
      <c r="H809" s="581"/>
      <c r="I809" s="581"/>
      <c r="J809" s="581"/>
      <c r="K809" s="581"/>
      <c r="L809" s="581"/>
      <c r="M809" s="581"/>
      <c r="N809" s="581"/>
      <c r="O809" s="581"/>
      <c r="P809" s="581"/>
      <c r="Q809" s="581"/>
      <c r="R809" s="581"/>
      <c r="S809" s="581"/>
      <c r="T809" s="581"/>
      <c r="U809" s="9"/>
      <c r="V809" s="9"/>
      <c r="W809" s="9"/>
      <c r="X809" s="9"/>
      <c r="Y809" s="9"/>
      <c r="Z809" s="9"/>
      <c r="AA809" s="9"/>
      <c r="AB809" s="9"/>
      <c r="AC809" s="9"/>
    </row>
    <row r="810" spans="1:29" ht="12.75" customHeight="1" x14ac:dyDescent="0.25">
      <c r="A810" s="9"/>
      <c r="B810" s="9"/>
      <c r="C810" s="9"/>
      <c r="D810" s="9"/>
      <c r="E810" s="9"/>
      <c r="F810" s="9"/>
      <c r="G810" s="9"/>
      <c r="H810" s="581"/>
      <c r="I810" s="581"/>
      <c r="J810" s="581"/>
      <c r="K810" s="581"/>
      <c r="L810" s="581"/>
      <c r="M810" s="581"/>
      <c r="N810" s="581"/>
      <c r="O810" s="581"/>
      <c r="P810" s="581"/>
      <c r="Q810" s="581"/>
      <c r="R810" s="581"/>
      <c r="S810" s="581"/>
      <c r="T810" s="581"/>
      <c r="U810" s="9"/>
      <c r="V810" s="9"/>
      <c r="W810" s="9"/>
      <c r="X810" s="9"/>
      <c r="Y810" s="9"/>
      <c r="Z810" s="9"/>
      <c r="AA810" s="9"/>
      <c r="AB810" s="9"/>
      <c r="AC810" s="9"/>
    </row>
    <row r="811" spans="1:29" ht="12.75" customHeight="1" x14ac:dyDescent="0.25">
      <c r="A811" s="9"/>
      <c r="B811" s="9"/>
      <c r="C811" s="9"/>
      <c r="D811" s="9"/>
      <c r="E811" s="9"/>
      <c r="F811" s="9"/>
      <c r="G811" s="9"/>
      <c r="H811" s="581"/>
      <c r="I811" s="581"/>
      <c r="J811" s="581"/>
      <c r="K811" s="581"/>
      <c r="L811" s="581"/>
      <c r="M811" s="581"/>
      <c r="N811" s="581"/>
      <c r="O811" s="581"/>
      <c r="P811" s="581"/>
      <c r="Q811" s="581"/>
      <c r="R811" s="581"/>
      <c r="S811" s="581"/>
      <c r="T811" s="581"/>
      <c r="U811" s="9"/>
      <c r="V811" s="9"/>
      <c r="W811" s="9"/>
      <c r="X811" s="9"/>
      <c r="Y811" s="9"/>
      <c r="Z811" s="9"/>
      <c r="AA811" s="9"/>
      <c r="AB811" s="9"/>
      <c r="AC811" s="9"/>
    </row>
    <row r="812" spans="1:29" ht="12.75" customHeight="1" x14ac:dyDescent="0.25">
      <c r="A812" s="9"/>
      <c r="B812" s="9"/>
      <c r="C812" s="9"/>
      <c r="D812" s="9"/>
      <c r="E812" s="9"/>
      <c r="F812" s="9"/>
      <c r="G812" s="9"/>
      <c r="H812" s="581"/>
      <c r="I812" s="581"/>
      <c r="J812" s="581"/>
      <c r="K812" s="581"/>
      <c r="L812" s="581"/>
      <c r="M812" s="581"/>
      <c r="N812" s="581"/>
      <c r="O812" s="581"/>
      <c r="P812" s="581"/>
      <c r="Q812" s="581"/>
      <c r="R812" s="581"/>
      <c r="S812" s="581"/>
      <c r="T812" s="581"/>
      <c r="U812" s="9"/>
      <c r="V812" s="9"/>
      <c r="W812" s="9"/>
      <c r="X812" s="9"/>
      <c r="Y812" s="9"/>
      <c r="Z812" s="9"/>
      <c r="AA812" s="9"/>
      <c r="AB812" s="9"/>
      <c r="AC812" s="9"/>
    </row>
    <row r="813" spans="1:29" ht="12.75" customHeight="1" x14ac:dyDescent="0.25">
      <c r="A813" s="9"/>
      <c r="B813" s="9"/>
      <c r="C813" s="9"/>
      <c r="D813" s="9"/>
      <c r="E813" s="9"/>
      <c r="F813" s="9"/>
      <c r="G813" s="9"/>
      <c r="H813" s="581"/>
      <c r="I813" s="581"/>
      <c r="J813" s="581"/>
      <c r="K813" s="581"/>
      <c r="L813" s="581"/>
      <c r="M813" s="581"/>
      <c r="N813" s="581"/>
      <c r="O813" s="581"/>
      <c r="P813" s="581"/>
      <c r="Q813" s="581"/>
      <c r="R813" s="581"/>
      <c r="S813" s="581"/>
      <c r="T813" s="581"/>
      <c r="U813" s="9"/>
      <c r="V813" s="9"/>
      <c r="W813" s="9"/>
      <c r="X813" s="9"/>
      <c r="Y813" s="9"/>
      <c r="Z813" s="9"/>
      <c r="AA813" s="9"/>
      <c r="AB813" s="9"/>
      <c r="AC813" s="9"/>
    </row>
    <row r="814" spans="1:29" ht="12.75" customHeight="1" x14ac:dyDescent="0.25">
      <c r="A814" s="9"/>
      <c r="B814" s="9"/>
      <c r="C814" s="9"/>
      <c r="D814" s="9"/>
      <c r="E814" s="9"/>
      <c r="F814" s="9"/>
      <c r="G814" s="9"/>
      <c r="H814" s="581"/>
      <c r="I814" s="581"/>
      <c r="J814" s="581"/>
      <c r="K814" s="581"/>
      <c r="L814" s="581"/>
      <c r="M814" s="581"/>
      <c r="N814" s="581"/>
      <c r="O814" s="581"/>
      <c r="P814" s="581"/>
      <c r="Q814" s="581"/>
      <c r="R814" s="581"/>
      <c r="S814" s="581"/>
      <c r="T814" s="581"/>
      <c r="U814" s="9"/>
      <c r="V814" s="9"/>
      <c r="W814" s="9"/>
      <c r="X814" s="9"/>
      <c r="Y814" s="9"/>
      <c r="Z814" s="9"/>
      <c r="AA814" s="9"/>
      <c r="AB814" s="9"/>
      <c r="AC814" s="9"/>
    </row>
    <row r="815" spans="1:29" ht="12.75" customHeight="1" x14ac:dyDescent="0.25">
      <c r="A815" s="9"/>
      <c r="B815" s="9"/>
      <c r="C815" s="9"/>
      <c r="D815" s="9"/>
      <c r="E815" s="9"/>
      <c r="F815" s="9"/>
      <c r="G815" s="9"/>
      <c r="H815" s="581"/>
      <c r="I815" s="581"/>
      <c r="J815" s="581"/>
      <c r="K815" s="581"/>
      <c r="L815" s="581"/>
      <c r="M815" s="581"/>
      <c r="N815" s="581"/>
      <c r="O815" s="581"/>
      <c r="P815" s="581"/>
      <c r="Q815" s="581"/>
      <c r="R815" s="581"/>
      <c r="S815" s="581"/>
      <c r="T815" s="581"/>
      <c r="U815" s="9"/>
      <c r="V815" s="9"/>
      <c r="W815" s="9"/>
      <c r="X815" s="9"/>
      <c r="Y815" s="9"/>
      <c r="Z815" s="9"/>
      <c r="AA815" s="9"/>
      <c r="AB815" s="9"/>
      <c r="AC815" s="9"/>
    </row>
    <row r="816" spans="1:29" ht="12.75" customHeight="1" x14ac:dyDescent="0.25">
      <c r="A816" s="9"/>
      <c r="B816" s="9"/>
      <c r="C816" s="9"/>
      <c r="D816" s="9"/>
      <c r="E816" s="9"/>
      <c r="F816" s="9"/>
      <c r="G816" s="9"/>
      <c r="H816" s="581"/>
      <c r="I816" s="581"/>
      <c r="J816" s="581"/>
      <c r="K816" s="581"/>
      <c r="L816" s="581"/>
      <c r="M816" s="581"/>
      <c r="N816" s="581"/>
      <c r="O816" s="581"/>
      <c r="P816" s="581"/>
      <c r="Q816" s="581"/>
      <c r="R816" s="581"/>
      <c r="S816" s="581"/>
      <c r="T816" s="581"/>
      <c r="U816" s="9"/>
      <c r="V816" s="9"/>
      <c r="W816" s="9"/>
      <c r="X816" s="9"/>
      <c r="Y816" s="9"/>
      <c r="Z816" s="9"/>
      <c r="AA816" s="9"/>
      <c r="AB816" s="9"/>
      <c r="AC816" s="9"/>
    </row>
    <row r="817" spans="1:29" ht="12.75" customHeight="1" x14ac:dyDescent="0.25">
      <c r="A817" s="9"/>
      <c r="B817" s="9"/>
      <c r="C817" s="9"/>
      <c r="D817" s="9"/>
      <c r="E817" s="9"/>
      <c r="F817" s="9"/>
      <c r="G817" s="9"/>
      <c r="H817" s="581"/>
      <c r="I817" s="581"/>
      <c r="J817" s="581"/>
      <c r="K817" s="581"/>
      <c r="L817" s="581"/>
      <c r="M817" s="581"/>
      <c r="N817" s="581"/>
      <c r="O817" s="581"/>
      <c r="P817" s="581"/>
      <c r="Q817" s="581"/>
      <c r="R817" s="581"/>
      <c r="S817" s="581"/>
      <c r="T817" s="581"/>
      <c r="U817" s="9"/>
      <c r="V817" s="9"/>
      <c r="W817" s="9"/>
      <c r="X817" s="9"/>
      <c r="Y817" s="9"/>
      <c r="Z817" s="9"/>
      <c r="AA817" s="9"/>
      <c r="AB817" s="9"/>
      <c r="AC817" s="9"/>
    </row>
    <row r="818" spans="1:29" ht="12.75" customHeight="1" x14ac:dyDescent="0.25">
      <c r="A818" s="9"/>
      <c r="B818" s="9"/>
      <c r="C818" s="9"/>
      <c r="D818" s="9"/>
      <c r="E818" s="9"/>
      <c r="F818" s="9"/>
      <c r="G818" s="9"/>
      <c r="H818" s="581"/>
      <c r="I818" s="581"/>
      <c r="J818" s="581"/>
      <c r="K818" s="581"/>
      <c r="L818" s="581"/>
      <c r="M818" s="581"/>
      <c r="N818" s="581"/>
      <c r="O818" s="581"/>
      <c r="P818" s="581"/>
      <c r="Q818" s="581"/>
      <c r="R818" s="581"/>
      <c r="S818" s="581"/>
      <c r="T818" s="581"/>
      <c r="U818" s="9"/>
      <c r="V818" s="9"/>
      <c r="W818" s="9"/>
      <c r="X818" s="9"/>
      <c r="Y818" s="9"/>
      <c r="Z818" s="9"/>
      <c r="AA818" s="9"/>
      <c r="AB818" s="9"/>
      <c r="AC818" s="9"/>
    </row>
    <row r="819" spans="1:29" ht="12.75" customHeight="1" x14ac:dyDescent="0.25">
      <c r="A819" s="9"/>
      <c r="B819" s="9"/>
      <c r="C819" s="9"/>
      <c r="D819" s="9"/>
      <c r="E819" s="9"/>
      <c r="F819" s="9"/>
      <c r="G819" s="9"/>
      <c r="H819" s="581"/>
      <c r="I819" s="581"/>
      <c r="J819" s="581"/>
      <c r="K819" s="581"/>
      <c r="L819" s="581"/>
      <c r="M819" s="581"/>
      <c r="N819" s="581"/>
      <c r="O819" s="581"/>
      <c r="P819" s="581"/>
      <c r="Q819" s="581"/>
      <c r="R819" s="581"/>
      <c r="S819" s="581"/>
      <c r="T819" s="581"/>
      <c r="U819" s="9"/>
      <c r="V819" s="9"/>
      <c r="W819" s="9"/>
      <c r="X819" s="9"/>
      <c r="Y819" s="9"/>
      <c r="Z819" s="9"/>
      <c r="AA819" s="9"/>
      <c r="AB819" s="9"/>
      <c r="AC819" s="9"/>
    </row>
    <row r="820" spans="1:29" ht="12.75" customHeight="1" x14ac:dyDescent="0.25">
      <c r="A820" s="9"/>
      <c r="B820" s="9"/>
      <c r="C820" s="9"/>
      <c r="D820" s="9"/>
      <c r="E820" s="9"/>
      <c r="F820" s="9"/>
      <c r="G820" s="9"/>
      <c r="H820" s="581"/>
      <c r="I820" s="581"/>
      <c r="J820" s="581"/>
      <c r="K820" s="581"/>
      <c r="L820" s="581"/>
      <c r="M820" s="581"/>
      <c r="N820" s="581"/>
      <c r="O820" s="581"/>
      <c r="P820" s="581"/>
      <c r="Q820" s="581"/>
      <c r="R820" s="581"/>
      <c r="S820" s="581"/>
      <c r="T820" s="581"/>
      <c r="U820" s="9"/>
      <c r="V820" s="9"/>
      <c r="W820" s="9"/>
      <c r="X820" s="9"/>
      <c r="Y820" s="9"/>
      <c r="Z820" s="9"/>
      <c r="AA820" s="9"/>
      <c r="AB820" s="9"/>
      <c r="AC820" s="9"/>
    </row>
    <row r="821" spans="1:29" ht="12.75" customHeight="1" x14ac:dyDescent="0.25">
      <c r="A821" s="9"/>
      <c r="B821" s="9"/>
      <c r="C821" s="9"/>
      <c r="D821" s="9"/>
      <c r="E821" s="9"/>
      <c r="F821" s="9"/>
      <c r="G821" s="9"/>
      <c r="H821" s="581"/>
      <c r="I821" s="581"/>
      <c r="J821" s="581"/>
      <c r="K821" s="581"/>
      <c r="L821" s="581"/>
      <c r="M821" s="581"/>
      <c r="N821" s="581"/>
      <c r="O821" s="581"/>
      <c r="P821" s="581"/>
      <c r="Q821" s="581"/>
      <c r="R821" s="581"/>
      <c r="S821" s="581"/>
      <c r="T821" s="581"/>
      <c r="U821" s="9"/>
      <c r="V821" s="9"/>
      <c r="W821" s="9"/>
      <c r="X821" s="9"/>
      <c r="Y821" s="9"/>
      <c r="Z821" s="9"/>
      <c r="AA821" s="9"/>
      <c r="AB821" s="9"/>
      <c r="AC821" s="9"/>
    </row>
    <row r="822" spans="1:29" ht="12.75" customHeight="1" x14ac:dyDescent="0.25">
      <c r="A822" s="9"/>
      <c r="B822" s="9"/>
      <c r="C822" s="9"/>
      <c r="D822" s="9"/>
      <c r="E822" s="9"/>
      <c r="F822" s="9"/>
      <c r="G822" s="9"/>
      <c r="H822" s="581"/>
      <c r="I822" s="581"/>
      <c r="J822" s="581"/>
      <c r="K822" s="581"/>
      <c r="L822" s="581"/>
      <c r="M822" s="581"/>
      <c r="N822" s="581"/>
      <c r="O822" s="581"/>
      <c r="P822" s="581"/>
      <c r="Q822" s="581"/>
      <c r="R822" s="581"/>
      <c r="S822" s="581"/>
      <c r="T822" s="581"/>
      <c r="U822" s="9"/>
      <c r="V822" s="9"/>
      <c r="W822" s="9"/>
      <c r="X822" s="9"/>
      <c r="Y822" s="9"/>
      <c r="Z822" s="9"/>
      <c r="AA822" s="9"/>
      <c r="AB822" s="9"/>
      <c r="AC822" s="9"/>
    </row>
    <row r="823" spans="1:29" ht="12.75" customHeight="1" x14ac:dyDescent="0.25">
      <c r="A823" s="9"/>
      <c r="B823" s="9"/>
      <c r="C823" s="9"/>
      <c r="D823" s="9"/>
      <c r="E823" s="9"/>
      <c r="F823" s="9"/>
      <c r="G823" s="9"/>
      <c r="H823" s="581"/>
      <c r="I823" s="581"/>
      <c r="J823" s="581"/>
      <c r="K823" s="581"/>
      <c r="L823" s="581"/>
      <c r="M823" s="581"/>
      <c r="N823" s="581"/>
      <c r="O823" s="581"/>
      <c r="P823" s="581"/>
      <c r="Q823" s="581"/>
      <c r="R823" s="581"/>
      <c r="S823" s="581"/>
      <c r="T823" s="581"/>
      <c r="U823" s="9"/>
      <c r="V823" s="9"/>
      <c r="W823" s="9"/>
      <c r="X823" s="9"/>
      <c r="Y823" s="9"/>
      <c r="Z823" s="9"/>
      <c r="AA823" s="9"/>
      <c r="AB823" s="9"/>
      <c r="AC823" s="9"/>
    </row>
    <row r="824" spans="1:29" ht="12.75" customHeight="1" x14ac:dyDescent="0.25">
      <c r="A824" s="9"/>
      <c r="B824" s="9"/>
      <c r="C824" s="9"/>
      <c r="D824" s="9"/>
      <c r="E824" s="9"/>
      <c r="F824" s="9"/>
      <c r="G824" s="9"/>
      <c r="H824" s="581"/>
      <c r="I824" s="581"/>
      <c r="J824" s="581"/>
      <c r="K824" s="581"/>
      <c r="L824" s="581"/>
      <c r="M824" s="581"/>
      <c r="N824" s="581"/>
      <c r="O824" s="581"/>
      <c r="P824" s="581"/>
      <c r="Q824" s="581"/>
      <c r="R824" s="581"/>
      <c r="S824" s="581"/>
      <c r="T824" s="581"/>
      <c r="U824" s="9"/>
      <c r="V824" s="9"/>
      <c r="W824" s="9"/>
      <c r="X824" s="9"/>
      <c r="Y824" s="9"/>
      <c r="Z824" s="9"/>
      <c r="AA824" s="9"/>
      <c r="AB824" s="9"/>
      <c r="AC824" s="9"/>
    </row>
    <row r="825" spans="1:29" ht="12.75" customHeight="1" x14ac:dyDescent="0.25">
      <c r="A825" s="9"/>
      <c r="B825" s="9"/>
      <c r="C825" s="9"/>
      <c r="D825" s="9"/>
      <c r="E825" s="9"/>
      <c r="F825" s="9"/>
      <c r="G825" s="9"/>
      <c r="H825" s="581"/>
      <c r="I825" s="581"/>
      <c r="J825" s="581"/>
      <c r="K825" s="581"/>
      <c r="L825" s="581"/>
      <c r="M825" s="581"/>
      <c r="N825" s="581"/>
      <c r="O825" s="581"/>
      <c r="P825" s="581"/>
      <c r="Q825" s="581"/>
      <c r="R825" s="581"/>
      <c r="S825" s="581"/>
      <c r="T825" s="581"/>
      <c r="U825" s="9"/>
      <c r="V825" s="9"/>
      <c r="W825" s="9"/>
      <c r="X825" s="9"/>
      <c r="Y825" s="9"/>
      <c r="Z825" s="9"/>
      <c r="AA825" s="9"/>
      <c r="AB825" s="9"/>
      <c r="AC825" s="9"/>
    </row>
    <row r="826" spans="1:29" ht="12.75" customHeight="1" x14ac:dyDescent="0.25">
      <c r="A826" s="9"/>
      <c r="B826" s="9"/>
      <c r="C826" s="9"/>
      <c r="D826" s="9"/>
      <c r="E826" s="9"/>
      <c r="F826" s="9"/>
      <c r="G826" s="9"/>
      <c r="H826" s="581"/>
      <c r="I826" s="581"/>
      <c r="J826" s="581"/>
      <c r="K826" s="581"/>
      <c r="L826" s="581"/>
      <c r="M826" s="581"/>
      <c r="N826" s="581"/>
      <c r="O826" s="581"/>
      <c r="P826" s="581"/>
      <c r="Q826" s="581"/>
      <c r="R826" s="581"/>
      <c r="S826" s="581"/>
      <c r="T826" s="581"/>
      <c r="U826" s="9"/>
      <c r="V826" s="9"/>
      <c r="W826" s="9"/>
      <c r="X826" s="9"/>
      <c r="Y826" s="9"/>
      <c r="Z826" s="9"/>
      <c r="AA826" s="9"/>
      <c r="AB826" s="9"/>
      <c r="AC826" s="9"/>
    </row>
    <row r="827" spans="1:29" ht="12.75" customHeight="1" x14ac:dyDescent="0.25">
      <c r="A827" s="9"/>
      <c r="B827" s="9"/>
      <c r="C827" s="9"/>
      <c r="D827" s="9"/>
      <c r="E827" s="9"/>
      <c r="F827" s="9"/>
      <c r="G827" s="9"/>
      <c r="H827" s="581"/>
      <c r="I827" s="581"/>
      <c r="J827" s="581"/>
      <c r="K827" s="581"/>
      <c r="L827" s="581"/>
      <c r="M827" s="581"/>
      <c r="N827" s="581"/>
      <c r="O827" s="581"/>
      <c r="P827" s="581"/>
      <c r="Q827" s="581"/>
      <c r="R827" s="581"/>
      <c r="S827" s="581"/>
      <c r="T827" s="581"/>
      <c r="U827" s="9"/>
      <c r="V827" s="9"/>
      <c r="W827" s="9"/>
      <c r="X827" s="9"/>
      <c r="Y827" s="9"/>
      <c r="Z827" s="9"/>
      <c r="AA827" s="9"/>
      <c r="AB827" s="9"/>
      <c r="AC827" s="9"/>
    </row>
    <row r="828" spans="1:29" ht="12.75" customHeight="1" x14ac:dyDescent="0.25">
      <c r="A828" s="9"/>
      <c r="B828" s="9"/>
      <c r="C828" s="9"/>
      <c r="D828" s="9"/>
      <c r="E828" s="9"/>
      <c r="F828" s="9"/>
      <c r="G828" s="9"/>
      <c r="H828" s="581"/>
      <c r="I828" s="581"/>
      <c r="J828" s="581"/>
      <c r="K828" s="581"/>
      <c r="L828" s="581"/>
      <c r="M828" s="581"/>
      <c r="N828" s="581"/>
      <c r="O828" s="581"/>
      <c r="P828" s="581"/>
      <c r="Q828" s="581"/>
      <c r="R828" s="581"/>
      <c r="S828" s="581"/>
      <c r="T828" s="581"/>
      <c r="U828" s="9"/>
      <c r="V828" s="9"/>
      <c r="W828" s="9"/>
      <c r="X828" s="9"/>
      <c r="Y828" s="9"/>
      <c r="Z828" s="9"/>
      <c r="AA828" s="9"/>
      <c r="AB828" s="9"/>
      <c r="AC828" s="9"/>
    </row>
    <row r="829" spans="1:29" ht="12.75" customHeight="1" x14ac:dyDescent="0.25">
      <c r="A829" s="9"/>
      <c r="B829" s="9"/>
      <c r="C829" s="9"/>
      <c r="D829" s="9"/>
      <c r="E829" s="9"/>
      <c r="F829" s="9"/>
      <c r="G829" s="9"/>
      <c r="H829" s="581"/>
      <c r="I829" s="581"/>
      <c r="J829" s="581"/>
      <c r="K829" s="581"/>
      <c r="L829" s="581"/>
      <c r="M829" s="581"/>
      <c r="N829" s="581"/>
      <c r="O829" s="581"/>
      <c r="P829" s="581"/>
      <c r="Q829" s="581"/>
      <c r="R829" s="581"/>
      <c r="S829" s="581"/>
      <c r="T829" s="581"/>
      <c r="U829" s="9"/>
      <c r="V829" s="9"/>
      <c r="W829" s="9"/>
      <c r="X829" s="9"/>
      <c r="Y829" s="9"/>
      <c r="Z829" s="9"/>
      <c r="AA829" s="9"/>
      <c r="AB829" s="9"/>
      <c r="AC829" s="9"/>
    </row>
    <row r="830" spans="1:29" ht="12.75" customHeight="1" x14ac:dyDescent="0.25">
      <c r="A830" s="9"/>
      <c r="B830" s="9"/>
      <c r="C830" s="9"/>
      <c r="D830" s="9"/>
      <c r="E830" s="9"/>
      <c r="F830" s="9"/>
      <c r="G830" s="9"/>
      <c r="H830" s="581"/>
      <c r="I830" s="581"/>
      <c r="J830" s="581"/>
      <c r="K830" s="581"/>
      <c r="L830" s="581"/>
      <c r="M830" s="581"/>
      <c r="N830" s="581"/>
      <c r="O830" s="581"/>
      <c r="P830" s="581"/>
      <c r="Q830" s="581"/>
      <c r="R830" s="581"/>
      <c r="S830" s="581"/>
      <c r="T830" s="581"/>
      <c r="U830" s="9"/>
      <c r="V830" s="9"/>
      <c r="W830" s="9"/>
      <c r="X830" s="9"/>
      <c r="Y830" s="9"/>
      <c r="Z830" s="9"/>
      <c r="AA830" s="9"/>
      <c r="AB830" s="9"/>
      <c r="AC830" s="9"/>
    </row>
    <row r="831" spans="1:29" ht="12.75" customHeight="1" x14ac:dyDescent="0.25">
      <c r="A831" s="9"/>
      <c r="B831" s="9"/>
      <c r="C831" s="9"/>
      <c r="D831" s="9"/>
      <c r="E831" s="9"/>
      <c r="F831" s="9"/>
      <c r="G831" s="9"/>
      <c r="H831" s="581"/>
      <c r="I831" s="581"/>
      <c r="J831" s="581"/>
      <c r="K831" s="581"/>
      <c r="L831" s="581"/>
      <c r="M831" s="581"/>
      <c r="N831" s="581"/>
      <c r="O831" s="581"/>
      <c r="P831" s="581"/>
      <c r="Q831" s="581"/>
      <c r="R831" s="581"/>
      <c r="S831" s="581"/>
      <c r="T831" s="581"/>
      <c r="U831" s="9"/>
      <c r="V831" s="9"/>
      <c r="W831" s="9"/>
      <c r="X831" s="9"/>
      <c r="Y831" s="9"/>
      <c r="Z831" s="9"/>
      <c r="AA831" s="9"/>
      <c r="AB831" s="9"/>
      <c r="AC831" s="9"/>
    </row>
    <row r="832" spans="1:29" ht="12.75" customHeight="1" x14ac:dyDescent="0.25">
      <c r="A832" s="9"/>
      <c r="B832" s="9"/>
      <c r="C832" s="9"/>
      <c r="D832" s="9"/>
      <c r="E832" s="9"/>
      <c r="F832" s="9"/>
      <c r="G832" s="9"/>
      <c r="H832" s="581"/>
      <c r="I832" s="581"/>
      <c r="J832" s="581"/>
      <c r="K832" s="581"/>
      <c r="L832" s="581"/>
      <c r="M832" s="581"/>
      <c r="N832" s="581"/>
      <c r="O832" s="581"/>
      <c r="P832" s="581"/>
      <c r="Q832" s="581"/>
      <c r="R832" s="581"/>
      <c r="S832" s="581"/>
      <c r="T832" s="581"/>
      <c r="U832" s="9"/>
      <c r="V832" s="9"/>
      <c r="W832" s="9"/>
      <c r="X832" s="9"/>
      <c r="Y832" s="9"/>
      <c r="Z832" s="9"/>
      <c r="AA832" s="9"/>
      <c r="AB832" s="9"/>
      <c r="AC832" s="9"/>
    </row>
    <row r="833" spans="1:29" ht="12.75" customHeight="1" x14ac:dyDescent="0.25">
      <c r="A833" s="9"/>
      <c r="B833" s="9"/>
      <c r="C833" s="9"/>
      <c r="D833" s="9"/>
      <c r="E833" s="9"/>
      <c r="F833" s="9"/>
      <c r="G833" s="9"/>
      <c r="H833" s="581"/>
      <c r="I833" s="581"/>
      <c r="J833" s="581"/>
      <c r="K833" s="581"/>
      <c r="L833" s="581"/>
      <c r="M833" s="581"/>
      <c r="N833" s="581"/>
      <c r="O833" s="581"/>
      <c r="P833" s="581"/>
      <c r="Q833" s="581"/>
      <c r="R833" s="581"/>
      <c r="S833" s="581"/>
      <c r="T833" s="581"/>
      <c r="U833" s="9"/>
      <c r="V833" s="9"/>
      <c r="W833" s="9"/>
      <c r="X833" s="9"/>
      <c r="Y833" s="9"/>
      <c r="Z833" s="9"/>
      <c r="AA833" s="9"/>
      <c r="AB833" s="9"/>
      <c r="AC833" s="9"/>
    </row>
    <row r="834" spans="1:29" ht="12.75" customHeight="1" x14ac:dyDescent="0.25">
      <c r="A834" s="9"/>
      <c r="B834" s="9"/>
      <c r="C834" s="9"/>
      <c r="D834" s="9"/>
      <c r="E834" s="9"/>
      <c r="F834" s="9"/>
      <c r="G834" s="9"/>
      <c r="H834" s="581"/>
      <c r="I834" s="581"/>
      <c r="J834" s="581"/>
      <c r="K834" s="581"/>
      <c r="L834" s="581"/>
      <c r="M834" s="581"/>
      <c r="N834" s="581"/>
      <c r="O834" s="581"/>
      <c r="P834" s="581"/>
      <c r="Q834" s="581"/>
      <c r="R834" s="581"/>
      <c r="S834" s="581"/>
      <c r="T834" s="581"/>
      <c r="U834" s="9"/>
      <c r="V834" s="9"/>
      <c r="W834" s="9"/>
      <c r="X834" s="9"/>
      <c r="Y834" s="9"/>
      <c r="Z834" s="9"/>
      <c r="AA834" s="9"/>
      <c r="AB834" s="9"/>
      <c r="AC834" s="9"/>
    </row>
    <row r="835" spans="1:29" ht="12.75" customHeight="1" x14ac:dyDescent="0.25">
      <c r="A835" s="9"/>
      <c r="B835" s="9"/>
      <c r="C835" s="9"/>
      <c r="D835" s="9"/>
      <c r="E835" s="9"/>
      <c r="F835" s="9"/>
      <c r="G835" s="9"/>
      <c r="H835" s="581"/>
      <c r="I835" s="581"/>
      <c r="J835" s="581"/>
      <c r="K835" s="581"/>
      <c r="L835" s="581"/>
      <c r="M835" s="581"/>
      <c r="N835" s="581"/>
      <c r="O835" s="581"/>
      <c r="P835" s="581"/>
      <c r="Q835" s="581"/>
      <c r="R835" s="581"/>
      <c r="S835" s="581"/>
      <c r="T835" s="581"/>
      <c r="U835" s="9"/>
      <c r="V835" s="9"/>
      <c r="W835" s="9"/>
      <c r="X835" s="9"/>
      <c r="Y835" s="9"/>
      <c r="Z835" s="9"/>
      <c r="AA835" s="9"/>
      <c r="AB835" s="9"/>
      <c r="AC835" s="9"/>
    </row>
    <row r="836" spans="1:29" ht="12.75" customHeight="1" x14ac:dyDescent="0.25">
      <c r="A836" s="9"/>
      <c r="B836" s="9"/>
      <c r="C836" s="9"/>
      <c r="D836" s="9"/>
      <c r="E836" s="9"/>
      <c r="F836" s="9"/>
      <c r="G836" s="9"/>
      <c r="H836" s="581"/>
      <c r="I836" s="581"/>
      <c r="J836" s="581"/>
      <c r="K836" s="581"/>
      <c r="L836" s="581"/>
      <c r="M836" s="581"/>
      <c r="N836" s="581"/>
      <c r="O836" s="581"/>
      <c r="P836" s="581"/>
      <c r="Q836" s="581"/>
      <c r="R836" s="581"/>
      <c r="S836" s="581"/>
      <c r="T836" s="581"/>
      <c r="U836" s="9"/>
      <c r="V836" s="9"/>
      <c r="W836" s="9"/>
      <c r="X836" s="9"/>
      <c r="Y836" s="9"/>
      <c r="Z836" s="9"/>
      <c r="AA836" s="9"/>
      <c r="AB836" s="9"/>
      <c r="AC836" s="9"/>
    </row>
    <row r="837" spans="1:29" ht="12.75" customHeight="1" x14ac:dyDescent="0.25">
      <c r="A837" s="9"/>
      <c r="B837" s="9"/>
      <c r="C837" s="9"/>
      <c r="D837" s="9"/>
      <c r="E837" s="9"/>
      <c r="F837" s="9"/>
      <c r="G837" s="9"/>
      <c r="H837" s="581"/>
      <c r="I837" s="581"/>
      <c r="J837" s="581"/>
      <c r="K837" s="581"/>
      <c r="L837" s="581"/>
      <c r="M837" s="581"/>
      <c r="N837" s="581"/>
      <c r="O837" s="581"/>
      <c r="P837" s="581"/>
      <c r="Q837" s="581"/>
      <c r="R837" s="581"/>
      <c r="S837" s="581"/>
      <c r="T837" s="581"/>
      <c r="U837" s="9"/>
      <c r="V837" s="9"/>
      <c r="W837" s="9"/>
      <c r="X837" s="9"/>
      <c r="Y837" s="9"/>
      <c r="Z837" s="9"/>
      <c r="AA837" s="9"/>
      <c r="AB837" s="9"/>
      <c r="AC837" s="9"/>
    </row>
    <row r="838" spans="1:29" ht="12.75" customHeight="1" x14ac:dyDescent="0.25">
      <c r="A838" s="9"/>
      <c r="B838" s="9"/>
      <c r="C838" s="9"/>
      <c r="D838" s="9"/>
      <c r="E838" s="9"/>
      <c r="F838" s="9"/>
      <c r="G838" s="9"/>
      <c r="H838" s="581"/>
      <c r="I838" s="581"/>
      <c r="J838" s="581"/>
      <c r="K838" s="581"/>
      <c r="L838" s="581"/>
      <c r="M838" s="581"/>
      <c r="N838" s="581"/>
      <c r="O838" s="581"/>
      <c r="P838" s="581"/>
      <c r="Q838" s="581"/>
      <c r="R838" s="581"/>
      <c r="S838" s="581"/>
      <c r="T838" s="581"/>
      <c r="U838" s="9"/>
      <c r="V838" s="9"/>
      <c r="W838" s="9"/>
      <c r="X838" s="9"/>
      <c r="Y838" s="9"/>
      <c r="Z838" s="9"/>
      <c r="AA838" s="9"/>
      <c r="AB838" s="9"/>
      <c r="AC838" s="9"/>
    </row>
    <row r="839" spans="1:29" ht="12.75" customHeight="1" x14ac:dyDescent="0.25">
      <c r="A839" s="9"/>
      <c r="B839" s="9"/>
      <c r="C839" s="9"/>
      <c r="D839" s="9"/>
      <c r="E839" s="9"/>
      <c r="F839" s="9"/>
      <c r="G839" s="9"/>
      <c r="H839" s="581"/>
      <c r="I839" s="581"/>
      <c r="J839" s="581"/>
      <c r="K839" s="581"/>
      <c r="L839" s="581"/>
      <c r="M839" s="581"/>
      <c r="N839" s="581"/>
      <c r="O839" s="581"/>
      <c r="P839" s="581"/>
      <c r="Q839" s="581"/>
      <c r="R839" s="581"/>
      <c r="S839" s="581"/>
      <c r="T839" s="581"/>
      <c r="U839" s="9"/>
      <c r="V839" s="9"/>
      <c r="W839" s="9"/>
      <c r="X839" s="9"/>
      <c r="Y839" s="9"/>
      <c r="Z839" s="9"/>
      <c r="AA839" s="9"/>
      <c r="AB839" s="9"/>
      <c r="AC839" s="9"/>
    </row>
    <row r="840" spans="1:29" ht="12.75" customHeight="1" x14ac:dyDescent="0.25">
      <c r="A840" s="9"/>
      <c r="B840" s="9"/>
      <c r="C840" s="9"/>
      <c r="D840" s="9"/>
      <c r="E840" s="9"/>
      <c r="F840" s="9"/>
      <c r="G840" s="9"/>
      <c r="H840" s="581"/>
      <c r="I840" s="581"/>
      <c r="J840" s="581"/>
      <c r="K840" s="581"/>
      <c r="L840" s="581"/>
      <c r="M840" s="581"/>
      <c r="N840" s="581"/>
      <c r="O840" s="581"/>
      <c r="P840" s="581"/>
      <c r="Q840" s="581"/>
      <c r="R840" s="581"/>
      <c r="S840" s="581"/>
      <c r="T840" s="581"/>
      <c r="U840" s="9"/>
      <c r="V840" s="9"/>
      <c r="W840" s="9"/>
      <c r="X840" s="9"/>
      <c r="Y840" s="9"/>
      <c r="Z840" s="9"/>
      <c r="AA840" s="9"/>
      <c r="AB840" s="9"/>
      <c r="AC840" s="9"/>
    </row>
    <row r="841" spans="1:29" ht="12.75" customHeight="1" x14ac:dyDescent="0.25">
      <c r="A841" s="9"/>
      <c r="B841" s="9"/>
      <c r="C841" s="9"/>
      <c r="D841" s="9"/>
      <c r="E841" s="9"/>
      <c r="F841" s="9"/>
      <c r="G841" s="9"/>
      <c r="H841" s="581"/>
      <c r="I841" s="581"/>
      <c r="J841" s="581"/>
      <c r="K841" s="581"/>
      <c r="L841" s="581"/>
      <c r="M841" s="581"/>
      <c r="N841" s="581"/>
      <c r="O841" s="581"/>
      <c r="P841" s="581"/>
      <c r="Q841" s="581"/>
      <c r="R841" s="581"/>
      <c r="S841" s="581"/>
      <c r="T841" s="581"/>
      <c r="U841" s="9"/>
      <c r="V841" s="9"/>
      <c r="W841" s="9"/>
      <c r="X841" s="9"/>
      <c r="Y841" s="9"/>
      <c r="Z841" s="9"/>
      <c r="AA841" s="9"/>
      <c r="AB841" s="9"/>
      <c r="AC841" s="9"/>
    </row>
    <row r="842" spans="1:29" ht="12.75" customHeight="1" x14ac:dyDescent="0.25">
      <c r="A842" s="9"/>
      <c r="B842" s="9"/>
      <c r="C842" s="9"/>
      <c r="D842" s="9"/>
      <c r="E842" s="9"/>
      <c r="F842" s="9"/>
      <c r="G842" s="9"/>
      <c r="H842" s="581"/>
      <c r="I842" s="581"/>
      <c r="J842" s="581"/>
      <c r="K842" s="581"/>
      <c r="L842" s="581"/>
      <c r="M842" s="581"/>
      <c r="N842" s="581"/>
      <c r="O842" s="581"/>
      <c r="P842" s="581"/>
      <c r="Q842" s="581"/>
      <c r="R842" s="581"/>
      <c r="S842" s="581"/>
      <c r="T842" s="581"/>
      <c r="U842" s="9"/>
      <c r="V842" s="9"/>
      <c r="W842" s="9"/>
      <c r="X842" s="9"/>
      <c r="Y842" s="9"/>
      <c r="Z842" s="9"/>
      <c r="AA842" s="9"/>
      <c r="AB842" s="9"/>
      <c r="AC842" s="9"/>
    </row>
    <row r="843" spans="1:29" ht="12.75" customHeight="1" x14ac:dyDescent="0.25">
      <c r="A843" s="9"/>
      <c r="B843" s="9"/>
      <c r="C843" s="9"/>
      <c r="D843" s="9"/>
      <c r="E843" s="9"/>
      <c r="F843" s="9"/>
      <c r="G843" s="9"/>
      <c r="H843" s="581"/>
      <c r="I843" s="581"/>
      <c r="J843" s="581"/>
      <c r="K843" s="581"/>
      <c r="L843" s="581"/>
      <c r="M843" s="581"/>
      <c r="N843" s="581"/>
      <c r="O843" s="581"/>
      <c r="P843" s="581"/>
      <c r="Q843" s="581"/>
      <c r="R843" s="581"/>
      <c r="S843" s="581"/>
      <c r="T843" s="581"/>
      <c r="U843" s="9"/>
      <c r="V843" s="9"/>
      <c r="W843" s="9"/>
      <c r="X843" s="9"/>
      <c r="Y843" s="9"/>
      <c r="Z843" s="9"/>
      <c r="AA843" s="9"/>
      <c r="AB843" s="9"/>
      <c r="AC843" s="9"/>
    </row>
    <row r="844" spans="1:29" ht="12.75" customHeight="1" x14ac:dyDescent="0.25">
      <c r="A844" s="9"/>
      <c r="B844" s="9"/>
      <c r="C844" s="9"/>
      <c r="D844" s="9"/>
      <c r="E844" s="9"/>
      <c r="F844" s="9"/>
      <c r="G844" s="9"/>
      <c r="H844" s="581"/>
      <c r="I844" s="581"/>
      <c r="J844" s="581"/>
      <c r="K844" s="581"/>
      <c r="L844" s="581"/>
      <c r="M844" s="581"/>
      <c r="N844" s="581"/>
      <c r="O844" s="581"/>
      <c r="P844" s="581"/>
      <c r="Q844" s="581"/>
      <c r="R844" s="581"/>
      <c r="S844" s="581"/>
      <c r="T844" s="581"/>
      <c r="U844" s="9"/>
      <c r="V844" s="9"/>
      <c r="W844" s="9"/>
      <c r="X844" s="9"/>
      <c r="Y844" s="9"/>
      <c r="Z844" s="9"/>
      <c r="AA844" s="9"/>
      <c r="AB844" s="9"/>
      <c r="AC844" s="9"/>
    </row>
    <row r="845" spans="1:29" ht="12.75" customHeight="1" x14ac:dyDescent="0.25">
      <c r="A845" s="9"/>
      <c r="B845" s="9"/>
      <c r="C845" s="9"/>
      <c r="D845" s="9"/>
      <c r="E845" s="9"/>
      <c r="F845" s="9"/>
      <c r="G845" s="9"/>
      <c r="H845" s="581"/>
      <c r="I845" s="581"/>
      <c r="J845" s="581"/>
      <c r="K845" s="581"/>
      <c r="L845" s="581"/>
      <c r="M845" s="581"/>
      <c r="N845" s="581"/>
      <c r="O845" s="581"/>
      <c r="P845" s="581"/>
      <c r="Q845" s="581"/>
      <c r="R845" s="581"/>
      <c r="S845" s="581"/>
      <c r="T845" s="581"/>
      <c r="U845" s="9"/>
      <c r="V845" s="9"/>
      <c r="W845" s="9"/>
      <c r="X845" s="9"/>
      <c r="Y845" s="9"/>
      <c r="Z845" s="9"/>
      <c r="AA845" s="9"/>
      <c r="AB845" s="9"/>
      <c r="AC845" s="9"/>
    </row>
    <row r="846" spans="1:29" ht="12.75" customHeight="1" x14ac:dyDescent="0.25">
      <c r="A846" s="9"/>
      <c r="B846" s="9"/>
      <c r="C846" s="9"/>
      <c r="D846" s="9"/>
      <c r="E846" s="9"/>
      <c r="F846" s="9"/>
      <c r="G846" s="9"/>
      <c r="H846" s="581"/>
      <c r="I846" s="581"/>
      <c r="J846" s="581"/>
      <c r="K846" s="581"/>
      <c r="L846" s="581"/>
      <c r="M846" s="581"/>
      <c r="N846" s="581"/>
      <c r="O846" s="581"/>
      <c r="P846" s="581"/>
      <c r="Q846" s="581"/>
      <c r="R846" s="581"/>
      <c r="S846" s="581"/>
      <c r="T846" s="581"/>
      <c r="U846" s="9"/>
      <c r="V846" s="9"/>
      <c r="W846" s="9"/>
      <c r="X846" s="9"/>
      <c r="Y846" s="9"/>
      <c r="Z846" s="9"/>
      <c r="AA846" s="9"/>
      <c r="AB846" s="9"/>
      <c r="AC846" s="9"/>
    </row>
    <row r="847" spans="1:29" ht="12.75" customHeight="1" x14ac:dyDescent="0.25">
      <c r="A847" s="9"/>
      <c r="B847" s="9"/>
      <c r="C847" s="9"/>
      <c r="D847" s="9"/>
      <c r="E847" s="9"/>
      <c r="F847" s="9"/>
      <c r="G847" s="9"/>
      <c r="H847" s="581"/>
      <c r="I847" s="581"/>
      <c r="J847" s="581"/>
      <c r="K847" s="581"/>
      <c r="L847" s="581"/>
      <c r="M847" s="581"/>
      <c r="N847" s="581"/>
      <c r="O847" s="581"/>
      <c r="P847" s="581"/>
      <c r="Q847" s="581"/>
      <c r="R847" s="581"/>
      <c r="S847" s="581"/>
      <c r="T847" s="581"/>
      <c r="U847" s="9"/>
      <c r="V847" s="9"/>
      <c r="W847" s="9"/>
      <c r="X847" s="9"/>
      <c r="Y847" s="9"/>
      <c r="Z847" s="9"/>
      <c r="AA847" s="9"/>
      <c r="AB847" s="9"/>
      <c r="AC847" s="9"/>
    </row>
    <row r="848" spans="1:29" ht="12.75" customHeight="1" x14ac:dyDescent="0.25">
      <c r="A848" s="9"/>
      <c r="B848" s="9"/>
      <c r="C848" s="9"/>
      <c r="D848" s="9"/>
      <c r="E848" s="9"/>
      <c r="F848" s="9"/>
      <c r="G848" s="9"/>
      <c r="H848" s="581"/>
      <c r="I848" s="581"/>
      <c r="J848" s="581"/>
      <c r="K848" s="581"/>
      <c r="L848" s="581"/>
      <c r="M848" s="581"/>
      <c r="N848" s="581"/>
      <c r="O848" s="581"/>
      <c r="P848" s="581"/>
      <c r="Q848" s="581"/>
      <c r="R848" s="581"/>
      <c r="S848" s="581"/>
      <c r="T848" s="581"/>
      <c r="U848" s="9"/>
      <c r="V848" s="9"/>
      <c r="W848" s="9"/>
      <c r="X848" s="9"/>
      <c r="Y848" s="9"/>
      <c r="Z848" s="9"/>
      <c r="AA848" s="9"/>
      <c r="AB848" s="9"/>
      <c r="AC848" s="9"/>
    </row>
    <row r="849" spans="1:29" ht="12.75" customHeight="1" x14ac:dyDescent="0.25">
      <c r="A849" s="9"/>
      <c r="B849" s="9"/>
      <c r="C849" s="9"/>
      <c r="D849" s="9"/>
      <c r="E849" s="9"/>
      <c r="F849" s="9"/>
      <c r="G849" s="9"/>
      <c r="H849" s="581"/>
      <c r="I849" s="581"/>
      <c r="J849" s="581"/>
      <c r="K849" s="581"/>
      <c r="L849" s="581"/>
      <c r="M849" s="581"/>
      <c r="N849" s="581"/>
      <c r="O849" s="581"/>
      <c r="P849" s="581"/>
      <c r="Q849" s="581"/>
      <c r="R849" s="581"/>
      <c r="S849" s="581"/>
      <c r="T849" s="581"/>
      <c r="U849" s="9"/>
      <c r="V849" s="9"/>
      <c r="W849" s="9"/>
      <c r="X849" s="9"/>
      <c r="Y849" s="9"/>
      <c r="Z849" s="9"/>
      <c r="AA849" s="9"/>
      <c r="AB849" s="9"/>
      <c r="AC849" s="9"/>
    </row>
    <row r="850" spans="1:29" ht="12.75" customHeight="1" x14ac:dyDescent="0.25">
      <c r="A850" s="9"/>
      <c r="B850" s="9"/>
      <c r="C850" s="9"/>
      <c r="D850" s="9"/>
      <c r="E850" s="9"/>
      <c r="F850" s="9"/>
      <c r="G850" s="9"/>
      <c r="H850" s="581"/>
      <c r="I850" s="581"/>
      <c r="J850" s="581"/>
      <c r="K850" s="581"/>
      <c r="L850" s="581"/>
      <c r="M850" s="581"/>
      <c r="N850" s="581"/>
      <c r="O850" s="581"/>
      <c r="P850" s="581"/>
      <c r="Q850" s="581"/>
      <c r="R850" s="581"/>
      <c r="S850" s="581"/>
      <c r="T850" s="581"/>
      <c r="U850" s="9"/>
      <c r="V850" s="9"/>
      <c r="W850" s="9"/>
      <c r="X850" s="9"/>
      <c r="Y850" s="9"/>
      <c r="Z850" s="9"/>
      <c r="AA850" s="9"/>
      <c r="AB850" s="9"/>
      <c r="AC850" s="9"/>
    </row>
    <row r="851" spans="1:29" ht="12.75" customHeight="1" x14ac:dyDescent="0.25">
      <c r="A851" s="9"/>
      <c r="B851" s="9"/>
      <c r="C851" s="9"/>
      <c r="D851" s="9"/>
      <c r="E851" s="9"/>
      <c r="F851" s="9"/>
      <c r="G851" s="9"/>
      <c r="H851" s="581"/>
      <c r="I851" s="581"/>
      <c r="J851" s="581"/>
      <c r="K851" s="581"/>
      <c r="L851" s="581"/>
      <c r="M851" s="581"/>
      <c r="N851" s="581"/>
      <c r="O851" s="581"/>
      <c r="P851" s="581"/>
      <c r="Q851" s="581"/>
      <c r="R851" s="581"/>
      <c r="S851" s="581"/>
      <c r="T851" s="581"/>
      <c r="U851" s="9"/>
      <c r="V851" s="9"/>
      <c r="W851" s="9"/>
      <c r="X851" s="9"/>
      <c r="Y851" s="9"/>
      <c r="Z851" s="9"/>
      <c r="AA851" s="9"/>
      <c r="AB851" s="9"/>
      <c r="AC851" s="9"/>
    </row>
    <row r="852" spans="1:29" ht="12.75" customHeight="1" x14ac:dyDescent="0.25">
      <c r="A852" s="9"/>
      <c r="B852" s="9"/>
      <c r="C852" s="9"/>
      <c r="D852" s="9"/>
      <c r="E852" s="9"/>
      <c r="F852" s="9"/>
      <c r="G852" s="9"/>
      <c r="H852" s="581"/>
      <c r="I852" s="581"/>
      <c r="J852" s="581"/>
      <c r="K852" s="581"/>
      <c r="L852" s="581"/>
      <c r="M852" s="581"/>
      <c r="N852" s="581"/>
      <c r="O852" s="581"/>
      <c r="P852" s="581"/>
      <c r="Q852" s="581"/>
      <c r="R852" s="581"/>
      <c r="S852" s="581"/>
      <c r="T852" s="581"/>
      <c r="U852" s="9"/>
      <c r="V852" s="9"/>
      <c r="W852" s="9"/>
      <c r="X852" s="9"/>
      <c r="Y852" s="9"/>
      <c r="Z852" s="9"/>
      <c r="AA852" s="9"/>
      <c r="AB852" s="9"/>
      <c r="AC852" s="9"/>
    </row>
    <row r="853" spans="1:29" ht="12.75" customHeight="1" x14ac:dyDescent="0.25">
      <c r="A853" s="9"/>
      <c r="B853" s="9"/>
      <c r="C853" s="9"/>
      <c r="D853" s="9"/>
      <c r="E853" s="9"/>
      <c r="F853" s="9"/>
      <c r="G853" s="9"/>
      <c r="H853" s="581"/>
      <c r="I853" s="581"/>
      <c r="J853" s="581"/>
      <c r="K853" s="581"/>
      <c r="L853" s="581"/>
      <c r="M853" s="581"/>
      <c r="N853" s="581"/>
      <c r="O853" s="581"/>
      <c r="P853" s="581"/>
      <c r="Q853" s="581"/>
      <c r="R853" s="581"/>
      <c r="S853" s="581"/>
      <c r="T853" s="581"/>
      <c r="U853" s="9"/>
      <c r="V853" s="9"/>
      <c r="W853" s="9"/>
      <c r="X853" s="9"/>
      <c r="Y853" s="9"/>
      <c r="Z853" s="9"/>
      <c r="AA853" s="9"/>
      <c r="AB853" s="9"/>
      <c r="AC853" s="9"/>
    </row>
    <row r="854" spans="1:29" ht="12.75" customHeight="1" x14ac:dyDescent="0.25">
      <c r="A854" s="9"/>
      <c r="B854" s="9"/>
      <c r="C854" s="9"/>
      <c r="D854" s="9"/>
      <c r="E854" s="9"/>
      <c r="F854" s="9"/>
      <c r="G854" s="9"/>
      <c r="H854" s="581"/>
      <c r="I854" s="581"/>
      <c r="J854" s="581"/>
      <c r="K854" s="581"/>
      <c r="L854" s="581"/>
      <c r="M854" s="581"/>
      <c r="N854" s="581"/>
      <c r="O854" s="581"/>
      <c r="P854" s="581"/>
      <c r="Q854" s="581"/>
      <c r="R854" s="581"/>
      <c r="S854" s="581"/>
      <c r="T854" s="581"/>
      <c r="U854" s="9"/>
      <c r="V854" s="9"/>
      <c r="W854" s="9"/>
      <c r="X854" s="9"/>
      <c r="Y854" s="9"/>
      <c r="Z854" s="9"/>
      <c r="AA854" s="9"/>
      <c r="AB854" s="9"/>
      <c r="AC854" s="9"/>
    </row>
    <row r="855" spans="1:29" ht="12.75" customHeight="1" x14ac:dyDescent="0.25">
      <c r="A855" s="9"/>
      <c r="B855" s="9"/>
      <c r="C855" s="9"/>
      <c r="D855" s="9"/>
      <c r="E855" s="9"/>
      <c r="F855" s="9"/>
      <c r="G855" s="9"/>
      <c r="H855" s="581"/>
      <c r="I855" s="581"/>
      <c r="J855" s="581"/>
      <c r="K855" s="581"/>
      <c r="L855" s="581"/>
      <c r="M855" s="581"/>
      <c r="N855" s="581"/>
      <c r="O855" s="581"/>
      <c r="P855" s="581"/>
      <c r="Q855" s="581"/>
      <c r="R855" s="581"/>
      <c r="S855" s="581"/>
      <c r="T855" s="581"/>
      <c r="U855" s="9"/>
      <c r="V855" s="9"/>
      <c r="W855" s="9"/>
      <c r="X855" s="9"/>
      <c r="Y855" s="9"/>
      <c r="Z855" s="9"/>
      <c r="AA855" s="9"/>
      <c r="AB855" s="9"/>
      <c r="AC855" s="9"/>
    </row>
    <row r="856" spans="1:29" ht="12.75" customHeight="1" x14ac:dyDescent="0.25">
      <c r="A856" s="9"/>
      <c r="B856" s="9"/>
      <c r="C856" s="9"/>
      <c r="D856" s="9"/>
      <c r="E856" s="9"/>
      <c r="F856" s="9"/>
      <c r="G856" s="9"/>
      <c r="H856" s="581"/>
      <c r="I856" s="581"/>
      <c r="J856" s="581"/>
      <c r="K856" s="581"/>
      <c r="L856" s="581"/>
      <c r="M856" s="581"/>
      <c r="N856" s="581"/>
      <c r="O856" s="581"/>
      <c r="P856" s="581"/>
      <c r="Q856" s="581"/>
      <c r="R856" s="581"/>
      <c r="S856" s="581"/>
      <c r="T856" s="581"/>
      <c r="U856" s="9"/>
      <c r="V856" s="9"/>
      <c r="W856" s="9"/>
      <c r="X856" s="9"/>
      <c r="Y856" s="9"/>
      <c r="Z856" s="9"/>
      <c r="AA856" s="9"/>
      <c r="AB856" s="9"/>
      <c r="AC856" s="9"/>
    </row>
    <row r="857" spans="1:29" ht="12.75" customHeight="1" x14ac:dyDescent="0.25">
      <c r="A857" s="9"/>
      <c r="B857" s="9"/>
      <c r="C857" s="9"/>
      <c r="D857" s="9"/>
      <c r="E857" s="9"/>
      <c r="F857" s="9"/>
      <c r="G857" s="9"/>
      <c r="H857" s="581"/>
      <c r="I857" s="581"/>
      <c r="J857" s="581"/>
      <c r="K857" s="581"/>
      <c r="L857" s="581"/>
      <c r="M857" s="581"/>
      <c r="N857" s="581"/>
      <c r="O857" s="581"/>
      <c r="P857" s="581"/>
      <c r="Q857" s="581"/>
      <c r="R857" s="581"/>
      <c r="S857" s="581"/>
      <c r="T857" s="581"/>
      <c r="U857" s="9"/>
      <c r="V857" s="9"/>
      <c r="W857" s="9"/>
      <c r="X857" s="9"/>
      <c r="Y857" s="9"/>
      <c r="Z857" s="9"/>
      <c r="AA857" s="9"/>
      <c r="AB857" s="9"/>
      <c r="AC857" s="9"/>
    </row>
    <row r="858" spans="1:29" ht="12.75" customHeight="1" x14ac:dyDescent="0.25">
      <c r="A858" s="9"/>
      <c r="B858" s="9"/>
      <c r="C858" s="9"/>
      <c r="D858" s="9"/>
      <c r="E858" s="9"/>
      <c r="F858" s="9"/>
      <c r="G858" s="9"/>
      <c r="H858" s="581"/>
      <c r="I858" s="581"/>
      <c r="J858" s="581"/>
      <c r="K858" s="581"/>
      <c r="L858" s="581"/>
      <c r="M858" s="581"/>
      <c r="N858" s="581"/>
      <c r="O858" s="581"/>
      <c r="P858" s="581"/>
      <c r="Q858" s="581"/>
      <c r="R858" s="581"/>
      <c r="S858" s="581"/>
      <c r="T858" s="581"/>
      <c r="U858" s="9"/>
      <c r="V858" s="9"/>
      <c r="W858" s="9"/>
      <c r="X858" s="9"/>
      <c r="Y858" s="9"/>
      <c r="Z858" s="9"/>
      <c r="AA858" s="9"/>
      <c r="AB858" s="9"/>
      <c r="AC858" s="9"/>
    </row>
    <row r="859" spans="1:29" ht="12.75" customHeight="1" x14ac:dyDescent="0.25">
      <c r="A859" s="9"/>
      <c r="B859" s="9"/>
      <c r="C859" s="9"/>
      <c r="D859" s="9"/>
      <c r="E859" s="9"/>
      <c r="F859" s="9"/>
      <c r="G859" s="9"/>
      <c r="H859" s="581"/>
      <c r="I859" s="581"/>
      <c r="J859" s="581"/>
      <c r="K859" s="581"/>
      <c r="L859" s="581"/>
      <c r="M859" s="581"/>
      <c r="N859" s="581"/>
      <c r="O859" s="581"/>
      <c r="P859" s="581"/>
      <c r="Q859" s="581"/>
      <c r="R859" s="581"/>
      <c r="S859" s="581"/>
      <c r="T859" s="581"/>
      <c r="U859" s="9"/>
      <c r="V859" s="9"/>
      <c r="W859" s="9"/>
      <c r="X859" s="9"/>
      <c r="Y859" s="9"/>
      <c r="Z859" s="9"/>
      <c r="AA859" s="9"/>
      <c r="AB859" s="9"/>
      <c r="AC859" s="9"/>
    </row>
    <row r="860" spans="1:29" ht="12.75" customHeight="1" x14ac:dyDescent="0.25">
      <c r="A860" s="9"/>
      <c r="B860" s="9"/>
      <c r="C860" s="9"/>
      <c r="D860" s="9"/>
      <c r="E860" s="9"/>
      <c r="F860" s="9"/>
      <c r="G860" s="9"/>
      <c r="H860" s="581"/>
      <c r="I860" s="581"/>
      <c r="J860" s="581"/>
      <c r="K860" s="581"/>
      <c r="L860" s="581"/>
      <c r="M860" s="581"/>
      <c r="N860" s="581"/>
      <c r="O860" s="581"/>
      <c r="P860" s="581"/>
      <c r="Q860" s="581"/>
      <c r="R860" s="581"/>
      <c r="S860" s="581"/>
      <c r="T860" s="581"/>
      <c r="U860" s="9"/>
      <c r="V860" s="9"/>
      <c r="W860" s="9"/>
      <c r="X860" s="9"/>
      <c r="Y860" s="9"/>
      <c r="Z860" s="9"/>
      <c r="AA860" s="9"/>
      <c r="AB860" s="9"/>
      <c r="AC860" s="9"/>
    </row>
    <row r="861" spans="1:29" ht="12.75" customHeight="1" x14ac:dyDescent="0.25">
      <c r="A861" s="9"/>
      <c r="B861" s="9"/>
      <c r="C861" s="9"/>
      <c r="D861" s="9"/>
      <c r="E861" s="9"/>
      <c r="F861" s="9"/>
      <c r="G861" s="9"/>
      <c r="H861" s="581"/>
      <c r="I861" s="581"/>
      <c r="J861" s="581"/>
      <c r="K861" s="581"/>
      <c r="L861" s="581"/>
      <c r="M861" s="581"/>
      <c r="N861" s="581"/>
      <c r="O861" s="581"/>
      <c r="P861" s="581"/>
      <c r="Q861" s="581"/>
      <c r="R861" s="581"/>
      <c r="S861" s="581"/>
      <c r="T861" s="581"/>
      <c r="U861" s="9"/>
      <c r="V861" s="9"/>
      <c r="W861" s="9"/>
      <c r="X861" s="9"/>
      <c r="Y861" s="9"/>
      <c r="Z861" s="9"/>
      <c r="AA861" s="9"/>
      <c r="AB861" s="9"/>
      <c r="AC861" s="9"/>
    </row>
    <row r="862" spans="1:29" ht="12.75" customHeight="1" x14ac:dyDescent="0.25">
      <c r="A862" s="9"/>
      <c r="B862" s="9"/>
      <c r="C862" s="9"/>
      <c r="D862" s="9"/>
      <c r="E862" s="9"/>
      <c r="F862" s="9"/>
      <c r="G862" s="9"/>
      <c r="H862" s="581"/>
      <c r="I862" s="581"/>
      <c r="J862" s="581"/>
      <c r="K862" s="581"/>
      <c r="L862" s="581"/>
      <c r="M862" s="581"/>
      <c r="N862" s="581"/>
      <c r="O862" s="581"/>
      <c r="P862" s="581"/>
      <c r="Q862" s="581"/>
      <c r="R862" s="581"/>
      <c r="S862" s="581"/>
      <c r="T862" s="581"/>
      <c r="U862" s="9"/>
      <c r="V862" s="9"/>
      <c r="W862" s="9"/>
      <c r="X862" s="9"/>
      <c r="Y862" s="9"/>
      <c r="Z862" s="9"/>
      <c r="AA862" s="9"/>
      <c r="AB862" s="9"/>
      <c r="AC862" s="9"/>
    </row>
    <row r="863" spans="1:29" ht="12.75" customHeight="1" x14ac:dyDescent="0.25">
      <c r="A863" s="9"/>
      <c r="B863" s="9"/>
      <c r="C863" s="9"/>
      <c r="D863" s="9"/>
      <c r="E863" s="9"/>
      <c r="F863" s="9"/>
      <c r="G863" s="9"/>
      <c r="H863" s="581"/>
      <c r="I863" s="581"/>
      <c r="J863" s="581"/>
      <c r="K863" s="581"/>
      <c r="L863" s="581"/>
      <c r="M863" s="581"/>
      <c r="N863" s="581"/>
      <c r="O863" s="581"/>
      <c r="P863" s="581"/>
      <c r="Q863" s="581"/>
      <c r="R863" s="581"/>
      <c r="S863" s="581"/>
      <c r="T863" s="581"/>
      <c r="U863" s="9"/>
      <c r="V863" s="9"/>
      <c r="W863" s="9"/>
      <c r="X863" s="9"/>
      <c r="Y863" s="9"/>
      <c r="Z863" s="9"/>
      <c r="AA863" s="9"/>
      <c r="AB863" s="9"/>
      <c r="AC863" s="9"/>
    </row>
    <row r="864" spans="1:29" ht="12.75" customHeight="1" x14ac:dyDescent="0.25">
      <c r="A864" s="9"/>
      <c r="B864" s="9"/>
      <c r="C864" s="9"/>
      <c r="D864" s="9"/>
      <c r="E864" s="9"/>
      <c r="F864" s="9"/>
      <c r="G864" s="9"/>
      <c r="H864" s="581"/>
      <c r="I864" s="581"/>
      <c r="J864" s="581"/>
      <c r="K864" s="581"/>
      <c r="L864" s="581"/>
      <c r="M864" s="581"/>
      <c r="N864" s="581"/>
      <c r="O864" s="581"/>
      <c r="P864" s="581"/>
      <c r="Q864" s="581"/>
      <c r="R864" s="581"/>
      <c r="S864" s="581"/>
      <c r="T864" s="581"/>
      <c r="U864" s="9"/>
      <c r="V864" s="9"/>
      <c r="W864" s="9"/>
      <c r="X864" s="9"/>
      <c r="Y864" s="9"/>
      <c r="Z864" s="9"/>
      <c r="AA864" s="9"/>
      <c r="AB864" s="9"/>
      <c r="AC864" s="9"/>
    </row>
    <row r="865" spans="1:29" ht="12.75" customHeight="1" x14ac:dyDescent="0.25">
      <c r="A865" s="9"/>
      <c r="B865" s="9"/>
      <c r="C865" s="9"/>
      <c r="D865" s="9"/>
      <c r="E865" s="9"/>
      <c r="F865" s="9"/>
      <c r="G865" s="9"/>
      <c r="H865" s="581"/>
      <c r="I865" s="581"/>
      <c r="J865" s="581"/>
      <c r="K865" s="581"/>
      <c r="L865" s="581"/>
      <c r="M865" s="581"/>
      <c r="N865" s="581"/>
      <c r="O865" s="581"/>
      <c r="P865" s="581"/>
      <c r="Q865" s="581"/>
      <c r="R865" s="581"/>
      <c r="S865" s="581"/>
      <c r="T865" s="581"/>
      <c r="U865" s="9"/>
      <c r="V865" s="9"/>
      <c r="W865" s="9"/>
      <c r="X865" s="9"/>
      <c r="Y865" s="9"/>
      <c r="Z865" s="9"/>
      <c r="AA865" s="9"/>
      <c r="AB865" s="9"/>
      <c r="AC865" s="9"/>
    </row>
    <row r="866" spans="1:29" ht="12.75" customHeight="1" x14ac:dyDescent="0.25">
      <c r="A866" s="9"/>
      <c r="B866" s="9"/>
      <c r="C866" s="9"/>
      <c r="D866" s="9"/>
      <c r="E866" s="9"/>
      <c r="F866" s="9"/>
      <c r="G866" s="9"/>
      <c r="H866" s="581"/>
      <c r="I866" s="581"/>
      <c r="J866" s="581"/>
      <c r="K866" s="581"/>
      <c r="L866" s="581"/>
      <c r="M866" s="581"/>
      <c r="N866" s="581"/>
      <c r="O866" s="581"/>
      <c r="P866" s="581"/>
      <c r="Q866" s="581"/>
      <c r="R866" s="581"/>
      <c r="S866" s="581"/>
      <c r="T866" s="581"/>
      <c r="U866" s="9"/>
      <c r="V866" s="9"/>
      <c r="W866" s="9"/>
      <c r="X866" s="9"/>
      <c r="Y866" s="9"/>
      <c r="Z866" s="9"/>
      <c r="AA866" s="9"/>
      <c r="AB866" s="9"/>
      <c r="AC866" s="9"/>
    </row>
    <row r="867" spans="1:29" ht="12.75" customHeight="1" x14ac:dyDescent="0.25">
      <c r="A867" s="9"/>
      <c r="B867" s="9"/>
      <c r="C867" s="9"/>
      <c r="D867" s="9"/>
      <c r="E867" s="9"/>
      <c r="F867" s="9"/>
      <c r="G867" s="9"/>
      <c r="H867" s="581"/>
      <c r="I867" s="581"/>
      <c r="J867" s="581"/>
      <c r="K867" s="581"/>
      <c r="L867" s="581"/>
      <c r="M867" s="581"/>
      <c r="N867" s="581"/>
      <c r="O867" s="581"/>
      <c r="P867" s="581"/>
      <c r="Q867" s="581"/>
      <c r="R867" s="581"/>
      <c r="S867" s="581"/>
      <c r="T867" s="581"/>
      <c r="U867" s="9"/>
      <c r="V867" s="9"/>
      <c r="W867" s="9"/>
      <c r="X867" s="9"/>
      <c r="Y867" s="9"/>
      <c r="Z867" s="9"/>
      <c r="AA867" s="9"/>
      <c r="AB867" s="9"/>
      <c r="AC867" s="9"/>
    </row>
    <row r="868" spans="1:29" ht="12.75" customHeight="1" x14ac:dyDescent="0.25">
      <c r="A868" s="9"/>
      <c r="B868" s="9"/>
      <c r="C868" s="9"/>
      <c r="D868" s="9"/>
      <c r="E868" s="9"/>
      <c r="F868" s="9"/>
      <c r="G868" s="9"/>
      <c r="H868" s="581"/>
      <c r="I868" s="581"/>
      <c r="J868" s="581"/>
      <c r="K868" s="581"/>
      <c r="L868" s="581"/>
      <c r="M868" s="581"/>
      <c r="N868" s="581"/>
      <c r="O868" s="581"/>
      <c r="P868" s="581"/>
      <c r="Q868" s="581"/>
      <c r="R868" s="581"/>
      <c r="S868" s="581"/>
      <c r="T868" s="581"/>
      <c r="U868" s="9"/>
      <c r="V868" s="9"/>
      <c r="W868" s="9"/>
      <c r="X868" s="9"/>
      <c r="Y868" s="9"/>
      <c r="Z868" s="9"/>
      <c r="AA868" s="9"/>
      <c r="AB868" s="9"/>
      <c r="AC868" s="9"/>
    </row>
    <row r="869" spans="1:29" ht="12.75" customHeight="1" x14ac:dyDescent="0.25">
      <c r="A869" s="9"/>
      <c r="B869" s="9"/>
      <c r="C869" s="9"/>
      <c r="D869" s="9"/>
      <c r="E869" s="9"/>
      <c r="F869" s="9"/>
      <c r="G869" s="9"/>
      <c r="H869" s="581"/>
      <c r="I869" s="581"/>
      <c r="J869" s="581"/>
      <c r="K869" s="581"/>
      <c r="L869" s="581"/>
      <c r="M869" s="581"/>
      <c r="N869" s="581"/>
      <c r="O869" s="581"/>
      <c r="P869" s="581"/>
      <c r="Q869" s="581"/>
      <c r="R869" s="581"/>
      <c r="S869" s="581"/>
      <c r="T869" s="581"/>
      <c r="U869" s="9"/>
      <c r="V869" s="9"/>
      <c r="W869" s="9"/>
      <c r="X869" s="9"/>
      <c r="Y869" s="9"/>
      <c r="Z869" s="9"/>
      <c r="AA869" s="9"/>
      <c r="AB869" s="9"/>
      <c r="AC869" s="9"/>
    </row>
    <row r="870" spans="1:29" ht="12.75" customHeight="1" x14ac:dyDescent="0.25">
      <c r="A870" s="9"/>
      <c r="B870" s="9"/>
      <c r="C870" s="9"/>
      <c r="D870" s="9"/>
      <c r="E870" s="9"/>
      <c r="F870" s="9"/>
      <c r="G870" s="9"/>
      <c r="H870" s="581"/>
      <c r="I870" s="581"/>
      <c r="J870" s="581"/>
      <c r="K870" s="581"/>
      <c r="L870" s="581"/>
      <c r="M870" s="581"/>
      <c r="N870" s="581"/>
      <c r="O870" s="581"/>
      <c r="P870" s="581"/>
      <c r="Q870" s="581"/>
      <c r="R870" s="581"/>
      <c r="S870" s="581"/>
      <c r="T870" s="581"/>
      <c r="U870" s="9"/>
      <c r="V870" s="9"/>
      <c r="W870" s="9"/>
      <c r="X870" s="9"/>
      <c r="Y870" s="9"/>
      <c r="Z870" s="9"/>
      <c r="AA870" s="9"/>
      <c r="AB870" s="9"/>
      <c r="AC870" s="9"/>
    </row>
    <row r="871" spans="1:29" ht="12.75" customHeight="1" x14ac:dyDescent="0.25">
      <c r="A871" s="9"/>
      <c r="B871" s="9"/>
      <c r="C871" s="9"/>
      <c r="D871" s="9"/>
      <c r="E871" s="9"/>
      <c r="F871" s="9"/>
      <c r="G871" s="9"/>
      <c r="H871" s="581"/>
      <c r="I871" s="581"/>
      <c r="J871" s="581"/>
      <c r="K871" s="581"/>
      <c r="L871" s="581"/>
      <c r="M871" s="581"/>
      <c r="N871" s="581"/>
      <c r="O871" s="581"/>
      <c r="P871" s="581"/>
      <c r="Q871" s="581"/>
      <c r="R871" s="581"/>
      <c r="S871" s="581"/>
      <c r="T871" s="581"/>
      <c r="U871" s="9"/>
      <c r="V871" s="9"/>
      <c r="W871" s="9"/>
      <c r="X871" s="9"/>
      <c r="Y871" s="9"/>
      <c r="Z871" s="9"/>
      <c r="AA871" s="9"/>
      <c r="AB871" s="9"/>
      <c r="AC871" s="9"/>
    </row>
    <row r="872" spans="1:29" ht="12.75" customHeight="1" x14ac:dyDescent="0.25">
      <c r="A872" s="9"/>
      <c r="B872" s="9"/>
      <c r="C872" s="9"/>
      <c r="D872" s="9"/>
      <c r="E872" s="9"/>
      <c r="F872" s="9"/>
      <c r="G872" s="9"/>
      <c r="H872" s="581"/>
      <c r="I872" s="581"/>
      <c r="J872" s="581"/>
      <c r="K872" s="581"/>
      <c r="L872" s="581"/>
      <c r="M872" s="581"/>
      <c r="N872" s="581"/>
      <c r="O872" s="581"/>
      <c r="P872" s="581"/>
      <c r="Q872" s="581"/>
      <c r="R872" s="581"/>
      <c r="S872" s="581"/>
      <c r="T872" s="581"/>
      <c r="U872" s="9"/>
      <c r="V872" s="9"/>
      <c r="W872" s="9"/>
      <c r="X872" s="9"/>
      <c r="Y872" s="9"/>
      <c r="Z872" s="9"/>
      <c r="AA872" s="9"/>
      <c r="AB872" s="9"/>
      <c r="AC872" s="9"/>
    </row>
    <row r="873" spans="1:29" ht="12.75" customHeight="1" x14ac:dyDescent="0.25">
      <c r="A873" s="9"/>
      <c r="B873" s="9"/>
      <c r="C873" s="9"/>
      <c r="D873" s="9"/>
      <c r="E873" s="9"/>
      <c r="F873" s="9"/>
      <c r="G873" s="9"/>
      <c r="H873" s="581"/>
      <c r="I873" s="581"/>
      <c r="J873" s="581"/>
      <c r="K873" s="581"/>
      <c r="L873" s="581"/>
      <c r="M873" s="581"/>
      <c r="N873" s="581"/>
      <c r="O873" s="581"/>
      <c r="P873" s="581"/>
      <c r="Q873" s="581"/>
      <c r="R873" s="581"/>
      <c r="S873" s="581"/>
      <c r="T873" s="581"/>
      <c r="U873" s="9"/>
      <c r="V873" s="9"/>
      <c r="W873" s="9"/>
      <c r="X873" s="9"/>
      <c r="Y873" s="9"/>
      <c r="Z873" s="9"/>
      <c r="AA873" s="9"/>
      <c r="AB873" s="9"/>
      <c r="AC873" s="9"/>
    </row>
    <row r="874" spans="1:29" ht="12.75" customHeight="1" x14ac:dyDescent="0.25">
      <c r="A874" s="9"/>
      <c r="B874" s="9"/>
      <c r="C874" s="9"/>
      <c r="D874" s="9"/>
      <c r="E874" s="9"/>
      <c r="F874" s="9"/>
      <c r="G874" s="9"/>
      <c r="H874" s="581"/>
      <c r="I874" s="581"/>
      <c r="J874" s="581"/>
      <c r="K874" s="581"/>
      <c r="L874" s="581"/>
      <c r="M874" s="581"/>
      <c r="N874" s="581"/>
      <c r="O874" s="581"/>
      <c r="P874" s="581"/>
      <c r="Q874" s="581"/>
      <c r="R874" s="581"/>
      <c r="S874" s="581"/>
      <c r="T874" s="581"/>
      <c r="U874" s="9"/>
      <c r="V874" s="9"/>
      <c r="W874" s="9"/>
      <c r="X874" s="9"/>
      <c r="Y874" s="9"/>
      <c r="Z874" s="9"/>
      <c r="AA874" s="9"/>
      <c r="AB874" s="9"/>
      <c r="AC874" s="9"/>
    </row>
    <row r="875" spans="1:29" ht="12.75" customHeight="1" x14ac:dyDescent="0.25">
      <c r="A875" s="9"/>
      <c r="B875" s="9"/>
      <c r="C875" s="9"/>
      <c r="D875" s="9"/>
      <c r="E875" s="9"/>
      <c r="F875" s="9"/>
      <c r="G875" s="9"/>
      <c r="H875" s="581"/>
      <c r="I875" s="581"/>
      <c r="J875" s="581"/>
      <c r="K875" s="581"/>
      <c r="L875" s="581"/>
      <c r="M875" s="581"/>
      <c r="N875" s="581"/>
      <c r="O875" s="581"/>
      <c r="P875" s="581"/>
      <c r="Q875" s="581"/>
      <c r="R875" s="581"/>
      <c r="S875" s="581"/>
      <c r="T875" s="581"/>
      <c r="U875" s="9"/>
      <c r="V875" s="9"/>
      <c r="W875" s="9"/>
      <c r="X875" s="9"/>
      <c r="Y875" s="9"/>
      <c r="Z875" s="9"/>
      <c r="AA875" s="9"/>
      <c r="AB875" s="9"/>
      <c r="AC875" s="9"/>
    </row>
    <row r="876" spans="1:29" ht="12.75" customHeight="1" x14ac:dyDescent="0.25">
      <c r="A876" s="9"/>
      <c r="B876" s="9"/>
      <c r="C876" s="9"/>
      <c r="D876" s="9"/>
      <c r="E876" s="9"/>
      <c r="F876" s="9"/>
      <c r="G876" s="9"/>
      <c r="H876" s="581"/>
      <c r="I876" s="581"/>
      <c r="J876" s="581"/>
      <c r="K876" s="581"/>
      <c r="L876" s="581"/>
      <c r="M876" s="581"/>
      <c r="N876" s="581"/>
      <c r="O876" s="581"/>
      <c r="P876" s="581"/>
      <c r="Q876" s="581"/>
      <c r="R876" s="581"/>
      <c r="S876" s="581"/>
      <c r="T876" s="581"/>
      <c r="U876" s="9"/>
      <c r="V876" s="9"/>
      <c r="W876" s="9"/>
      <c r="X876" s="9"/>
      <c r="Y876" s="9"/>
      <c r="Z876" s="9"/>
      <c r="AA876" s="9"/>
      <c r="AB876" s="9"/>
      <c r="AC876" s="9"/>
    </row>
    <row r="877" spans="1:29" ht="12.75" customHeight="1" x14ac:dyDescent="0.25">
      <c r="A877" s="9"/>
      <c r="B877" s="9"/>
      <c r="C877" s="9"/>
      <c r="D877" s="9"/>
      <c r="E877" s="9"/>
      <c r="F877" s="9"/>
      <c r="G877" s="9"/>
      <c r="H877" s="581"/>
      <c r="I877" s="581"/>
      <c r="J877" s="581"/>
      <c r="K877" s="581"/>
      <c r="L877" s="581"/>
      <c r="M877" s="581"/>
      <c r="N877" s="581"/>
      <c r="O877" s="581"/>
      <c r="P877" s="581"/>
      <c r="Q877" s="581"/>
      <c r="R877" s="581"/>
      <c r="S877" s="581"/>
      <c r="T877" s="581"/>
      <c r="U877" s="9"/>
      <c r="V877" s="9"/>
      <c r="W877" s="9"/>
      <c r="X877" s="9"/>
      <c r="Y877" s="9"/>
      <c r="Z877" s="9"/>
      <c r="AA877" s="9"/>
      <c r="AB877" s="9"/>
      <c r="AC877" s="9"/>
    </row>
    <row r="878" spans="1:29" ht="12.75" customHeight="1" x14ac:dyDescent="0.25">
      <c r="A878" s="9"/>
      <c r="B878" s="9"/>
      <c r="C878" s="9"/>
      <c r="D878" s="9"/>
      <c r="E878" s="9"/>
      <c r="F878" s="9"/>
      <c r="G878" s="9"/>
      <c r="H878" s="581"/>
      <c r="I878" s="581"/>
      <c r="J878" s="581"/>
      <c r="K878" s="581"/>
      <c r="L878" s="581"/>
      <c r="M878" s="581"/>
      <c r="N878" s="581"/>
      <c r="O878" s="581"/>
      <c r="P878" s="581"/>
      <c r="Q878" s="581"/>
      <c r="R878" s="581"/>
      <c r="S878" s="581"/>
      <c r="T878" s="581"/>
      <c r="U878" s="9"/>
      <c r="V878" s="9"/>
      <c r="W878" s="9"/>
      <c r="X878" s="9"/>
      <c r="Y878" s="9"/>
      <c r="Z878" s="9"/>
      <c r="AA878" s="9"/>
      <c r="AB878" s="9"/>
      <c r="AC878" s="9"/>
    </row>
    <row r="879" spans="1:29" ht="12.75" customHeight="1" x14ac:dyDescent="0.25">
      <c r="A879" s="9"/>
      <c r="B879" s="9"/>
      <c r="C879" s="9"/>
      <c r="D879" s="9"/>
      <c r="E879" s="9"/>
      <c r="F879" s="9"/>
      <c r="G879" s="9"/>
      <c r="H879" s="581"/>
      <c r="I879" s="581"/>
      <c r="J879" s="581"/>
      <c r="K879" s="581"/>
      <c r="L879" s="581"/>
      <c r="M879" s="581"/>
      <c r="N879" s="581"/>
      <c r="O879" s="581"/>
      <c r="P879" s="581"/>
      <c r="Q879" s="581"/>
      <c r="R879" s="581"/>
      <c r="S879" s="581"/>
      <c r="T879" s="581"/>
      <c r="U879" s="9"/>
      <c r="V879" s="9"/>
      <c r="W879" s="9"/>
      <c r="X879" s="9"/>
      <c r="Y879" s="9"/>
      <c r="Z879" s="9"/>
      <c r="AA879" s="9"/>
      <c r="AB879" s="9"/>
      <c r="AC879" s="9"/>
    </row>
    <row r="880" spans="1:29" ht="12.75" customHeight="1" x14ac:dyDescent="0.25">
      <c r="A880" s="9"/>
      <c r="B880" s="9"/>
      <c r="C880" s="9"/>
      <c r="D880" s="9"/>
      <c r="E880" s="9"/>
      <c r="F880" s="9"/>
      <c r="G880" s="9"/>
      <c r="H880" s="581"/>
      <c r="I880" s="581"/>
      <c r="J880" s="581"/>
      <c r="K880" s="581"/>
      <c r="L880" s="581"/>
      <c r="M880" s="581"/>
      <c r="N880" s="581"/>
      <c r="O880" s="581"/>
      <c r="P880" s="581"/>
      <c r="Q880" s="581"/>
      <c r="R880" s="581"/>
      <c r="S880" s="581"/>
      <c r="T880" s="581"/>
      <c r="U880" s="9"/>
      <c r="V880" s="9"/>
      <c r="W880" s="9"/>
      <c r="X880" s="9"/>
      <c r="Y880" s="9"/>
      <c r="Z880" s="9"/>
      <c r="AA880" s="9"/>
      <c r="AB880" s="9"/>
      <c r="AC880" s="9"/>
    </row>
    <row r="881" spans="1:29" ht="12.75" customHeight="1" x14ac:dyDescent="0.25">
      <c r="A881" s="9"/>
      <c r="B881" s="9"/>
      <c r="C881" s="9"/>
      <c r="D881" s="9"/>
      <c r="E881" s="9"/>
      <c r="F881" s="9"/>
      <c r="G881" s="9"/>
      <c r="H881" s="581"/>
      <c r="I881" s="581"/>
      <c r="J881" s="581"/>
      <c r="K881" s="581"/>
      <c r="L881" s="581"/>
      <c r="M881" s="581"/>
      <c r="N881" s="581"/>
      <c r="O881" s="581"/>
      <c r="P881" s="581"/>
      <c r="Q881" s="581"/>
      <c r="R881" s="581"/>
      <c r="S881" s="581"/>
      <c r="T881" s="581"/>
      <c r="U881" s="9"/>
      <c r="V881" s="9"/>
      <c r="W881" s="9"/>
      <c r="X881" s="9"/>
      <c r="Y881" s="9"/>
      <c r="Z881" s="9"/>
      <c r="AA881" s="9"/>
      <c r="AB881" s="9"/>
      <c r="AC881" s="9"/>
    </row>
    <row r="882" spans="1:29" ht="12.75" customHeight="1" x14ac:dyDescent="0.25">
      <c r="A882" s="9"/>
      <c r="B882" s="9"/>
      <c r="C882" s="9"/>
      <c r="D882" s="9"/>
      <c r="E882" s="9"/>
      <c r="F882" s="9"/>
      <c r="G882" s="9"/>
      <c r="H882" s="581"/>
      <c r="I882" s="581"/>
      <c r="J882" s="581"/>
      <c r="K882" s="581"/>
      <c r="L882" s="581"/>
      <c r="M882" s="581"/>
      <c r="N882" s="581"/>
      <c r="O882" s="581"/>
      <c r="P882" s="581"/>
      <c r="Q882" s="581"/>
      <c r="R882" s="581"/>
      <c r="S882" s="581"/>
      <c r="T882" s="581"/>
      <c r="U882" s="9"/>
      <c r="V882" s="9"/>
      <c r="W882" s="9"/>
      <c r="X882" s="9"/>
      <c r="Y882" s="9"/>
      <c r="Z882" s="9"/>
      <c r="AA882" s="9"/>
      <c r="AB882" s="9"/>
      <c r="AC882" s="9"/>
    </row>
    <row r="883" spans="1:29" ht="12.75" customHeight="1" x14ac:dyDescent="0.25">
      <c r="A883" s="9"/>
      <c r="B883" s="9"/>
      <c r="C883" s="9"/>
      <c r="D883" s="9"/>
      <c r="E883" s="9"/>
      <c r="F883" s="9"/>
      <c r="G883" s="9"/>
      <c r="H883" s="581"/>
      <c r="I883" s="581"/>
      <c r="J883" s="581"/>
      <c r="K883" s="581"/>
      <c r="L883" s="581"/>
      <c r="M883" s="581"/>
      <c r="N883" s="581"/>
      <c r="O883" s="581"/>
      <c r="P883" s="581"/>
      <c r="Q883" s="581"/>
      <c r="R883" s="581"/>
      <c r="S883" s="581"/>
      <c r="T883" s="581"/>
      <c r="U883" s="9"/>
      <c r="V883" s="9"/>
      <c r="W883" s="9"/>
      <c r="X883" s="9"/>
      <c r="Y883" s="9"/>
      <c r="Z883" s="9"/>
      <c r="AA883" s="9"/>
      <c r="AB883" s="9"/>
      <c r="AC883" s="9"/>
    </row>
    <row r="884" spans="1:29" ht="12.75" customHeight="1" x14ac:dyDescent="0.25">
      <c r="A884" s="9"/>
      <c r="B884" s="9"/>
      <c r="C884" s="9"/>
      <c r="D884" s="9"/>
      <c r="E884" s="9"/>
      <c r="F884" s="9"/>
      <c r="G884" s="9"/>
      <c r="H884" s="581"/>
      <c r="I884" s="581"/>
      <c r="J884" s="581"/>
      <c r="K884" s="581"/>
      <c r="L884" s="581"/>
      <c r="M884" s="581"/>
      <c r="N884" s="581"/>
      <c r="O884" s="581"/>
      <c r="P884" s="581"/>
      <c r="Q884" s="581"/>
      <c r="R884" s="581"/>
      <c r="S884" s="581"/>
      <c r="T884" s="581"/>
      <c r="U884" s="9"/>
      <c r="V884" s="9"/>
      <c r="W884" s="9"/>
      <c r="X884" s="9"/>
      <c r="Y884" s="9"/>
      <c r="Z884" s="9"/>
      <c r="AA884" s="9"/>
      <c r="AB884" s="9"/>
      <c r="AC884" s="9"/>
    </row>
    <row r="885" spans="1:29" ht="12.75" customHeight="1" x14ac:dyDescent="0.25">
      <c r="A885" s="9"/>
      <c r="B885" s="9"/>
      <c r="C885" s="9"/>
      <c r="D885" s="9"/>
      <c r="E885" s="9"/>
      <c r="F885" s="9"/>
      <c r="G885" s="9"/>
      <c r="H885" s="581"/>
      <c r="I885" s="581"/>
      <c r="J885" s="581"/>
      <c r="K885" s="581"/>
      <c r="L885" s="581"/>
      <c r="M885" s="581"/>
      <c r="N885" s="581"/>
      <c r="O885" s="581"/>
      <c r="P885" s="581"/>
      <c r="Q885" s="581"/>
      <c r="R885" s="581"/>
      <c r="S885" s="581"/>
      <c r="T885" s="581"/>
      <c r="U885" s="9"/>
      <c r="V885" s="9"/>
      <c r="W885" s="9"/>
      <c r="X885" s="9"/>
      <c r="Y885" s="9"/>
      <c r="Z885" s="9"/>
      <c r="AA885" s="9"/>
      <c r="AB885" s="9"/>
      <c r="AC885" s="9"/>
    </row>
    <row r="886" spans="1:29" ht="12.75" customHeight="1" x14ac:dyDescent="0.25">
      <c r="A886" s="9"/>
      <c r="B886" s="9"/>
      <c r="C886" s="9"/>
      <c r="D886" s="9"/>
      <c r="E886" s="9"/>
      <c r="F886" s="9"/>
      <c r="G886" s="9"/>
      <c r="H886" s="581"/>
      <c r="I886" s="581"/>
      <c r="J886" s="581"/>
      <c r="K886" s="581"/>
      <c r="L886" s="581"/>
      <c r="M886" s="581"/>
      <c r="N886" s="581"/>
      <c r="O886" s="581"/>
      <c r="P886" s="581"/>
      <c r="Q886" s="581"/>
      <c r="R886" s="581"/>
      <c r="S886" s="581"/>
      <c r="T886" s="581"/>
      <c r="U886" s="9"/>
      <c r="V886" s="9"/>
      <c r="W886" s="9"/>
      <c r="X886" s="9"/>
      <c r="Y886" s="9"/>
      <c r="Z886" s="9"/>
      <c r="AA886" s="9"/>
      <c r="AB886" s="9"/>
      <c r="AC886" s="9"/>
    </row>
    <row r="887" spans="1:29" ht="12.75" customHeight="1" x14ac:dyDescent="0.25">
      <c r="A887" s="9"/>
      <c r="B887" s="9"/>
      <c r="C887" s="9"/>
      <c r="D887" s="9"/>
      <c r="E887" s="9"/>
      <c r="F887" s="9"/>
      <c r="G887" s="9"/>
      <c r="H887" s="581"/>
      <c r="I887" s="581"/>
      <c r="J887" s="581"/>
      <c r="K887" s="581"/>
      <c r="L887" s="581"/>
      <c r="M887" s="581"/>
      <c r="N887" s="581"/>
      <c r="O887" s="581"/>
      <c r="P887" s="581"/>
      <c r="Q887" s="581"/>
      <c r="R887" s="581"/>
      <c r="S887" s="581"/>
      <c r="T887" s="581"/>
      <c r="U887" s="9"/>
      <c r="V887" s="9"/>
      <c r="W887" s="9"/>
      <c r="X887" s="9"/>
      <c r="Y887" s="9"/>
      <c r="Z887" s="9"/>
      <c r="AA887" s="9"/>
      <c r="AB887" s="9"/>
      <c r="AC887" s="9"/>
    </row>
    <row r="888" spans="1:29" ht="12.75" customHeight="1" x14ac:dyDescent="0.25">
      <c r="A888" s="9"/>
      <c r="B888" s="9"/>
      <c r="C888" s="9"/>
      <c r="D888" s="9"/>
      <c r="E888" s="9"/>
      <c r="F888" s="9"/>
      <c r="G888" s="9"/>
      <c r="H888" s="581"/>
      <c r="I888" s="581"/>
      <c r="J888" s="581"/>
      <c r="K888" s="581"/>
      <c r="L888" s="581"/>
      <c r="M888" s="581"/>
      <c r="N888" s="581"/>
      <c r="O888" s="581"/>
      <c r="P888" s="581"/>
      <c r="Q888" s="581"/>
      <c r="R888" s="581"/>
      <c r="S888" s="581"/>
      <c r="T888" s="581"/>
      <c r="U888" s="9"/>
      <c r="V888" s="9"/>
      <c r="W888" s="9"/>
      <c r="X888" s="9"/>
      <c r="Y888" s="9"/>
      <c r="Z888" s="9"/>
      <c r="AA888" s="9"/>
      <c r="AB888" s="9"/>
      <c r="AC888" s="9"/>
    </row>
    <row r="889" spans="1:29" ht="12.75" customHeight="1" x14ac:dyDescent="0.25">
      <c r="A889" s="9"/>
      <c r="B889" s="9"/>
      <c r="C889" s="9"/>
      <c r="D889" s="9"/>
      <c r="E889" s="9"/>
      <c r="F889" s="9"/>
      <c r="G889" s="9"/>
      <c r="H889" s="581"/>
      <c r="I889" s="581"/>
      <c r="J889" s="581"/>
      <c r="K889" s="581"/>
      <c r="L889" s="581"/>
      <c r="M889" s="581"/>
      <c r="N889" s="581"/>
      <c r="O889" s="581"/>
      <c r="P889" s="581"/>
      <c r="Q889" s="581"/>
      <c r="R889" s="581"/>
      <c r="S889" s="581"/>
      <c r="T889" s="581"/>
      <c r="U889" s="9"/>
      <c r="V889" s="9"/>
      <c r="W889" s="9"/>
      <c r="X889" s="9"/>
      <c r="Y889" s="9"/>
      <c r="Z889" s="9"/>
      <c r="AA889" s="9"/>
      <c r="AB889" s="9"/>
      <c r="AC889" s="9"/>
    </row>
    <row r="890" spans="1:29" ht="12.75" customHeight="1" x14ac:dyDescent="0.25">
      <c r="A890" s="9"/>
      <c r="B890" s="9"/>
      <c r="C890" s="9"/>
      <c r="D890" s="9"/>
      <c r="E890" s="9"/>
      <c r="F890" s="9"/>
      <c r="G890" s="9"/>
      <c r="H890" s="581"/>
      <c r="I890" s="581"/>
      <c r="J890" s="581"/>
      <c r="K890" s="581"/>
      <c r="L890" s="581"/>
      <c r="M890" s="581"/>
      <c r="N890" s="581"/>
      <c r="O890" s="581"/>
      <c r="P890" s="581"/>
      <c r="Q890" s="581"/>
      <c r="R890" s="581"/>
      <c r="S890" s="581"/>
      <c r="T890" s="581"/>
      <c r="U890" s="9"/>
      <c r="V890" s="9"/>
      <c r="W890" s="9"/>
      <c r="X890" s="9"/>
      <c r="Y890" s="9"/>
      <c r="Z890" s="9"/>
      <c r="AA890" s="9"/>
      <c r="AB890" s="9"/>
      <c r="AC890" s="9"/>
    </row>
    <row r="891" spans="1:29" ht="12.75" customHeight="1" x14ac:dyDescent="0.25">
      <c r="A891" s="9"/>
      <c r="B891" s="9"/>
      <c r="C891" s="9"/>
      <c r="D891" s="9"/>
      <c r="E891" s="9"/>
      <c r="F891" s="9"/>
      <c r="G891" s="9"/>
      <c r="H891" s="581"/>
      <c r="I891" s="581"/>
      <c r="J891" s="581"/>
      <c r="K891" s="581"/>
      <c r="L891" s="581"/>
      <c r="M891" s="581"/>
      <c r="N891" s="581"/>
      <c r="O891" s="581"/>
      <c r="P891" s="581"/>
      <c r="Q891" s="581"/>
      <c r="R891" s="581"/>
      <c r="S891" s="581"/>
      <c r="T891" s="581"/>
      <c r="U891" s="9"/>
      <c r="V891" s="9"/>
      <c r="W891" s="9"/>
      <c r="X891" s="9"/>
      <c r="Y891" s="9"/>
      <c r="Z891" s="9"/>
      <c r="AA891" s="9"/>
      <c r="AB891" s="9"/>
      <c r="AC891" s="9"/>
    </row>
    <row r="892" spans="1:29" ht="12.75" customHeight="1" x14ac:dyDescent="0.25">
      <c r="A892" s="9"/>
      <c r="B892" s="9"/>
      <c r="C892" s="9"/>
      <c r="D892" s="9"/>
      <c r="E892" s="9"/>
      <c r="F892" s="9"/>
      <c r="G892" s="9"/>
      <c r="H892" s="581"/>
      <c r="I892" s="581"/>
      <c r="J892" s="581"/>
      <c r="K892" s="581"/>
      <c r="L892" s="581"/>
      <c r="M892" s="581"/>
      <c r="N892" s="581"/>
      <c r="O892" s="581"/>
      <c r="P892" s="581"/>
      <c r="Q892" s="581"/>
      <c r="R892" s="581"/>
      <c r="S892" s="581"/>
      <c r="T892" s="581"/>
      <c r="U892" s="9"/>
      <c r="V892" s="9"/>
      <c r="W892" s="9"/>
      <c r="X892" s="9"/>
      <c r="Y892" s="9"/>
      <c r="Z892" s="9"/>
      <c r="AA892" s="9"/>
      <c r="AB892" s="9"/>
      <c r="AC892" s="9"/>
    </row>
    <row r="893" spans="1:29" ht="12.75" customHeight="1" x14ac:dyDescent="0.25">
      <c r="A893" s="9"/>
      <c r="B893" s="9"/>
      <c r="C893" s="9"/>
      <c r="D893" s="9"/>
      <c r="E893" s="9"/>
      <c r="F893" s="9"/>
      <c r="G893" s="9"/>
      <c r="H893" s="581"/>
      <c r="I893" s="581"/>
      <c r="J893" s="581"/>
      <c r="K893" s="581"/>
      <c r="L893" s="581"/>
      <c r="M893" s="581"/>
      <c r="N893" s="581"/>
      <c r="O893" s="581"/>
      <c r="P893" s="581"/>
      <c r="Q893" s="581"/>
      <c r="R893" s="581"/>
      <c r="S893" s="581"/>
      <c r="T893" s="581"/>
      <c r="U893" s="9"/>
      <c r="V893" s="9"/>
      <c r="W893" s="9"/>
      <c r="X893" s="9"/>
      <c r="Y893" s="9"/>
      <c r="Z893" s="9"/>
      <c r="AA893" s="9"/>
      <c r="AB893" s="9"/>
      <c r="AC893" s="9"/>
    </row>
    <row r="894" spans="1:29" ht="12.75" customHeight="1" x14ac:dyDescent="0.25">
      <c r="A894" s="9"/>
      <c r="B894" s="9"/>
      <c r="C894" s="9"/>
      <c r="D894" s="9"/>
      <c r="E894" s="9"/>
      <c r="F894" s="9"/>
      <c r="G894" s="9"/>
      <c r="H894" s="581"/>
      <c r="I894" s="581"/>
      <c r="J894" s="581"/>
      <c r="K894" s="581"/>
      <c r="L894" s="581"/>
      <c r="M894" s="581"/>
      <c r="N894" s="581"/>
      <c r="O894" s="581"/>
      <c r="P894" s="581"/>
      <c r="Q894" s="581"/>
      <c r="R894" s="581"/>
      <c r="S894" s="581"/>
      <c r="T894" s="581"/>
      <c r="U894" s="9"/>
      <c r="V894" s="9"/>
      <c r="W894" s="9"/>
      <c r="X894" s="9"/>
      <c r="Y894" s="9"/>
      <c r="Z894" s="9"/>
      <c r="AA894" s="9"/>
      <c r="AB894" s="9"/>
      <c r="AC894" s="9"/>
    </row>
    <row r="895" spans="1:29" ht="12.75" customHeight="1" x14ac:dyDescent="0.25">
      <c r="A895" s="9"/>
      <c r="B895" s="9"/>
      <c r="C895" s="9"/>
      <c r="D895" s="9"/>
      <c r="E895" s="9"/>
      <c r="F895" s="9"/>
      <c r="G895" s="9"/>
      <c r="H895" s="581"/>
      <c r="I895" s="581"/>
      <c r="J895" s="581"/>
      <c r="K895" s="581"/>
      <c r="L895" s="581"/>
      <c r="M895" s="581"/>
      <c r="N895" s="581"/>
      <c r="O895" s="581"/>
      <c r="P895" s="581"/>
      <c r="Q895" s="581"/>
      <c r="R895" s="581"/>
      <c r="S895" s="581"/>
      <c r="T895" s="581"/>
      <c r="U895" s="9"/>
      <c r="V895" s="9"/>
      <c r="W895" s="9"/>
      <c r="X895" s="9"/>
      <c r="Y895" s="9"/>
      <c r="Z895" s="9"/>
      <c r="AA895" s="9"/>
      <c r="AB895" s="9"/>
      <c r="AC895" s="9"/>
    </row>
    <row r="896" spans="1:29" ht="12.75" customHeight="1" x14ac:dyDescent="0.25">
      <c r="A896" s="9"/>
      <c r="B896" s="9"/>
      <c r="C896" s="9"/>
      <c r="D896" s="9"/>
      <c r="E896" s="9"/>
      <c r="F896" s="9"/>
      <c r="G896" s="9"/>
      <c r="H896" s="581"/>
      <c r="I896" s="581"/>
      <c r="J896" s="581"/>
      <c r="K896" s="581"/>
      <c r="L896" s="581"/>
      <c r="M896" s="581"/>
      <c r="N896" s="581"/>
      <c r="O896" s="581"/>
      <c r="P896" s="581"/>
      <c r="Q896" s="581"/>
      <c r="R896" s="581"/>
      <c r="S896" s="581"/>
      <c r="T896" s="581"/>
      <c r="U896" s="9"/>
      <c r="V896" s="9"/>
      <c r="W896" s="9"/>
      <c r="X896" s="9"/>
      <c r="Y896" s="9"/>
      <c r="Z896" s="9"/>
      <c r="AA896" s="9"/>
      <c r="AB896" s="9"/>
      <c r="AC896" s="9"/>
    </row>
    <row r="897" spans="1:29" ht="12.75" customHeight="1" x14ac:dyDescent="0.25">
      <c r="A897" s="9"/>
      <c r="B897" s="9"/>
      <c r="C897" s="9"/>
      <c r="D897" s="9"/>
      <c r="E897" s="9"/>
      <c r="F897" s="9"/>
      <c r="G897" s="9"/>
      <c r="H897" s="581"/>
      <c r="I897" s="581"/>
      <c r="J897" s="581"/>
      <c r="K897" s="581"/>
      <c r="L897" s="581"/>
      <c r="M897" s="581"/>
      <c r="N897" s="581"/>
      <c r="O897" s="581"/>
      <c r="P897" s="581"/>
      <c r="Q897" s="581"/>
      <c r="R897" s="581"/>
      <c r="S897" s="581"/>
      <c r="T897" s="581"/>
      <c r="U897" s="9"/>
      <c r="V897" s="9"/>
      <c r="W897" s="9"/>
      <c r="X897" s="9"/>
      <c r="Y897" s="9"/>
      <c r="Z897" s="9"/>
      <c r="AA897" s="9"/>
      <c r="AB897" s="9"/>
      <c r="AC897" s="9"/>
    </row>
    <row r="898" spans="1:29" ht="12.75" customHeight="1" x14ac:dyDescent="0.25">
      <c r="A898" s="9"/>
      <c r="B898" s="9"/>
      <c r="C898" s="9"/>
      <c r="D898" s="9"/>
      <c r="E898" s="9"/>
      <c r="F898" s="9"/>
      <c r="G898" s="9"/>
      <c r="H898" s="581"/>
      <c r="I898" s="581"/>
      <c r="J898" s="581"/>
      <c r="K898" s="581"/>
      <c r="L898" s="581"/>
      <c r="M898" s="581"/>
      <c r="N898" s="581"/>
      <c r="O898" s="581"/>
      <c r="P898" s="581"/>
      <c r="Q898" s="581"/>
      <c r="R898" s="581"/>
      <c r="S898" s="581"/>
      <c r="T898" s="581"/>
      <c r="U898" s="9"/>
      <c r="V898" s="9"/>
      <c r="W898" s="9"/>
      <c r="X898" s="9"/>
      <c r="Y898" s="9"/>
      <c r="Z898" s="9"/>
      <c r="AA898" s="9"/>
      <c r="AB898" s="9"/>
      <c r="AC898" s="9"/>
    </row>
    <row r="899" spans="1:29" ht="12.75" customHeight="1" x14ac:dyDescent="0.25">
      <c r="A899" s="9"/>
      <c r="B899" s="9"/>
      <c r="C899" s="9"/>
      <c r="D899" s="9"/>
      <c r="E899" s="9"/>
      <c r="F899" s="9"/>
      <c r="G899" s="9"/>
      <c r="H899" s="581"/>
      <c r="I899" s="581"/>
      <c r="J899" s="581"/>
      <c r="K899" s="581"/>
      <c r="L899" s="581"/>
      <c r="M899" s="581"/>
      <c r="N899" s="581"/>
      <c r="O899" s="581"/>
      <c r="P899" s="581"/>
      <c r="Q899" s="581"/>
      <c r="R899" s="581"/>
      <c r="S899" s="581"/>
      <c r="T899" s="581"/>
      <c r="U899" s="9"/>
      <c r="V899" s="9"/>
      <c r="W899" s="9"/>
      <c r="X899" s="9"/>
      <c r="Y899" s="9"/>
      <c r="Z899" s="9"/>
      <c r="AA899" s="9"/>
      <c r="AB899" s="9"/>
      <c r="AC899" s="9"/>
    </row>
    <row r="900" spans="1:29" ht="12.75" customHeight="1" x14ac:dyDescent="0.25">
      <c r="A900" s="9"/>
      <c r="B900" s="9"/>
      <c r="C900" s="9"/>
      <c r="D900" s="9"/>
      <c r="E900" s="9"/>
      <c r="F900" s="9"/>
      <c r="G900" s="9"/>
      <c r="H900" s="581"/>
      <c r="I900" s="581"/>
      <c r="J900" s="581"/>
      <c r="K900" s="581"/>
      <c r="L900" s="581"/>
      <c r="M900" s="581"/>
      <c r="N900" s="581"/>
      <c r="O900" s="581"/>
      <c r="P900" s="581"/>
      <c r="Q900" s="581"/>
      <c r="R900" s="581"/>
      <c r="S900" s="581"/>
      <c r="T900" s="581"/>
      <c r="U900" s="9"/>
      <c r="V900" s="9"/>
      <c r="W900" s="9"/>
      <c r="X900" s="9"/>
      <c r="Y900" s="9"/>
      <c r="Z900" s="9"/>
      <c r="AA900" s="9"/>
      <c r="AB900" s="9"/>
      <c r="AC900" s="9"/>
    </row>
    <row r="901" spans="1:29" ht="12.75" customHeight="1" x14ac:dyDescent="0.25">
      <c r="A901" s="9"/>
      <c r="B901" s="9"/>
      <c r="C901" s="9"/>
      <c r="D901" s="9"/>
      <c r="E901" s="9"/>
      <c r="F901" s="9"/>
      <c r="G901" s="9"/>
      <c r="H901" s="581"/>
      <c r="I901" s="581"/>
      <c r="J901" s="581"/>
      <c r="K901" s="581"/>
      <c r="L901" s="581"/>
      <c r="M901" s="581"/>
      <c r="N901" s="581"/>
      <c r="O901" s="581"/>
      <c r="P901" s="581"/>
      <c r="Q901" s="581"/>
      <c r="R901" s="581"/>
      <c r="S901" s="581"/>
      <c r="T901" s="581"/>
      <c r="U901" s="9"/>
      <c r="V901" s="9"/>
      <c r="W901" s="9"/>
      <c r="X901" s="9"/>
      <c r="Y901" s="9"/>
      <c r="Z901" s="9"/>
      <c r="AA901" s="9"/>
      <c r="AB901" s="9"/>
      <c r="AC901" s="9"/>
    </row>
    <row r="902" spans="1:29" ht="12.75" customHeight="1" x14ac:dyDescent="0.25">
      <c r="A902" s="9"/>
      <c r="B902" s="9"/>
      <c r="C902" s="9"/>
      <c r="D902" s="9"/>
      <c r="E902" s="9"/>
      <c r="F902" s="9"/>
      <c r="G902" s="9"/>
      <c r="H902" s="581"/>
      <c r="I902" s="581"/>
      <c r="J902" s="581"/>
      <c r="K902" s="581"/>
      <c r="L902" s="581"/>
      <c r="M902" s="581"/>
      <c r="N902" s="581"/>
      <c r="O902" s="581"/>
      <c r="P902" s="581"/>
      <c r="Q902" s="581"/>
      <c r="R902" s="581"/>
      <c r="S902" s="581"/>
      <c r="T902" s="581"/>
      <c r="U902" s="9"/>
      <c r="V902" s="9"/>
      <c r="W902" s="9"/>
      <c r="X902" s="9"/>
      <c r="Y902" s="9"/>
      <c r="Z902" s="9"/>
      <c r="AA902" s="9"/>
      <c r="AB902" s="9"/>
      <c r="AC902" s="9"/>
    </row>
    <row r="903" spans="1:29" ht="12.75" customHeight="1" x14ac:dyDescent="0.25">
      <c r="A903" s="9"/>
      <c r="B903" s="9"/>
      <c r="C903" s="9"/>
      <c r="D903" s="9"/>
      <c r="E903" s="9"/>
      <c r="F903" s="9"/>
      <c r="G903" s="9"/>
      <c r="H903" s="581"/>
      <c r="I903" s="581"/>
      <c r="J903" s="581"/>
      <c r="K903" s="581"/>
      <c r="L903" s="581"/>
      <c r="M903" s="581"/>
      <c r="N903" s="581"/>
      <c r="O903" s="581"/>
      <c r="P903" s="581"/>
      <c r="Q903" s="581"/>
      <c r="R903" s="581"/>
      <c r="S903" s="581"/>
      <c r="T903" s="581"/>
      <c r="U903" s="9"/>
      <c r="V903" s="9"/>
      <c r="W903" s="9"/>
      <c r="X903" s="9"/>
      <c r="Y903" s="9"/>
      <c r="Z903" s="9"/>
      <c r="AA903" s="9"/>
      <c r="AB903" s="9"/>
      <c r="AC903" s="9"/>
    </row>
    <row r="904" spans="1:29" ht="12.75" customHeight="1" x14ac:dyDescent="0.25">
      <c r="A904" s="9"/>
      <c r="B904" s="9"/>
      <c r="C904" s="9"/>
      <c r="D904" s="9"/>
      <c r="E904" s="9"/>
      <c r="F904" s="9"/>
      <c r="G904" s="9"/>
      <c r="H904" s="581"/>
      <c r="I904" s="581"/>
      <c r="J904" s="581"/>
      <c r="K904" s="581"/>
      <c r="L904" s="581"/>
      <c r="M904" s="581"/>
      <c r="N904" s="581"/>
      <c r="O904" s="581"/>
      <c r="P904" s="581"/>
      <c r="Q904" s="581"/>
      <c r="R904" s="581"/>
      <c r="S904" s="581"/>
      <c r="T904" s="581"/>
      <c r="U904" s="9"/>
      <c r="V904" s="9"/>
      <c r="W904" s="9"/>
      <c r="X904" s="9"/>
      <c r="Y904" s="9"/>
      <c r="Z904" s="9"/>
      <c r="AA904" s="9"/>
      <c r="AB904" s="9"/>
      <c r="AC904" s="9"/>
    </row>
    <row r="905" spans="1:29" ht="12.75" customHeight="1" x14ac:dyDescent="0.25">
      <c r="A905" s="9"/>
      <c r="B905" s="9"/>
      <c r="C905" s="9"/>
      <c r="D905" s="9"/>
      <c r="E905" s="9"/>
      <c r="F905" s="9"/>
      <c r="G905" s="9"/>
      <c r="H905" s="581"/>
      <c r="I905" s="581"/>
      <c r="J905" s="581"/>
      <c r="K905" s="581"/>
      <c r="L905" s="581"/>
      <c r="M905" s="581"/>
      <c r="N905" s="581"/>
      <c r="O905" s="581"/>
      <c r="P905" s="581"/>
      <c r="Q905" s="581"/>
      <c r="R905" s="581"/>
      <c r="S905" s="581"/>
      <c r="T905" s="581"/>
      <c r="U905" s="9"/>
      <c r="V905" s="9"/>
      <c r="W905" s="9"/>
      <c r="X905" s="9"/>
      <c r="Y905" s="9"/>
      <c r="Z905" s="9"/>
      <c r="AA905" s="9"/>
      <c r="AB905" s="9"/>
      <c r="AC905" s="9"/>
    </row>
    <row r="906" spans="1:29" ht="12.75" customHeight="1" x14ac:dyDescent="0.25">
      <c r="A906" s="9"/>
      <c r="B906" s="9"/>
      <c r="C906" s="9"/>
      <c r="D906" s="9"/>
      <c r="E906" s="9"/>
      <c r="F906" s="9"/>
      <c r="G906" s="9"/>
      <c r="H906" s="581"/>
      <c r="I906" s="581"/>
      <c r="J906" s="581"/>
      <c r="K906" s="581"/>
      <c r="L906" s="581"/>
      <c r="M906" s="581"/>
      <c r="N906" s="581"/>
      <c r="O906" s="581"/>
      <c r="P906" s="581"/>
      <c r="Q906" s="581"/>
      <c r="R906" s="581"/>
      <c r="S906" s="581"/>
      <c r="T906" s="581"/>
      <c r="U906" s="9"/>
      <c r="V906" s="9"/>
      <c r="W906" s="9"/>
      <c r="X906" s="9"/>
      <c r="Y906" s="9"/>
      <c r="Z906" s="9"/>
      <c r="AA906" s="9"/>
      <c r="AB906" s="9"/>
      <c r="AC906" s="9"/>
    </row>
    <row r="907" spans="1:29" ht="12.75" customHeight="1" x14ac:dyDescent="0.25">
      <c r="A907" s="9"/>
      <c r="B907" s="9"/>
      <c r="C907" s="9"/>
      <c r="D907" s="9"/>
      <c r="E907" s="9"/>
      <c r="F907" s="9"/>
      <c r="G907" s="9"/>
      <c r="H907" s="581"/>
      <c r="I907" s="581"/>
      <c r="J907" s="581"/>
      <c r="K907" s="581"/>
      <c r="L907" s="581"/>
      <c r="M907" s="581"/>
      <c r="N907" s="581"/>
      <c r="O907" s="581"/>
      <c r="P907" s="581"/>
      <c r="Q907" s="581"/>
      <c r="R907" s="581"/>
      <c r="S907" s="581"/>
      <c r="T907" s="581"/>
      <c r="U907" s="9"/>
      <c r="V907" s="9"/>
      <c r="W907" s="9"/>
      <c r="X907" s="9"/>
      <c r="Y907" s="9"/>
      <c r="Z907" s="9"/>
      <c r="AA907" s="9"/>
      <c r="AB907" s="9"/>
      <c r="AC907" s="9"/>
    </row>
    <row r="908" spans="1:29" ht="12.75" customHeight="1" x14ac:dyDescent="0.25">
      <c r="A908" s="9"/>
      <c r="B908" s="9"/>
      <c r="C908" s="9"/>
      <c r="D908" s="9"/>
      <c r="E908" s="9"/>
      <c r="F908" s="9"/>
      <c r="G908" s="9"/>
      <c r="H908" s="581"/>
      <c r="I908" s="581"/>
      <c r="J908" s="581"/>
      <c r="K908" s="581"/>
      <c r="L908" s="581"/>
      <c r="M908" s="581"/>
      <c r="N908" s="581"/>
      <c r="O908" s="581"/>
      <c r="P908" s="581"/>
      <c r="Q908" s="581"/>
      <c r="R908" s="581"/>
      <c r="S908" s="581"/>
      <c r="T908" s="581"/>
      <c r="U908" s="9"/>
      <c r="V908" s="9"/>
      <c r="W908" s="9"/>
      <c r="X908" s="9"/>
      <c r="Y908" s="9"/>
      <c r="Z908" s="9"/>
      <c r="AA908" s="9"/>
      <c r="AB908" s="9"/>
      <c r="AC908" s="9"/>
    </row>
    <row r="909" spans="1:29" ht="12.75" customHeight="1" x14ac:dyDescent="0.25">
      <c r="A909" s="9"/>
      <c r="B909" s="9"/>
      <c r="C909" s="9"/>
      <c r="D909" s="9"/>
      <c r="E909" s="9"/>
      <c r="F909" s="9"/>
      <c r="G909" s="9"/>
      <c r="H909" s="581"/>
      <c r="I909" s="581"/>
      <c r="J909" s="581"/>
      <c r="K909" s="581"/>
      <c r="L909" s="581"/>
      <c r="M909" s="581"/>
      <c r="N909" s="581"/>
      <c r="O909" s="581"/>
      <c r="P909" s="581"/>
      <c r="Q909" s="581"/>
      <c r="R909" s="581"/>
      <c r="S909" s="581"/>
      <c r="T909" s="581"/>
      <c r="U909" s="9"/>
      <c r="V909" s="9"/>
      <c r="W909" s="9"/>
      <c r="X909" s="9"/>
      <c r="Y909" s="9"/>
      <c r="Z909" s="9"/>
      <c r="AA909" s="9"/>
      <c r="AB909" s="9"/>
      <c r="AC909" s="9"/>
    </row>
    <row r="910" spans="1:29" ht="12.75" customHeight="1" x14ac:dyDescent="0.25">
      <c r="A910" s="9"/>
      <c r="B910" s="9"/>
      <c r="C910" s="9"/>
      <c r="D910" s="9"/>
      <c r="E910" s="9"/>
      <c r="F910" s="9"/>
      <c r="G910" s="9"/>
      <c r="H910" s="581"/>
      <c r="I910" s="581"/>
      <c r="J910" s="581"/>
      <c r="K910" s="581"/>
      <c r="L910" s="581"/>
      <c r="M910" s="581"/>
      <c r="N910" s="581"/>
      <c r="O910" s="581"/>
      <c r="P910" s="581"/>
      <c r="Q910" s="581"/>
      <c r="R910" s="581"/>
      <c r="S910" s="581"/>
      <c r="T910" s="581"/>
      <c r="U910" s="9"/>
      <c r="V910" s="9"/>
      <c r="W910" s="9"/>
      <c r="X910" s="9"/>
      <c r="Y910" s="9"/>
      <c r="Z910" s="9"/>
      <c r="AA910" s="9"/>
      <c r="AB910" s="9"/>
      <c r="AC910" s="9"/>
    </row>
    <row r="911" spans="1:29" ht="12.75" customHeight="1" x14ac:dyDescent="0.25">
      <c r="A911" s="9"/>
      <c r="B911" s="9"/>
      <c r="C911" s="9"/>
      <c r="D911" s="9"/>
      <c r="E911" s="9"/>
      <c r="F911" s="9"/>
      <c r="G911" s="9"/>
      <c r="H911" s="581"/>
      <c r="I911" s="581"/>
      <c r="J911" s="581"/>
      <c r="K911" s="581"/>
      <c r="L911" s="581"/>
      <c r="M911" s="581"/>
      <c r="N911" s="581"/>
      <c r="O911" s="581"/>
      <c r="P911" s="581"/>
      <c r="Q911" s="581"/>
      <c r="R911" s="581"/>
      <c r="S911" s="581"/>
      <c r="T911" s="581"/>
      <c r="U911" s="9"/>
      <c r="V911" s="9"/>
      <c r="W911" s="9"/>
      <c r="X911" s="9"/>
      <c r="Y911" s="9"/>
      <c r="Z911" s="9"/>
      <c r="AA911" s="9"/>
      <c r="AB911" s="9"/>
      <c r="AC911" s="9"/>
    </row>
    <row r="912" spans="1:29" ht="12.75" customHeight="1" x14ac:dyDescent="0.25">
      <c r="A912" s="9"/>
      <c r="B912" s="9"/>
      <c r="C912" s="9"/>
      <c r="D912" s="9"/>
      <c r="E912" s="9"/>
      <c r="F912" s="9"/>
      <c r="G912" s="9"/>
      <c r="H912" s="581"/>
      <c r="I912" s="581"/>
      <c r="J912" s="581"/>
      <c r="K912" s="581"/>
      <c r="L912" s="581"/>
      <c r="M912" s="581"/>
      <c r="N912" s="581"/>
      <c r="O912" s="581"/>
      <c r="P912" s="581"/>
      <c r="Q912" s="581"/>
      <c r="R912" s="581"/>
      <c r="S912" s="581"/>
      <c r="T912" s="581"/>
      <c r="U912" s="9"/>
      <c r="V912" s="9"/>
      <c r="W912" s="9"/>
      <c r="X912" s="9"/>
      <c r="Y912" s="9"/>
      <c r="Z912" s="9"/>
      <c r="AA912" s="9"/>
      <c r="AB912" s="9"/>
      <c r="AC912" s="9"/>
    </row>
    <row r="913" spans="1:29" ht="12.75" customHeight="1" x14ac:dyDescent="0.25">
      <c r="A913" s="9"/>
      <c r="B913" s="9"/>
      <c r="C913" s="9"/>
      <c r="D913" s="9"/>
      <c r="E913" s="9"/>
      <c r="F913" s="9"/>
      <c r="G913" s="9"/>
      <c r="H913" s="581"/>
      <c r="I913" s="581"/>
      <c r="J913" s="581"/>
      <c r="K913" s="581"/>
      <c r="L913" s="581"/>
      <c r="M913" s="581"/>
      <c r="N913" s="581"/>
      <c r="O913" s="581"/>
      <c r="P913" s="581"/>
      <c r="Q913" s="581"/>
      <c r="R913" s="581"/>
      <c r="S913" s="581"/>
      <c r="T913" s="581"/>
      <c r="U913" s="9"/>
      <c r="V913" s="9"/>
      <c r="W913" s="9"/>
      <c r="X913" s="9"/>
      <c r="Y913" s="9"/>
      <c r="Z913" s="9"/>
      <c r="AA913" s="9"/>
      <c r="AB913" s="9"/>
      <c r="AC913" s="9"/>
    </row>
    <row r="914" spans="1:29" ht="12.75" customHeight="1" x14ac:dyDescent="0.25">
      <c r="A914" s="9"/>
      <c r="B914" s="9"/>
      <c r="C914" s="9"/>
      <c r="D914" s="9"/>
      <c r="E914" s="9"/>
      <c r="F914" s="9"/>
      <c r="G914" s="9"/>
      <c r="H914" s="581"/>
      <c r="I914" s="581"/>
      <c r="J914" s="581"/>
      <c r="K914" s="581"/>
      <c r="L914" s="581"/>
      <c r="M914" s="581"/>
      <c r="N914" s="581"/>
      <c r="O914" s="581"/>
      <c r="P914" s="581"/>
      <c r="Q914" s="581"/>
      <c r="R914" s="581"/>
      <c r="S914" s="581"/>
      <c r="T914" s="581"/>
      <c r="U914" s="9"/>
      <c r="V914" s="9"/>
      <c r="W914" s="9"/>
      <c r="X914" s="9"/>
      <c r="Y914" s="9"/>
      <c r="Z914" s="9"/>
      <c r="AA914" s="9"/>
      <c r="AB914" s="9"/>
      <c r="AC914" s="9"/>
    </row>
    <row r="915" spans="1:29" ht="12.75" customHeight="1" x14ac:dyDescent="0.25">
      <c r="A915" s="9"/>
      <c r="B915" s="9"/>
      <c r="C915" s="9"/>
      <c r="D915" s="9"/>
      <c r="E915" s="9"/>
      <c r="F915" s="9"/>
      <c r="G915" s="9"/>
      <c r="H915" s="581"/>
      <c r="I915" s="581"/>
      <c r="J915" s="581"/>
      <c r="K915" s="581"/>
      <c r="L915" s="581"/>
      <c r="M915" s="581"/>
      <c r="N915" s="581"/>
      <c r="O915" s="581"/>
      <c r="P915" s="581"/>
      <c r="Q915" s="581"/>
      <c r="R915" s="581"/>
      <c r="S915" s="581"/>
      <c r="T915" s="581"/>
      <c r="U915" s="9"/>
      <c r="V915" s="9"/>
      <c r="W915" s="9"/>
      <c r="X915" s="9"/>
      <c r="Y915" s="9"/>
      <c r="Z915" s="9"/>
      <c r="AA915" s="9"/>
      <c r="AB915" s="9"/>
      <c r="AC915" s="9"/>
    </row>
    <row r="916" spans="1:29" ht="12.75" customHeight="1" x14ac:dyDescent="0.25">
      <c r="A916" s="9"/>
      <c r="B916" s="9"/>
      <c r="C916" s="9"/>
      <c r="D916" s="9"/>
      <c r="E916" s="9"/>
      <c r="F916" s="9"/>
      <c r="G916" s="9"/>
      <c r="H916" s="581"/>
      <c r="I916" s="581"/>
      <c r="J916" s="581"/>
      <c r="K916" s="581"/>
      <c r="L916" s="581"/>
      <c r="M916" s="581"/>
      <c r="N916" s="581"/>
      <c r="O916" s="581"/>
      <c r="P916" s="581"/>
      <c r="Q916" s="581"/>
      <c r="R916" s="581"/>
      <c r="S916" s="581"/>
      <c r="T916" s="581"/>
      <c r="U916" s="9"/>
      <c r="V916" s="9"/>
      <c r="W916" s="9"/>
      <c r="X916" s="9"/>
      <c r="Y916" s="9"/>
      <c r="Z916" s="9"/>
      <c r="AA916" s="9"/>
      <c r="AB916" s="9"/>
      <c r="AC916" s="9"/>
    </row>
    <row r="917" spans="1:29" ht="12.75" customHeight="1" x14ac:dyDescent="0.25">
      <c r="A917" s="9"/>
      <c r="B917" s="9"/>
      <c r="C917" s="9"/>
      <c r="D917" s="9"/>
      <c r="E917" s="9"/>
      <c r="F917" s="9"/>
      <c r="G917" s="9"/>
      <c r="H917" s="581"/>
      <c r="I917" s="581"/>
      <c r="J917" s="581"/>
      <c r="K917" s="581"/>
      <c r="L917" s="581"/>
      <c r="M917" s="581"/>
      <c r="N917" s="581"/>
      <c r="O917" s="581"/>
      <c r="P917" s="581"/>
      <c r="Q917" s="581"/>
      <c r="R917" s="581"/>
      <c r="S917" s="581"/>
      <c r="T917" s="581"/>
      <c r="U917" s="9"/>
      <c r="V917" s="9"/>
      <c r="W917" s="9"/>
      <c r="X917" s="9"/>
      <c r="Y917" s="9"/>
      <c r="Z917" s="9"/>
      <c r="AA917" s="9"/>
      <c r="AB917" s="9"/>
      <c r="AC917" s="9"/>
    </row>
    <row r="918" spans="1:29" ht="12.75" customHeight="1" x14ac:dyDescent="0.25">
      <c r="A918" s="9"/>
      <c r="B918" s="9"/>
      <c r="C918" s="9"/>
      <c r="D918" s="9"/>
      <c r="E918" s="9"/>
      <c r="F918" s="9"/>
      <c r="G918" s="9"/>
      <c r="H918" s="581"/>
      <c r="I918" s="581"/>
      <c r="J918" s="581"/>
      <c r="K918" s="581"/>
      <c r="L918" s="581"/>
      <c r="M918" s="581"/>
      <c r="N918" s="581"/>
      <c r="O918" s="581"/>
      <c r="P918" s="581"/>
      <c r="Q918" s="581"/>
      <c r="R918" s="581"/>
      <c r="S918" s="581"/>
      <c r="T918" s="581"/>
      <c r="U918" s="9"/>
      <c r="V918" s="9"/>
      <c r="W918" s="9"/>
      <c r="X918" s="9"/>
      <c r="Y918" s="9"/>
      <c r="Z918" s="9"/>
      <c r="AA918" s="9"/>
      <c r="AB918" s="9"/>
      <c r="AC918" s="9"/>
    </row>
    <row r="919" spans="1:29" ht="12.75" customHeight="1" x14ac:dyDescent="0.25">
      <c r="A919" s="9"/>
      <c r="B919" s="9"/>
      <c r="C919" s="9"/>
      <c r="D919" s="9"/>
      <c r="E919" s="9"/>
      <c r="F919" s="9"/>
      <c r="G919" s="9"/>
      <c r="H919" s="581"/>
      <c r="I919" s="581"/>
      <c r="J919" s="581"/>
      <c r="K919" s="581"/>
      <c r="L919" s="581"/>
      <c r="M919" s="581"/>
      <c r="N919" s="581"/>
      <c r="O919" s="581"/>
      <c r="P919" s="581"/>
      <c r="Q919" s="581"/>
      <c r="R919" s="581"/>
      <c r="S919" s="581"/>
      <c r="T919" s="581"/>
      <c r="U919" s="9"/>
      <c r="V919" s="9"/>
      <c r="W919" s="9"/>
      <c r="X919" s="9"/>
      <c r="Y919" s="9"/>
      <c r="Z919" s="9"/>
      <c r="AA919" s="9"/>
      <c r="AB919" s="9"/>
      <c r="AC919" s="9"/>
    </row>
    <row r="920" spans="1:29" ht="12.75" customHeight="1" x14ac:dyDescent="0.25">
      <c r="A920" s="9"/>
      <c r="B920" s="9"/>
      <c r="C920" s="9"/>
      <c r="D920" s="9"/>
      <c r="E920" s="9"/>
      <c r="F920" s="9"/>
      <c r="G920" s="9"/>
      <c r="H920" s="581"/>
      <c r="I920" s="581"/>
      <c r="J920" s="581"/>
      <c r="K920" s="581"/>
      <c r="L920" s="581"/>
      <c r="M920" s="581"/>
      <c r="N920" s="581"/>
      <c r="O920" s="581"/>
      <c r="P920" s="581"/>
      <c r="Q920" s="581"/>
      <c r="R920" s="581"/>
      <c r="S920" s="581"/>
      <c r="T920" s="581"/>
      <c r="U920" s="9"/>
      <c r="V920" s="9"/>
      <c r="W920" s="9"/>
      <c r="X920" s="9"/>
      <c r="Y920" s="9"/>
      <c r="Z920" s="9"/>
      <c r="AA920" s="9"/>
      <c r="AB920" s="9"/>
      <c r="AC920" s="9"/>
    </row>
    <row r="921" spans="1:29" ht="12.75" customHeight="1" x14ac:dyDescent="0.25">
      <c r="A921" s="9"/>
      <c r="B921" s="9"/>
      <c r="C921" s="9"/>
      <c r="D921" s="9"/>
      <c r="E921" s="9"/>
      <c r="F921" s="9"/>
      <c r="G921" s="9"/>
      <c r="H921" s="581"/>
      <c r="I921" s="581"/>
      <c r="J921" s="581"/>
      <c r="K921" s="581"/>
      <c r="L921" s="581"/>
      <c r="M921" s="581"/>
      <c r="N921" s="581"/>
      <c r="O921" s="581"/>
      <c r="P921" s="581"/>
      <c r="Q921" s="581"/>
      <c r="R921" s="581"/>
      <c r="S921" s="581"/>
      <c r="T921" s="581"/>
      <c r="U921" s="9"/>
      <c r="V921" s="9"/>
      <c r="W921" s="9"/>
      <c r="X921" s="9"/>
      <c r="Y921" s="9"/>
      <c r="Z921" s="9"/>
      <c r="AA921" s="9"/>
      <c r="AB921" s="9"/>
      <c r="AC921" s="9"/>
    </row>
    <row r="922" spans="1:29" ht="12.75" customHeight="1" x14ac:dyDescent="0.25">
      <c r="A922" s="9"/>
      <c r="B922" s="9"/>
      <c r="C922" s="9"/>
      <c r="D922" s="9"/>
      <c r="E922" s="9"/>
      <c r="F922" s="9"/>
      <c r="G922" s="9"/>
      <c r="H922" s="581"/>
      <c r="I922" s="581"/>
      <c r="J922" s="581"/>
      <c r="K922" s="581"/>
      <c r="L922" s="581"/>
      <c r="M922" s="581"/>
      <c r="N922" s="581"/>
      <c r="O922" s="581"/>
      <c r="P922" s="581"/>
      <c r="Q922" s="581"/>
      <c r="R922" s="581"/>
      <c r="S922" s="581"/>
      <c r="T922" s="581"/>
      <c r="U922" s="9"/>
      <c r="V922" s="9"/>
      <c r="W922" s="9"/>
      <c r="X922" s="9"/>
      <c r="Y922" s="9"/>
      <c r="Z922" s="9"/>
      <c r="AA922" s="9"/>
      <c r="AB922" s="9"/>
      <c r="AC922" s="9"/>
    </row>
    <row r="923" spans="1:29" ht="12.75" customHeight="1" x14ac:dyDescent="0.25">
      <c r="A923" s="9"/>
      <c r="B923" s="9"/>
      <c r="C923" s="9"/>
      <c r="D923" s="9"/>
      <c r="E923" s="9"/>
      <c r="F923" s="9"/>
      <c r="G923" s="9"/>
      <c r="H923" s="581"/>
      <c r="I923" s="581"/>
      <c r="J923" s="581"/>
      <c r="K923" s="581"/>
      <c r="L923" s="581"/>
      <c r="M923" s="581"/>
      <c r="N923" s="581"/>
      <c r="O923" s="581"/>
      <c r="P923" s="581"/>
      <c r="Q923" s="581"/>
      <c r="R923" s="581"/>
      <c r="S923" s="581"/>
      <c r="T923" s="581"/>
      <c r="U923" s="9"/>
      <c r="V923" s="9"/>
      <c r="W923" s="9"/>
      <c r="X923" s="9"/>
      <c r="Y923" s="9"/>
      <c r="Z923" s="9"/>
      <c r="AA923" s="9"/>
      <c r="AB923" s="9"/>
      <c r="AC923" s="9"/>
    </row>
    <row r="924" spans="1:29" ht="12.75" customHeight="1" x14ac:dyDescent="0.25">
      <c r="A924" s="9"/>
      <c r="B924" s="9"/>
      <c r="C924" s="9"/>
      <c r="D924" s="9"/>
      <c r="E924" s="9"/>
      <c r="F924" s="9"/>
      <c r="G924" s="9"/>
      <c r="H924" s="581"/>
      <c r="I924" s="581"/>
      <c r="J924" s="581"/>
      <c r="K924" s="581"/>
      <c r="L924" s="581"/>
      <c r="M924" s="581"/>
      <c r="N924" s="581"/>
      <c r="O924" s="581"/>
      <c r="P924" s="581"/>
      <c r="Q924" s="581"/>
      <c r="R924" s="581"/>
      <c r="S924" s="581"/>
      <c r="T924" s="581"/>
      <c r="U924" s="9"/>
      <c r="V924" s="9"/>
      <c r="W924" s="9"/>
      <c r="X924" s="9"/>
      <c r="Y924" s="9"/>
      <c r="Z924" s="9"/>
      <c r="AA924" s="9"/>
      <c r="AB924" s="9"/>
      <c r="AC924" s="9"/>
    </row>
    <row r="925" spans="1:29" ht="12.75" customHeight="1" x14ac:dyDescent="0.25">
      <c r="A925" s="9"/>
      <c r="B925" s="9"/>
      <c r="C925" s="9"/>
      <c r="D925" s="9"/>
      <c r="E925" s="9"/>
      <c r="F925" s="9"/>
      <c r="G925" s="9"/>
      <c r="H925" s="581"/>
      <c r="I925" s="581"/>
      <c r="J925" s="581"/>
      <c r="K925" s="581"/>
      <c r="L925" s="581"/>
      <c r="M925" s="581"/>
      <c r="N925" s="581"/>
      <c r="O925" s="581"/>
      <c r="P925" s="581"/>
      <c r="Q925" s="581"/>
      <c r="R925" s="581"/>
      <c r="S925" s="581"/>
      <c r="T925" s="581"/>
      <c r="U925" s="9"/>
      <c r="V925" s="9"/>
      <c r="W925" s="9"/>
      <c r="X925" s="9"/>
      <c r="Y925" s="9"/>
      <c r="Z925" s="9"/>
      <c r="AA925" s="9"/>
      <c r="AB925" s="9"/>
      <c r="AC925" s="9"/>
    </row>
    <row r="926" spans="1:29" ht="12.75" customHeight="1" x14ac:dyDescent="0.25">
      <c r="A926" s="9"/>
      <c r="B926" s="9"/>
      <c r="C926" s="9"/>
      <c r="D926" s="9"/>
      <c r="E926" s="9"/>
      <c r="F926" s="9"/>
      <c r="G926" s="9"/>
      <c r="H926" s="581"/>
      <c r="I926" s="581"/>
      <c r="J926" s="581"/>
      <c r="K926" s="581"/>
      <c r="L926" s="581"/>
      <c r="M926" s="581"/>
      <c r="N926" s="581"/>
      <c r="O926" s="581"/>
      <c r="P926" s="581"/>
      <c r="Q926" s="581"/>
      <c r="R926" s="581"/>
      <c r="S926" s="581"/>
      <c r="T926" s="581"/>
      <c r="U926" s="9"/>
      <c r="V926" s="9"/>
      <c r="W926" s="9"/>
      <c r="X926" s="9"/>
      <c r="Y926" s="9"/>
      <c r="Z926" s="9"/>
      <c r="AA926" s="9"/>
      <c r="AB926" s="9"/>
      <c r="AC926" s="9"/>
    </row>
    <row r="927" spans="1:29" ht="12.75" customHeight="1" x14ac:dyDescent="0.25">
      <c r="A927" s="9"/>
      <c r="B927" s="9"/>
      <c r="C927" s="9"/>
      <c r="D927" s="9"/>
      <c r="E927" s="9"/>
      <c r="F927" s="9"/>
      <c r="G927" s="9"/>
      <c r="H927" s="581"/>
      <c r="I927" s="581"/>
      <c r="J927" s="581"/>
      <c r="K927" s="581"/>
      <c r="L927" s="581"/>
      <c r="M927" s="581"/>
      <c r="N927" s="581"/>
      <c r="O927" s="581"/>
      <c r="P927" s="581"/>
      <c r="Q927" s="581"/>
      <c r="R927" s="581"/>
      <c r="S927" s="581"/>
      <c r="T927" s="581"/>
      <c r="U927" s="9"/>
      <c r="V927" s="9"/>
      <c r="W927" s="9"/>
      <c r="X927" s="9"/>
      <c r="Y927" s="9"/>
      <c r="Z927" s="9"/>
      <c r="AA927" s="9"/>
      <c r="AB927" s="9"/>
      <c r="AC927" s="9"/>
    </row>
    <row r="928" spans="1:29" ht="12.75" customHeight="1" x14ac:dyDescent="0.25">
      <c r="A928" s="9"/>
      <c r="B928" s="9"/>
      <c r="C928" s="9"/>
      <c r="D928" s="9"/>
      <c r="E928" s="9"/>
      <c r="F928" s="9"/>
      <c r="G928" s="9"/>
      <c r="H928" s="581"/>
      <c r="I928" s="581"/>
      <c r="J928" s="581"/>
      <c r="K928" s="581"/>
      <c r="L928" s="581"/>
      <c r="M928" s="581"/>
      <c r="N928" s="581"/>
      <c r="O928" s="581"/>
      <c r="P928" s="581"/>
      <c r="Q928" s="581"/>
      <c r="R928" s="581"/>
      <c r="S928" s="581"/>
      <c r="T928" s="581"/>
      <c r="U928" s="9"/>
      <c r="V928" s="9"/>
      <c r="W928" s="9"/>
      <c r="X928" s="9"/>
      <c r="Y928" s="9"/>
      <c r="Z928" s="9"/>
      <c r="AA928" s="9"/>
      <c r="AB928" s="9"/>
      <c r="AC928" s="9"/>
    </row>
    <row r="929" spans="1:29" ht="12.75" customHeight="1" x14ac:dyDescent="0.25">
      <c r="A929" s="9"/>
      <c r="B929" s="9"/>
      <c r="C929" s="9"/>
      <c r="D929" s="9"/>
      <c r="E929" s="9"/>
      <c r="F929" s="9"/>
      <c r="G929" s="9"/>
      <c r="H929" s="581"/>
      <c r="I929" s="581"/>
      <c r="J929" s="581"/>
      <c r="K929" s="581"/>
      <c r="L929" s="581"/>
      <c r="M929" s="581"/>
      <c r="N929" s="581"/>
      <c r="O929" s="581"/>
      <c r="P929" s="581"/>
      <c r="Q929" s="581"/>
      <c r="R929" s="581"/>
      <c r="S929" s="581"/>
      <c r="T929" s="581"/>
      <c r="U929" s="9"/>
      <c r="V929" s="9"/>
      <c r="W929" s="9"/>
      <c r="X929" s="9"/>
      <c r="Y929" s="9"/>
      <c r="Z929" s="9"/>
      <c r="AA929" s="9"/>
      <c r="AB929" s="9"/>
      <c r="AC929" s="9"/>
    </row>
    <row r="930" spans="1:29" ht="12.75" customHeight="1" x14ac:dyDescent="0.25">
      <c r="A930" s="9"/>
      <c r="B930" s="9"/>
      <c r="C930" s="9"/>
      <c r="D930" s="9"/>
      <c r="E930" s="9"/>
      <c r="F930" s="9"/>
      <c r="G930" s="9"/>
      <c r="H930" s="581"/>
      <c r="I930" s="581"/>
      <c r="J930" s="581"/>
      <c r="K930" s="581"/>
      <c r="L930" s="581"/>
      <c r="M930" s="581"/>
      <c r="N930" s="581"/>
      <c r="O930" s="581"/>
      <c r="P930" s="581"/>
      <c r="Q930" s="581"/>
      <c r="R930" s="581"/>
      <c r="S930" s="581"/>
      <c r="T930" s="581"/>
      <c r="U930" s="9"/>
      <c r="V930" s="9"/>
      <c r="W930" s="9"/>
      <c r="X930" s="9"/>
      <c r="Y930" s="9"/>
      <c r="Z930" s="9"/>
      <c r="AA930" s="9"/>
      <c r="AB930" s="9"/>
      <c r="AC930" s="9"/>
    </row>
    <row r="931" spans="1:29" ht="12.75" customHeight="1" x14ac:dyDescent="0.25">
      <c r="A931" s="9"/>
      <c r="B931" s="9"/>
      <c r="C931" s="9"/>
      <c r="D931" s="9"/>
      <c r="E931" s="9"/>
      <c r="F931" s="9"/>
      <c r="G931" s="9"/>
      <c r="H931" s="581"/>
      <c r="I931" s="581"/>
      <c r="J931" s="581"/>
      <c r="K931" s="581"/>
      <c r="L931" s="581"/>
      <c r="M931" s="581"/>
      <c r="N931" s="581"/>
      <c r="O931" s="581"/>
      <c r="P931" s="581"/>
      <c r="Q931" s="581"/>
      <c r="R931" s="581"/>
      <c r="S931" s="581"/>
      <c r="T931" s="581"/>
      <c r="U931" s="9"/>
      <c r="V931" s="9"/>
      <c r="W931" s="9"/>
      <c r="X931" s="9"/>
      <c r="Y931" s="9"/>
      <c r="Z931" s="9"/>
      <c r="AA931" s="9"/>
      <c r="AB931" s="9"/>
      <c r="AC931" s="9"/>
    </row>
    <row r="932" spans="1:29" ht="12.75" customHeight="1" x14ac:dyDescent="0.25">
      <c r="A932" s="9"/>
      <c r="B932" s="9"/>
      <c r="C932" s="9"/>
      <c r="D932" s="9"/>
      <c r="E932" s="9"/>
      <c r="F932" s="9"/>
      <c r="G932" s="9"/>
      <c r="H932" s="581"/>
      <c r="I932" s="581"/>
      <c r="J932" s="581"/>
      <c r="K932" s="581"/>
      <c r="L932" s="581"/>
      <c r="M932" s="581"/>
      <c r="N932" s="581"/>
      <c r="O932" s="581"/>
      <c r="P932" s="581"/>
      <c r="Q932" s="581"/>
      <c r="R932" s="581"/>
      <c r="S932" s="581"/>
      <c r="T932" s="581"/>
      <c r="U932" s="9"/>
      <c r="V932" s="9"/>
      <c r="W932" s="9"/>
      <c r="X932" s="9"/>
      <c r="Y932" s="9"/>
      <c r="Z932" s="9"/>
      <c r="AA932" s="9"/>
      <c r="AB932" s="9"/>
      <c r="AC932" s="9"/>
    </row>
    <row r="933" spans="1:29" ht="12.75" customHeight="1" x14ac:dyDescent="0.25">
      <c r="A933" s="9"/>
      <c r="B933" s="9"/>
      <c r="C933" s="9"/>
      <c r="D933" s="9"/>
      <c r="E933" s="9"/>
      <c r="F933" s="9"/>
      <c r="G933" s="9"/>
      <c r="H933" s="581"/>
      <c r="I933" s="581"/>
      <c r="J933" s="581"/>
      <c r="K933" s="581"/>
      <c r="L933" s="581"/>
      <c r="M933" s="581"/>
      <c r="N933" s="581"/>
      <c r="O933" s="581"/>
      <c r="P933" s="581"/>
      <c r="Q933" s="581"/>
      <c r="R933" s="581"/>
      <c r="S933" s="581"/>
      <c r="T933" s="581"/>
      <c r="U933" s="9"/>
      <c r="V933" s="9"/>
      <c r="W933" s="9"/>
      <c r="X933" s="9"/>
      <c r="Y933" s="9"/>
      <c r="Z933" s="9"/>
      <c r="AA933" s="9"/>
      <c r="AB933" s="9"/>
      <c r="AC933" s="9"/>
    </row>
    <row r="934" spans="1:29" ht="12.75" customHeight="1" x14ac:dyDescent="0.25">
      <c r="A934" s="9"/>
      <c r="B934" s="9"/>
      <c r="C934" s="9"/>
      <c r="D934" s="9"/>
      <c r="E934" s="9"/>
      <c r="F934" s="9"/>
      <c r="G934" s="9"/>
      <c r="H934" s="581"/>
      <c r="I934" s="581"/>
      <c r="J934" s="581"/>
      <c r="K934" s="581"/>
      <c r="L934" s="581"/>
      <c r="M934" s="581"/>
      <c r="N934" s="581"/>
      <c r="O934" s="581"/>
      <c r="P934" s="581"/>
      <c r="Q934" s="581"/>
      <c r="R934" s="581"/>
      <c r="S934" s="581"/>
      <c r="T934" s="581"/>
      <c r="U934" s="9"/>
      <c r="V934" s="9"/>
      <c r="W934" s="9"/>
      <c r="X934" s="9"/>
      <c r="Y934" s="9"/>
      <c r="Z934" s="9"/>
      <c r="AA934" s="9"/>
      <c r="AB934" s="9"/>
      <c r="AC934" s="9"/>
    </row>
    <row r="935" spans="1:29" ht="12.75" customHeight="1" x14ac:dyDescent="0.25">
      <c r="A935" s="9"/>
      <c r="B935" s="9"/>
      <c r="C935" s="9"/>
      <c r="D935" s="9"/>
      <c r="E935" s="9"/>
      <c r="F935" s="9"/>
      <c r="G935" s="9"/>
      <c r="H935" s="581"/>
      <c r="I935" s="581"/>
      <c r="J935" s="581"/>
      <c r="K935" s="581"/>
      <c r="L935" s="581"/>
      <c r="M935" s="581"/>
      <c r="N935" s="581"/>
      <c r="O935" s="581"/>
      <c r="P935" s="581"/>
      <c r="Q935" s="581"/>
      <c r="R935" s="581"/>
      <c r="S935" s="581"/>
      <c r="T935" s="581"/>
      <c r="U935" s="9"/>
      <c r="V935" s="9"/>
      <c r="W935" s="9"/>
      <c r="X935" s="9"/>
      <c r="Y935" s="9"/>
      <c r="Z935" s="9"/>
      <c r="AA935" s="9"/>
      <c r="AB935" s="9"/>
      <c r="AC935" s="9"/>
    </row>
    <row r="936" spans="1:29" ht="12.75" customHeight="1" x14ac:dyDescent="0.25">
      <c r="A936" s="9"/>
      <c r="B936" s="9"/>
      <c r="C936" s="9"/>
      <c r="D936" s="9"/>
      <c r="E936" s="9"/>
      <c r="F936" s="9"/>
      <c r="G936" s="9"/>
      <c r="H936" s="581"/>
      <c r="I936" s="581"/>
      <c r="J936" s="581"/>
      <c r="K936" s="581"/>
      <c r="L936" s="581"/>
      <c r="M936" s="581"/>
      <c r="N936" s="581"/>
      <c r="O936" s="581"/>
      <c r="P936" s="581"/>
      <c r="Q936" s="581"/>
      <c r="R936" s="581"/>
      <c r="S936" s="581"/>
      <c r="T936" s="581"/>
      <c r="U936" s="9"/>
      <c r="V936" s="9"/>
      <c r="W936" s="9"/>
      <c r="X936" s="9"/>
      <c r="Y936" s="9"/>
      <c r="Z936" s="9"/>
      <c r="AA936" s="9"/>
      <c r="AB936" s="9"/>
      <c r="AC936" s="9"/>
    </row>
    <row r="937" spans="1:29" ht="12.75" customHeight="1" x14ac:dyDescent="0.25">
      <c r="A937" s="9"/>
      <c r="B937" s="9"/>
      <c r="C937" s="9"/>
      <c r="D937" s="9"/>
      <c r="E937" s="9"/>
      <c r="F937" s="9"/>
      <c r="G937" s="9"/>
      <c r="H937" s="581"/>
      <c r="I937" s="581"/>
      <c r="J937" s="581"/>
      <c r="K937" s="581"/>
      <c r="L937" s="581"/>
      <c r="M937" s="581"/>
      <c r="N937" s="581"/>
      <c r="O937" s="581"/>
      <c r="P937" s="581"/>
      <c r="Q937" s="581"/>
      <c r="R937" s="581"/>
      <c r="S937" s="581"/>
      <c r="T937" s="581"/>
      <c r="U937" s="9"/>
      <c r="V937" s="9"/>
      <c r="W937" s="9"/>
      <c r="X937" s="9"/>
      <c r="Y937" s="9"/>
      <c r="Z937" s="9"/>
      <c r="AA937" s="9"/>
      <c r="AB937" s="9"/>
      <c r="AC937" s="9"/>
    </row>
    <row r="938" spans="1:29" ht="12.75" customHeight="1" x14ac:dyDescent="0.25">
      <c r="A938" s="9"/>
      <c r="B938" s="9"/>
      <c r="C938" s="9"/>
      <c r="D938" s="9"/>
      <c r="E938" s="9"/>
      <c r="F938" s="9"/>
      <c r="G938" s="9"/>
      <c r="H938" s="581"/>
      <c r="I938" s="581"/>
      <c r="J938" s="581"/>
      <c r="K938" s="581"/>
      <c r="L938" s="581"/>
      <c r="M938" s="581"/>
      <c r="N938" s="581"/>
      <c r="O938" s="581"/>
      <c r="P938" s="581"/>
      <c r="Q938" s="581"/>
      <c r="R938" s="581"/>
      <c r="S938" s="581"/>
      <c r="T938" s="581"/>
      <c r="U938" s="9"/>
      <c r="V938" s="9"/>
      <c r="W938" s="9"/>
      <c r="X938" s="9"/>
      <c r="Y938" s="9"/>
      <c r="Z938" s="9"/>
      <c r="AA938" s="9"/>
      <c r="AB938" s="9"/>
      <c r="AC938" s="9"/>
    </row>
    <row r="939" spans="1:29" ht="12.75" customHeight="1" x14ac:dyDescent="0.25">
      <c r="A939" s="9"/>
      <c r="B939" s="9"/>
      <c r="C939" s="9"/>
      <c r="D939" s="9"/>
      <c r="E939" s="9"/>
      <c r="F939" s="9"/>
      <c r="G939" s="9"/>
      <c r="H939" s="581"/>
      <c r="I939" s="581"/>
      <c r="J939" s="581"/>
      <c r="K939" s="581"/>
      <c r="L939" s="581"/>
      <c r="M939" s="581"/>
      <c r="N939" s="581"/>
      <c r="O939" s="581"/>
      <c r="P939" s="581"/>
      <c r="Q939" s="581"/>
      <c r="R939" s="581"/>
      <c r="S939" s="581"/>
      <c r="T939" s="581"/>
      <c r="U939" s="9"/>
      <c r="V939" s="9"/>
      <c r="W939" s="9"/>
      <c r="X939" s="9"/>
      <c r="Y939" s="9"/>
      <c r="Z939" s="9"/>
      <c r="AA939" s="9"/>
      <c r="AB939" s="9"/>
      <c r="AC939" s="9"/>
    </row>
    <row r="940" spans="1:29" ht="12.75" customHeight="1" x14ac:dyDescent="0.25">
      <c r="A940" s="9"/>
      <c r="B940" s="9"/>
      <c r="C940" s="9"/>
      <c r="D940" s="9"/>
      <c r="E940" s="9"/>
      <c r="F940" s="9"/>
      <c r="G940" s="9"/>
      <c r="H940" s="581"/>
      <c r="I940" s="581"/>
      <c r="J940" s="581"/>
      <c r="K940" s="581"/>
      <c r="L940" s="581"/>
      <c r="M940" s="581"/>
      <c r="N940" s="581"/>
      <c r="O940" s="581"/>
      <c r="P940" s="581"/>
      <c r="Q940" s="581"/>
      <c r="R940" s="581"/>
      <c r="S940" s="581"/>
      <c r="T940" s="581"/>
      <c r="U940" s="9"/>
      <c r="V940" s="9"/>
      <c r="W940" s="9"/>
      <c r="X940" s="9"/>
      <c r="Y940" s="9"/>
      <c r="Z940" s="9"/>
      <c r="AA940" s="9"/>
      <c r="AB940" s="9"/>
      <c r="AC940" s="9"/>
    </row>
    <row r="941" spans="1:29" ht="12.75" customHeight="1" x14ac:dyDescent="0.25">
      <c r="A941" s="9"/>
      <c r="B941" s="9"/>
      <c r="C941" s="9"/>
      <c r="D941" s="9"/>
      <c r="E941" s="9"/>
      <c r="F941" s="9"/>
      <c r="G941" s="9"/>
      <c r="H941" s="581"/>
      <c r="I941" s="581"/>
      <c r="J941" s="581"/>
      <c r="K941" s="581"/>
      <c r="L941" s="581"/>
      <c r="M941" s="581"/>
      <c r="N941" s="581"/>
      <c r="O941" s="581"/>
      <c r="P941" s="581"/>
      <c r="Q941" s="581"/>
      <c r="R941" s="581"/>
      <c r="S941" s="581"/>
      <c r="T941" s="581"/>
      <c r="U941" s="9"/>
      <c r="V941" s="9"/>
      <c r="W941" s="9"/>
      <c r="X941" s="9"/>
      <c r="Y941" s="9"/>
      <c r="Z941" s="9"/>
      <c r="AA941" s="9"/>
      <c r="AB941" s="9"/>
      <c r="AC941" s="9"/>
    </row>
    <row r="942" spans="1:29" ht="12.75" customHeight="1" x14ac:dyDescent="0.25">
      <c r="A942" s="9"/>
      <c r="B942" s="9"/>
      <c r="C942" s="9"/>
      <c r="D942" s="9"/>
      <c r="E942" s="9"/>
      <c r="F942" s="9"/>
      <c r="G942" s="9"/>
      <c r="H942" s="581"/>
      <c r="I942" s="581"/>
      <c r="J942" s="581"/>
      <c r="K942" s="581"/>
      <c r="L942" s="581"/>
      <c r="M942" s="581"/>
      <c r="N942" s="581"/>
      <c r="O942" s="581"/>
      <c r="P942" s="581"/>
      <c r="Q942" s="581"/>
      <c r="R942" s="581"/>
      <c r="S942" s="581"/>
      <c r="T942" s="581"/>
      <c r="U942" s="9"/>
      <c r="V942" s="9"/>
      <c r="W942" s="9"/>
      <c r="X942" s="9"/>
      <c r="Y942" s="9"/>
      <c r="Z942" s="9"/>
      <c r="AA942" s="9"/>
      <c r="AB942" s="9"/>
      <c r="AC942" s="9"/>
    </row>
    <row r="943" spans="1:29" ht="12.75" customHeight="1" x14ac:dyDescent="0.25">
      <c r="A943" s="9"/>
      <c r="B943" s="9"/>
      <c r="C943" s="9"/>
      <c r="D943" s="9"/>
      <c r="E943" s="9"/>
      <c r="F943" s="9"/>
      <c r="G943" s="9"/>
      <c r="H943" s="581"/>
      <c r="I943" s="581"/>
      <c r="J943" s="581"/>
      <c r="K943" s="581"/>
      <c r="L943" s="581"/>
      <c r="M943" s="581"/>
      <c r="N943" s="581"/>
      <c r="O943" s="581"/>
      <c r="P943" s="581"/>
      <c r="Q943" s="581"/>
      <c r="R943" s="581"/>
      <c r="S943" s="581"/>
      <c r="T943" s="581"/>
      <c r="U943" s="9"/>
      <c r="V943" s="9"/>
      <c r="W943" s="9"/>
      <c r="X943" s="9"/>
      <c r="Y943" s="9"/>
      <c r="Z943" s="9"/>
      <c r="AA943" s="9"/>
      <c r="AB943" s="9"/>
      <c r="AC943" s="9"/>
    </row>
    <row r="944" spans="1:29" ht="12.75" customHeight="1" x14ac:dyDescent="0.25">
      <c r="A944" s="9"/>
      <c r="B944" s="9"/>
      <c r="C944" s="9"/>
      <c r="D944" s="9"/>
      <c r="E944" s="9"/>
      <c r="F944" s="9"/>
      <c r="G944" s="9"/>
      <c r="H944" s="581"/>
      <c r="I944" s="581"/>
      <c r="J944" s="581"/>
      <c r="K944" s="581"/>
      <c r="L944" s="581"/>
      <c r="M944" s="581"/>
      <c r="N944" s="581"/>
      <c r="O944" s="581"/>
      <c r="P944" s="581"/>
      <c r="Q944" s="581"/>
      <c r="R944" s="581"/>
      <c r="S944" s="581"/>
      <c r="T944" s="581"/>
      <c r="U944" s="9"/>
      <c r="V944" s="9"/>
      <c r="W944" s="9"/>
      <c r="X944" s="9"/>
      <c r="Y944" s="9"/>
      <c r="Z944" s="9"/>
      <c r="AA944" s="9"/>
      <c r="AB944" s="9"/>
      <c r="AC944" s="9"/>
    </row>
    <row r="945" spans="1:29" ht="12.75" customHeight="1" x14ac:dyDescent="0.25">
      <c r="A945" s="9"/>
      <c r="B945" s="9"/>
      <c r="C945" s="9"/>
      <c r="D945" s="9"/>
      <c r="E945" s="9"/>
      <c r="F945" s="9"/>
      <c r="G945" s="9"/>
      <c r="H945" s="581"/>
      <c r="I945" s="581"/>
      <c r="J945" s="581"/>
      <c r="K945" s="581"/>
      <c r="L945" s="581"/>
      <c r="M945" s="581"/>
      <c r="N945" s="581"/>
      <c r="O945" s="581"/>
      <c r="P945" s="581"/>
      <c r="Q945" s="581"/>
      <c r="R945" s="581"/>
      <c r="S945" s="581"/>
      <c r="T945" s="581"/>
      <c r="U945" s="9"/>
      <c r="V945" s="9"/>
      <c r="W945" s="9"/>
      <c r="X945" s="9"/>
      <c r="Y945" s="9"/>
      <c r="Z945" s="9"/>
      <c r="AA945" s="9"/>
      <c r="AB945" s="9"/>
      <c r="AC945" s="9"/>
    </row>
    <row r="946" spans="1:29" ht="12.75" customHeight="1" x14ac:dyDescent="0.25">
      <c r="A946" s="9"/>
      <c r="B946" s="9"/>
      <c r="C946" s="9"/>
      <c r="D946" s="9"/>
      <c r="E946" s="9"/>
      <c r="F946" s="9"/>
      <c r="G946" s="9"/>
      <c r="H946" s="581"/>
      <c r="I946" s="581"/>
      <c r="J946" s="581"/>
      <c r="K946" s="581"/>
      <c r="L946" s="581"/>
      <c r="M946" s="581"/>
      <c r="N946" s="581"/>
      <c r="O946" s="581"/>
      <c r="P946" s="581"/>
      <c r="Q946" s="581"/>
      <c r="R946" s="581"/>
      <c r="S946" s="581"/>
      <c r="T946" s="581"/>
      <c r="U946" s="9"/>
      <c r="V946" s="9"/>
      <c r="W946" s="9"/>
      <c r="X946" s="9"/>
      <c r="Y946" s="9"/>
      <c r="Z946" s="9"/>
      <c r="AA946" s="9"/>
      <c r="AB946" s="9"/>
      <c r="AC946" s="9"/>
    </row>
    <row r="947" spans="1:29" ht="12.75" customHeight="1" x14ac:dyDescent="0.25">
      <c r="A947" s="9"/>
      <c r="B947" s="9"/>
      <c r="C947" s="9"/>
      <c r="D947" s="9"/>
      <c r="E947" s="9"/>
      <c r="F947" s="9"/>
      <c r="G947" s="9"/>
      <c r="H947" s="581"/>
      <c r="I947" s="581"/>
      <c r="J947" s="581"/>
      <c r="K947" s="581"/>
      <c r="L947" s="581"/>
      <c r="M947" s="581"/>
      <c r="N947" s="581"/>
      <c r="O947" s="581"/>
      <c r="P947" s="581"/>
      <c r="Q947" s="581"/>
      <c r="R947" s="581"/>
      <c r="S947" s="581"/>
      <c r="T947" s="581"/>
      <c r="U947" s="9"/>
      <c r="V947" s="9"/>
      <c r="W947" s="9"/>
      <c r="X947" s="9"/>
      <c r="Y947" s="9"/>
      <c r="Z947" s="9"/>
      <c r="AA947" s="9"/>
      <c r="AB947" s="9"/>
      <c r="AC947" s="9"/>
    </row>
    <row r="948" spans="1:29" ht="12.75" customHeight="1" x14ac:dyDescent="0.25">
      <c r="A948" s="9"/>
      <c r="B948" s="9"/>
      <c r="C948" s="9"/>
      <c r="D948" s="9"/>
      <c r="E948" s="9"/>
      <c r="F948" s="9"/>
      <c r="G948" s="9"/>
      <c r="H948" s="581"/>
      <c r="I948" s="581"/>
      <c r="J948" s="581"/>
      <c r="K948" s="581"/>
      <c r="L948" s="581"/>
      <c r="M948" s="581"/>
      <c r="N948" s="581"/>
      <c r="O948" s="581"/>
      <c r="P948" s="581"/>
      <c r="Q948" s="581"/>
      <c r="R948" s="581"/>
      <c r="S948" s="581"/>
      <c r="T948" s="581"/>
      <c r="U948" s="9"/>
      <c r="V948" s="9"/>
      <c r="W948" s="9"/>
      <c r="X948" s="9"/>
      <c r="Y948" s="9"/>
      <c r="Z948" s="9"/>
      <c r="AA948" s="9"/>
      <c r="AB948" s="9"/>
      <c r="AC948" s="9"/>
    </row>
    <row r="949" spans="1:29" ht="12.75" customHeight="1" x14ac:dyDescent="0.25">
      <c r="A949" s="9"/>
      <c r="B949" s="9"/>
      <c r="C949" s="9"/>
      <c r="D949" s="9"/>
      <c r="E949" s="9"/>
      <c r="F949" s="9"/>
      <c r="G949" s="9"/>
      <c r="H949" s="581"/>
      <c r="I949" s="581"/>
      <c r="J949" s="581"/>
      <c r="K949" s="581"/>
      <c r="L949" s="581"/>
      <c r="M949" s="581"/>
      <c r="N949" s="581"/>
      <c r="O949" s="581"/>
      <c r="P949" s="581"/>
      <c r="Q949" s="581"/>
      <c r="R949" s="581"/>
      <c r="S949" s="581"/>
      <c r="T949" s="581"/>
      <c r="U949" s="9"/>
      <c r="V949" s="9"/>
      <c r="W949" s="9"/>
      <c r="X949" s="9"/>
      <c r="Y949" s="9"/>
      <c r="Z949" s="9"/>
      <c r="AA949" s="9"/>
      <c r="AB949" s="9"/>
      <c r="AC949" s="9"/>
    </row>
    <row r="950" spans="1:29" ht="12.75" customHeight="1" x14ac:dyDescent="0.25">
      <c r="A950" s="9"/>
      <c r="B950" s="9"/>
      <c r="C950" s="9"/>
      <c r="D950" s="9"/>
      <c r="E950" s="9"/>
      <c r="F950" s="9"/>
      <c r="G950" s="9"/>
      <c r="H950" s="581"/>
      <c r="I950" s="581"/>
      <c r="J950" s="581"/>
      <c r="K950" s="581"/>
      <c r="L950" s="581"/>
      <c r="M950" s="581"/>
      <c r="N950" s="581"/>
      <c r="O950" s="581"/>
      <c r="P950" s="581"/>
      <c r="Q950" s="581"/>
      <c r="R950" s="581"/>
      <c r="S950" s="581"/>
      <c r="T950" s="581"/>
      <c r="U950" s="9"/>
      <c r="V950" s="9"/>
      <c r="W950" s="9"/>
      <c r="X950" s="9"/>
      <c r="Y950" s="9"/>
      <c r="Z950" s="9"/>
      <c r="AA950" s="9"/>
      <c r="AB950" s="9"/>
      <c r="AC950" s="9"/>
    </row>
    <row r="951" spans="1:29" ht="12.75" customHeight="1" x14ac:dyDescent="0.25">
      <c r="A951" s="9"/>
      <c r="B951" s="9"/>
      <c r="C951" s="9"/>
      <c r="D951" s="9"/>
      <c r="E951" s="9"/>
      <c r="F951" s="9"/>
      <c r="G951" s="9"/>
      <c r="H951" s="581"/>
      <c r="I951" s="581"/>
      <c r="J951" s="581"/>
      <c r="K951" s="581"/>
      <c r="L951" s="581"/>
      <c r="M951" s="581"/>
      <c r="N951" s="581"/>
      <c r="O951" s="581"/>
      <c r="P951" s="581"/>
      <c r="Q951" s="581"/>
      <c r="R951" s="581"/>
      <c r="S951" s="581"/>
      <c r="T951" s="581"/>
      <c r="U951" s="9"/>
      <c r="V951" s="9"/>
      <c r="W951" s="9"/>
      <c r="X951" s="9"/>
      <c r="Y951" s="9"/>
      <c r="Z951" s="9"/>
      <c r="AA951" s="9"/>
      <c r="AB951" s="9"/>
      <c r="AC951" s="9"/>
    </row>
    <row r="952" spans="1:29" ht="12.75" customHeight="1" x14ac:dyDescent="0.25">
      <c r="A952" s="9"/>
      <c r="B952" s="9"/>
      <c r="C952" s="9"/>
      <c r="D952" s="9"/>
      <c r="E952" s="9"/>
      <c r="F952" s="9"/>
      <c r="G952" s="9"/>
      <c r="H952" s="581"/>
      <c r="I952" s="581"/>
      <c r="J952" s="581"/>
      <c r="K952" s="581"/>
      <c r="L952" s="581"/>
      <c r="M952" s="581"/>
      <c r="N952" s="581"/>
      <c r="O952" s="581"/>
      <c r="P952" s="581"/>
      <c r="Q952" s="581"/>
      <c r="R952" s="581"/>
      <c r="S952" s="581"/>
      <c r="T952" s="581"/>
      <c r="U952" s="9"/>
      <c r="V952" s="9"/>
      <c r="W952" s="9"/>
      <c r="X952" s="9"/>
      <c r="Y952" s="9"/>
      <c r="Z952" s="9"/>
      <c r="AA952" s="9"/>
      <c r="AB952" s="9"/>
      <c r="AC952" s="9"/>
    </row>
    <row r="953" spans="1:29" ht="12.75" customHeight="1" x14ac:dyDescent="0.25">
      <c r="A953" s="9"/>
      <c r="B953" s="9"/>
      <c r="C953" s="9"/>
      <c r="D953" s="9"/>
      <c r="E953" s="9"/>
      <c r="F953" s="9"/>
      <c r="G953" s="9"/>
      <c r="H953" s="581"/>
      <c r="I953" s="581"/>
      <c r="J953" s="581"/>
      <c r="K953" s="581"/>
      <c r="L953" s="581"/>
      <c r="M953" s="581"/>
      <c r="N953" s="581"/>
      <c r="O953" s="581"/>
      <c r="P953" s="581"/>
      <c r="Q953" s="581"/>
      <c r="R953" s="581"/>
      <c r="S953" s="581"/>
      <c r="T953" s="581"/>
      <c r="U953" s="9"/>
      <c r="V953" s="9"/>
      <c r="W953" s="9"/>
      <c r="X953" s="9"/>
      <c r="Y953" s="9"/>
      <c r="Z953" s="9"/>
      <c r="AA953" s="9"/>
      <c r="AB953" s="9"/>
      <c r="AC953" s="9"/>
    </row>
    <row r="954" spans="1:29" ht="12.75" customHeight="1" x14ac:dyDescent="0.25">
      <c r="A954" s="9"/>
      <c r="B954" s="9"/>
      <c r="C954" s="9"/>
      <c r="D954" s="9"/>
      <c r="E954" s="9"/>
      <c r="F954" s="9"/>
      <c r="G954" s="9"/>
      <c r="H954" s="581"/>
      <c r="I954" s="581"/>
      <c r="J954" s="581"/>
      <c r="K954" s="581"/>
      <c r="L954" s="581"/>
      <c r="M954" s="581"/>
      <c r="N954" s="581"/>
      <c r="O954" s="581"/>
      <c r="P954" s="581"/>
      <c r="Q954" s="581"/>
      <c r="R954" s="581"/>
      <c r="S954" s="581"/>
      <c r="T954" s="581"/>
      <c r="U954" s="9"/>
      <c r="V954" s="9"/>
      <c r="W954" s="9"/>
      <c r="X954" s="9"/>
      <c r="Y954" s="9"/>
      <c r="Z954" s="9"/>
      <c r="AA954" s="9"/>
      <c r="AB954" s="9"/>
      <c r="AC954" s="9"/>
    </row>
    <row r="955" spans="1:29" ht="12.75" customHeight="1" x14ac:dyDescent="0.25">
      <c r="A955" s="9"/>
      <c r="B955" s="9"/>
      <c r="C955" s="9"/>
      <c r="D955" s="9"/>
      <c r="E955" s="9"/>
      <c r="F955" s="9"/>
      <c r="G955" s="9"/>
      <c r="H955" s="581"/>
      <c r="I955" s="581"/>
      <c r="J955" s="581"/>
      <c r="K955" s="581"/>
      <c r="L955" s="581"/>
      <c r="M955" s="581"/>
      <c r="N955" s="581"/>
      <c r="O955" s="581"/>
      <c r="P955" s="581"/>
      <c r="Q955" s="581"/>
      <c r="R955" s="581"/>
      <c r="S955" s="581"/>
      <c r="T955" s="581"/>
      <c r="U955" s="9"/>
      <c r="V955" s="9"/>
      <c r="W955" s="9"/>
      <c r="X955" s="9"/>
      <c r="Y955" s="9"/>
      <c r="Z955" s="9"/>
      <c r="AA955" s="9"/>
      <c r="AB955" s="9"/>
      <c r="AC955" s="9"/>
    </row>
    <row r="956" spans="1:29" ht="12.75" customHeight="1" x14ac:dyDescent="0.25">
      <c r="A956" s="9"/>
      <c r="B956" s="9"/>
      <c r="C956" s="9"/>
      <c r="D956" s="9"/>
      <c r="E956" s="9"/>
      <c r="F956" s="9"/>
      <c r="G956" s="9"/>
      <c r="H956" s="581"/>
      <c r="I956" s="581"/>
      <c r="J956" s="581"/>
      <c r="K956" s="581"/>
      <c r="L956" s="581"/>
      <c r="M956" s="581"/>
      <c r="N956" s="581"/>
      <c r="O956" s="581"/>
      <c r="P956" s="581"/>
      <c r="Q956" s="581"/>
      <c r="R956" s="581"/>
      <c r="S956" s="581"/>
      <c r="T956" s="581"/>
      <c r="U956" s="9"/>
      <c r="V956" s="9"/>
      <c r="W956" s="9"/>
      <c r="X956" s="9"/>
      <c r="Y956" s="9"/>
      <c r="Z956" s="9"/>
      <c r="AA956" s="9"/>
      <c r="AB956" s="9"/>
      <c r="AC956" s="9"/>
    </row>
    <row r="957" spans="1:29" ht="12.75" customHeight="1" x14ac:dyDescent="0.25">
      <c r="A957" s="9"/>
      <c r="B957" s="9"/>
      <c r="C957" s="9"/>
      <c r="D957" s="9"/>
      <c r="E957" s="9"/>
      <c r="F957" s="9"/>
      <c r="G957" s="9"/>
      <c r="H957" s="581"/>
      <c r="I957" s="581"/>
      <c r="J957" s="581"/>
      <c r="K957" s="581"/>
      <c r="L957" s="581"/>
      <c r="M957" s="581"/>
      <c r="N957" s="581"/>
      <c r="O957" s="581"/>
      <c r="P957" s="581"/>
      <c r="Q957" s="581"/>
      <c r="R957" s="581"/>
      <c r="S957" s="581"/>
      <c r="T957" s="581"/>
      <c r="U957" s="9"/>
      <c r="V957" s="9"/>
      <c r="W957" s="9"/>
      <c r="X957" s="9"/>
      <c r="Y957" s="9"/>
      <c r="Z957" s="9"/>
      <c r="AA957" s="9"/>
      <c r="AB957" s="9"/>
      <c r="AC957" s="9"/>
    </row>
    <row r="958" spans="1:29" ht="12.75" customHeight="1" x14ac:dyDescent="0.25">
      <c r="A958" s="9"/>
      <c r="B958" s="9"/>
      <c r="C958" s="9"/>
      <c r="D958" s="9"/>
      <c r="E958" s="9"/>
      <c r="F958" s="9"/>
      <c r="G958" s="9"/>
      <c r="H958" s="581"/>
      <c r="I958" s="581"/>
      <c r="J958" s="581"/>
      <c r="K958" s="581"/>
      <c r="L958" s="581"/>
      <c r="M958" s="581"/>
      <c r="N958" s="581"/>
      <c r="O958" s="581"/>
      <c r="P958" s="581"/>
      <c r="Q958" s="581"/>
      <c r="R958" s="581"/>
      <c r="S958" s="581"/>
      <c r="T958" s="581"/>
      <c r="U958" s="9"/>
      <c r="V958" s="9"/>
      <c r="W958" s="9"/>
      <c r="X958" s="9"/>
      <c r="Y958" s="9"/>
      <c r="Z958" s="9"/>
      <c r="AA958" s="9"/>
      <c r="AB958" s="9"/>
      <c r="AC958" s="9"/>
    </row>
    <row r="959" spans="1:29" ht="12.75" customHeight="1" x14ac:dyDescent="0.25">
      <c r="A959" s="9"/>
      <c r="B959" s="9"/>
      <c r="C959" s="9"/>
      <c r="D959" s="9"/>
      <c r="E959" s="9"/>
      <c r="F959" s="9"/>
      <c r="G959" s="9"/>
      <c r="H959" s="581"/>
      <c r="I959" s="581"/>
      <c r="J959" s="581"/>
      <c r="K959" s="581"/>
      <c r="L959" s="581"/>
      <c r="M959" s="581"/>
      <c r="N959" s="581"/>
      <c r="O959" s="581"/>
      <c r="P959" s="581"/>
      <c r="Q959" s="581"/>
      <c r="R959" s="581"/>
      <c r="S959" s="581"/>
      <c r="T959" s="581"/>
      <c r="U959" s="9"/>
      <c r="V959" s="9"/>
      <c r="W959" s="9"/>
      <c r="X959" s="9"/>
      <c r="Y959" s="9"/>
      <c r="Z959" s="9"/>
      <c r="AA959" s="9"/>
      <c r="AB959" s="9"/>
      <c r="AC959" s="9"/>
    </row>
    <row r="960" spans="1:29" ht="12.75" customHeight="1" x14ac:dyDescent="0.25">
      <c r="A960" s="9"/>
      <c r="B960" s="9"/>
      <c r="C960" s="9"/>
      <c r="D960" s="9"/>
      <c r="E960" s="9"/>
      <c r="F960" s="9"/>
      <c r="G960" s="9"/>
      <c r="H960" s="581"/>
      <c r="I960" s="581"/>
      <c r="J960" s="581"/>
      <c r="K960" s="581"/>
      <c r="L960" s="581"/>
      <c r="M960" s="581"/>
      <c r="N960" s="581"/>
      <c r="O960" s="581"/>
      <c r="P960" s="581"/>
      <c r="Q960" s="581"/>
      <c r="R960" s="581"/>
      <c r="S960" s="581"/>
      <c r="T960" s="581"/>
      <c r="U960" s="9"/>
      <c r="V960" s="9"/>
      <c r="W960" s="9"/>
      <c r="X960" s="9"/>
      <c r="Y960" s="9"/>
      <c r="Z960" s="9"/>
      <c r="AA960" s="9"/>
      <c r="AB960" s="9"/>
      <c r="AC960" s="9"/>
    </row>
    <row r="961" spans="1:29" ht="12.75" customHeight="1" x14ac:dyDescent="0.25">
      <c r="A961" s="9"/>
      <c r="B961" s="9"/>
      <c r="C961" s="9"/>
      <c r="D961" s="9"/>
      <c r="E961" s="9"/>
      <c r="F961" s="9"/>
      <c r="G961" s="9"/>
      <c r="H961" s="581"/>
      <c r="I961" s="581"/>
      <c r="J961" s="581"/>
      <c r="K961" s="581"/>
      <c r="L961" s="581"/>
      <c r="M961" s="581"/>
      <c r="N961" s="581"/>
      <c r="O961" s="581"/>
      <c r="P961" s="581"/>
      <c r="Q961" s="581"/>
      <c r="R961" s="581"/>
      <c r="S961" s="581"/>
      <c r="T961" s="581"/>
      <c r="U961" s="9"/>
      <c r="V961" s="9"/>
      <c r="W961" s="9"/>
      <c r="X961" s="9"/>
      <c r="Y961" s="9"/>
      <c r="Z961" s="9"/>
      <c r="AA961" s="9"/>
      <c r="AB961" s="9"/>
      <c r="AC961" s="9"/>
    </row>
    <row r="962" spans="1:29" ht="12.75" customHeight="1" x14ac:dyDescent="0.25">
      <c r="A962" s="9"/>
      <c r="B962" s="9"/>
      <c r="C962" s="9"/>
      <c r="D962" s="9"/>
      <c r="E962" s="9"/>
      <c r="F962" s="9"/>
      <c r="G962" s="9"/>
      <c r="H962" s="581"/>
      <c r="I962" s="581"/>
      <c r="J962" s="581"/>
      <c r="K962" s="581"/>
      <c r="L962" s="581"/>
      <c r="M962" s="581"/>
      <c r="N962" s="581"/>
      <c r="O962" s="581"/>
      <c r="P962" s="581"/>
      <c r="Q962" s="581"/>
      <c r="R962" s="581"/>
      <c r="S962" s="581"/>
      <c r="T962" s="581"/>
      <c r="U962" s="9"/>
      <c r="V962" s="9"/>
      <c r="W962" s="9"/>
      <c r="X962" s="9"/>
      <c r="Y962" s="9"/>
      <c r="Z962" s="9"/>
      <c r="AA962" s="9"/>
      <c r="AB962" s="9"/>
      <c r="AC962" s="9"/>
    </row>
    <row r="963" spans="1:29" ht="12.75" customHeight="1" x14ac:dyDescent="0.25">
      <c r="A963" s="9"/>
      <c r="B963" s="9"/>
      <c r="C963" s="9"/>
      <c r="D963" s="9"/>
      <c r="E963" s="9"/>
      <c r="F963" s="9"/>
      <c r="G963" s="9"/>
      <c r="H963" s="581"/>
      <c r="I963" s="581"/>
      <c r="J963" s="581"/>
      <c r="K963" s="581"/>
      <c r="L963" s="581"/>
      <c r="M963" s="581"/>
      <c r="N963" s="581"/>
      <c r="O963" s="581"/>
      <c r="P963" s="581"/>
      <c r="Q963" s="581"/>
      <c r="R963" s="581"/>
      <c r="S963" s="581"/>
      <c r="T963" s="581"/>
      <c r="U963" s="9"/>
      <c r="V963" s="9"/>
      <c r="W963" s="9"/>
      <c r="X963" s="9"/>
      <c r="Y963" s="9"/>
      <c r="Z963" s="9"/>
      <c r="AA963" s="9"/>
      <c r="AB963" s="9"/>
      <c r="AC963" s="9"/>
    </row>
    <row r="964" spans="1:29" ht="12.75" customHeight="1" x14ac:dyDescent="0.25">
      <c r="A964" s="9"/>
      <c r="B964" s="9"/>
      <c r="C964" s="9"/>
      <c r="D964" s="9"/>
      <c r="E964" s="9"/>
      <c r="F964" s="9"/>
      <c r="G964" s="9"/>
      <c r="H964" s="581"/>
      <c r="I964" s="581"/>
      <c r="J964" s="581"/>
      <c r="K964" s="581"/>
      <c r="L964" s="581"/>
      <c r="M964" s="581"/>
      <c r="N964" s="581"/>
      <c r="O964" s="581"/>
      <c r="P964" s="581"/>
      <c r="Q964" s="581"/>
      <c r="R964" s="581"/>
      <c r="S964" s="581"/>
      <c r="T964" s="581"/>
      <c r="U964" s="9"/>
      <c r="V964" s="9"/>
      <c r="W964" s="9"/>
      <c r="X964" s="9"/>
      <c r="Y964" s="9"/>
      <c r="Z964" s="9"/>
      <c r="AA964" s="9"/>
      <c r="AB964" s="9"/>
      <c r="AC964" s="9"/>
    </row>
    <row r="965" spans="1:29" ht="12.75" customHeight="1" x14ac:dyDescent="0.25">
      <c r="A965" s="9"/>
      <c r="B965" s="9"/>
      <c r="C965" s="9"/>
      <c r="D965" s="9"/>
      <c r="E965" s="9"/>
      <c r="F965" s="9"/>
      <c r="G965" s="9"/>
      <c r="H965" s="581"/>
      <c r="I965" s="581"/>
      <c r="J965" s="581"/>
      <c r="K965" s="581"/>
      <c r="L965" s="581"/>
      <c r="M965" s="581"/>
      <c r="N965" s="581"/>
      <c r="O965" s="581"/>
      <c r="P965" s="581"/>
      <c r="Q965" s="581"/>
      <c r="R965" s="581"/>
      <c r="S965" s="581"/>
      <c r="T965" s="581"/>
      <c r="U965" s="9"/>
      <c r="V965" s="9"/>
      <c r="W965" s="9"/>
      <c r="X965" s="9"/>
      <c r="Y965" s="9"/>
      <c r="Z965" s="9"/>
      <c r="AA965" s="9"/>
      <c r="AB965" s="9"/>
      <c r="AC965" s="9"/>
    </row>
    <row r="966" spans="1:29" ht="12.75" customHeight="1" x14ac:dyDescent="0.25">
      <c r="A966" s="9"/>
      <c r="B966" s="9"/>
      <c r="C966" s="9"/>
      <c r="D966" s="9"/>
      <c r="E966" s="9"/>
      <c r="F966" s="9"/>
      <c r="G966" s="9"/>
      <c r="H966" s="581"/>
      <c r="I966" s="581"/>
      <c r="J966" s="581"/>
      <c r="K966" s="581"/>
      <c r="L966" s="581"/>
      <c r="M966" s="581"/>
      <c r="N966" s="581"/>
      <c r="O966" s="581"/>
      <c r="P966" s="581"/>
      <c r="Q966" s="581"/>
      <c r="R966" s="581"/>
      <c r="S966" s="581"/>
      <c r="T966" s="581"/>
      <c r="U966" s="9"/>
      <c r="V966" s="9"/>
      <c r="W966" s="9"/>
      <c r="X966" s="9"/>
      <c r="Y966" s="9"/>
      <c r="Z966" s="9"/>
      <c r="AA966" s="9"/>
      <c r="AB966" s="9"/>
      <c r="AC966" s="9"/>
    </row>
    <row r="967" spans="1:29" ht="12.75" customHeight="1" x14ac:dyDescent="0.25">
      <c r="A967" s="9"/>
      <c r="B967" s="9"/>
      <c r="C967" s="9"/>
      <c r="D967" s="9"/>
      <c r="E967" s="9"/>
      <c r="F967" s="9"/>
      <c r="G967" s="9"/>
      <c r="H967" s="581"/>
      <c r="I967" s="581"/>
      <c r="J967" s="581"/>
      <c r="K967" s="581"/>
      <c r="L967" s="581"/>
      <c r="M967" s="581"/>
      <c r="N967" s="581"/>
      <c r="O967" s="581"/>
      <c r="P967" s="581"/>
      <c r="Q967" s="581"/>
      <c r="R967" s="581"/>
      <c r="S967" s="581"/>
      <c r="T967" s="581"/>
      <c r="U967" s="9"/>
      <c r="V967" s="9"/>
      <c r="W967" s="9"/>
      <c r="X967" s="9"/>
      <c r="Y967" s="9"/>
      <c r="Z967" s="9"/>
      <c r="AA967" s="9"/>
      <c r="AB967" s="9"/>
      <c r="AC967" s="9"/>
    </row>
    <row r="968" spans="1:29" ht="12.75" customHeight="1" x14ac:dyDescent="0.25">
      <c r="A968" s="9"/>
      <c r="B968" s="9"/>
      <c r="C968" s="9"/>
      <c r="D968" s="9"/>
      <c r="E968" s="9"/>
      <c r="F968" s="9"/>
      <c r="G968" s="9"/>
      <c r="H968" s="581"/>
      <c r="I968" s="581"/>
      <c r="J968" s="581"/>
      <c r="K968" s="581"/>
      <c r="L968" s="581"/>
      <c r="M968" s="581"/>
      <c r="N968" s="581"/>
      <c r="O968" s="581"/>
      <c r="P968" s="581"/>
      <c r="Q968" s="581"/>
      <c r="R968" s="581"/>
      <c r="S968" s="581"/>
      <c r="T968" s="581"/>
      <c r="U968" s="9"/>
      <c r="V968" s="9"/>
      <c r="W968" s="9"/>
      <c r="X968" s="9"/>
      <c r="Y968" s="9"/>
      <c r="Z968" s="9"/>
      <c r="AA968" s="9"/>
      <c r="AB968" s="9"/>
      <c r="AC968" s="9"/>
    </row>
    <row r="969" spans="1:29" ht="12.75" customHeight="1" x14ac:dyDescent="0.25">
      <c r="A969" s="9"/>
      <c r="B969" s="9"/>
      <c r="C969" s="9"/>
      <c r="D969" s="9"/>
      <c r="E969" s="9"/>
      <c r="F969" s="9"/>
      <c r="G969" s="9"/>
      <c r="H969" s="581"/>
      <c r="I969" s="581"/>
      <c r="J969" s="581"/>
      <c r="K969" s="581"/>
      <c r="L969" s="581"/>
      <c r="M969" s="581"/>
      <c r="N969" s="581"/>
      <c r="O969" s="581"/>
      <c r="P969" s="581"/>
      <c r="Q969" s="581"/>
      <c r="R969" s="581"/>
      <c r="S969" s="581"/>
      <c r="T969" s="581"/>
      <c r="U969" s="9"/>
      <c r="V969" s="9"/>
      <c r="W969" s="9"/>
      <c r="X969" s="9"/>
      <c r="Y969" s="9"/>
      <c r="Z969" s="9"/>
      <c r="AA969" s="9"/>
      <c r="AB969" s="9"/>
      <c r="AC969" s="9"/>
    </row>
    <row r="970" spans="1:29" ht="12.75" customHeight="1" x14ac:dyDescent="0.25">
      <c r="A970" s="9"/>
      <c r="B970" s="9"/>
      <c r="C970" s="9"/>
      <c r="D970" s="9"/>
      <c r="E970" s="9"/>
      <c r="F970" s="9"/>
      <c r="G970" s="9"/>
      <c r="H970" s="581"/>
      <c r="I970" s="581"/>
      <c r="J970" s="581"/>
      <c r="K970" s="581"/>
      <c r="L970" s="581"/>
      <c r="M970" s="581"/>
      <c r="N970" s="581"/>
      <c r="O970" s="581"/>
      <c r="P970" s="581"/>
      <c r="Q970" s="581"/>
      <c r="R970" s="581"/>
      <c r="S970" s="581"/>
      <c r="T970" s="581"/>
      <c r="U970" s="9"/>
      <c r="V970" s="9"/>
      <c r="W970" s="9"/>
      <c r="X970" s="9"/>
      <c r="Y970" s="9"/>
      <c r="Z970" s="9"/>
      <c r="AA970" s="9"/>
      <c r="AB970" s="9"/>
      <c r="AC970" s="9"/>
    </row>
    <row r="971" spans="1:29" ht="12.75" customHeight="1" x14ac:dyDescent="0.25">
      <c r="A971" s="9"/>
      <c r="B971" s="9"/>
      <c r="C971" s="9"/>
      <c r="D971" s="9"/>
      <c r="E971" s="9"/>
      <c r="F971" s="9"/>
      <c r="G971" s="9"/>
      <c r="H971" s="581"/>
      <c r="I971" s="581"/>
      <c r="J971" s="581"/>
      <c r="K971" s="581"/>
      <c r="L971" s="581"/>
      <c r="M971" s="581"/>
      <c r="N971" s="581"/>
      <c r="O971" s="581"/>
      <c r="P971" s="581"/>
      <c r="Q971" s="581"/>
      <c r="R971" s="581"/>
      <c r="S971" s="581"/>
      <c r="T971" s="581"/>
      <c r="U971" s="9"/>
      <c r="V971" s="9"/>
      <c r="W971" s="9"/>
      <c r="X971" s="9"/>
      <c r="Y971" s="9"/>
      <c r="Z971" s="9"/>
      <c r="AA971" s="9"/>
      <c r="AB971" s="9"/>
      <c r="AC971" s="9"/>
    </row>
    <row r="972" spans="1:29" ht="12.75" customHeight="1" x14ac:dyDescent="0.25">
      <c r="A972" s="9"/>
      <c r="B972" s="9"/>
      <c r="C972" s="9"/>
      <c r="D972" s="9"/>
      <c r="E972" s="9"/>
      <c r="F972" s="9"/>
      <c r="G972" s="9"/>
      <c r="H972" s="581"/>
      <c r="I972" s="581"/>
      <c r="J972" s="581"/>
      <c r="K972" s="581"/>
      <c r="L972" s="581"/>
      <c r="M972" s="581"/>
      <c r="N972" s="581"/>
      <c r="O972" s="581"/>
      <c r="P972" s="581"/>
      <c r="Q972" s="581"/>
      <c r="R972" s="581"/>
      <c r="S972" s="581"/>
      <c r="T972" s="581"/>
      <c r="U972" s="9"/>
      <c r="V972" s="9"/>
      <c r="W972" s="9"/>
      <c r="X972" s="9"/>
      <c r="Y972" s="9"/>
      <c r="Z972" s="9"/>
      <c r="AA972" s="9"/>
      <c r="AB972" s="9"/>
      <c r="AC972" s="9"/>
    </row>
    <row r="973" spans="1:29" ht="12.75" customHeight="1" x14ac:dyDescent="0.25">
      <c r="A973" s="9"/>
      <c r="B973" s="9"/>
      <c r="C973" s="9"/>
      <c r="D973" s="9"/>
      <c r="E973" s="9"/>
      <c r="F973" s="9"/>
      <c r="G973" s="9"/>
      <c r="H973" s="581"/>
      <c r="I973" s="581"/>
      <c r="J973" s="581"/>
      <c r="K973" s="581"/>
      <c r="L973" s="581"/>
      <c r="M973" s="581"/>
      <c r="N973" s="581"/>
      <c r="O973" s="581"/>
      <c r="P973" s="581"/>
      <c r="Q973" s="581"/>
      <c r="R973" s="581"/>
      <c r="S973" s="581"/>
      <c r="T973" s="581"/>
      <c r="U973" s="9"/>
      <c r="V973" s="9"/>
      <c r="W973" s="9"/>
      <c r="X973" s="9"/>
      <c r="Y973" s="9"/>
      <c r="Z973" s="9"/>
      <c r="AA973" s="9"/>
      <c r="AB973" s="9"/>
      <c r="AC973" s="9"/>
    </row>
    <row r="974" spans="1:29" ht="12.75" customHeight="1" x14ac:dyDescent="0.25">
      <c r="A974" s="9"/>
      <c r="B974" s="9"/>
      <c r="C974" s="9"/>
      <c r="D974" s="9"/>
      <c r="E974" s="9"/>
      <c r="F974" s="9"/>
      <c r="G974" s="9"/>
      <c r="H974" s="581"/>
      <c r="I974" s="581"/>
      <c r="J974" s="581"/>
      <c r="K974" s="581"/>
      <c r="L974" s="581"/>
      <c r="M974" s="581"/>
      <c r="N974" s="581"/>
      <c r="O974" s="581"/>
      <c r="P974" s="581"/>
      <c r="Q974" s="581"/>
      <c r="R974" s="581"/>
      <c r="S974" s="581"/>
      <c r="T974" s="581"/>
      <c r="U974" s="9"/>
      <c r="V974" s="9"/>
      <c r="W974" s="9"/>
      <c r="X974" s="9"/>
      <c r="Y974" s="9"/>
      <c r="Z974" s="9"/>
      <c r="AA974" s="9"/>
      <c r="AB974" s="9"/>
      <c r="AC974" s="9"/>
    </row>
    <row r="975" spans="1:29" ht="12.75" customHeight="1" x14ac:dyDescent="0.25">
      <c r="A975" s="9"/>
      <c r="B975" s="9"/>
      <c r="C975" s="9"/>
      <c r="D975" s="9"/>
      <c r="E975" s="9"/>
      <c r="F975" s="9"/>
      <c r="G975" s="9"/>
      <c r="H975" s="581"/>
      <c r="I975" s="581"/>
      <c r="J975" s="581"/>
      <c r="K975" s="581"/>
      <c r="L975" s="581"/>
      <c r="M975" s="581"/>
      <c r="N975" s="581"/>
      <c r="O975" s="581"/>
      <c r="P975" s="581"/>
      <c r="Q975" s="581"/>
      <c r="R975" s="581"/>
      <c r="S975" s="581"/>
      <c r="T975" s="581"/>
      <c r="U975" s="9"/>
      <c r="V975" s="9"/>
      <c r="W975" s="9"/>
      <c r="X975" s="9"/>
      <c r="Y975" s="9"/>
      <c r="Z975" s="9"/>
      <c r="AA975" s="9"/>
      <c r="AB975" s="9"/>
      <c r="AC975" s="9"/>
    </row>
    <row r="976" spans="1:29" ht="12.75" customHeight="1" x14ac:dyDescent="0.25">
      <c r="A976" s="9"/>
      <c r="B976" s="9"/>
      <c r="C976" s="9"/>
      <c r="D976" s="9"/>
      <c r="E976" s="9"/>
      <c r="F976" s="9"/>
      <c r="G976" s="9"/>
      <c r="H976" s="581"/>
      <c r="I976" s="581"/>
      <c r="J976" s="581"/>
      <c r="K976" s="581"/>
      <c r="L976" s="581"/>
      <c r="M976" s="581"/>
      <c r="N976" s="581"/>
      <c r="O976" s="581"/>
      <c r="P976" s="581"/>
      <c r="Q976" s="581"/>
      <c r="R976" s="581"/>
      <c r="S976" s="581"/>
      <c r="T976" s="581"/>
      <c r="U976" s="9"/>
      <c r="V976" s="9"/>
      <c r="W976" s="9"/>
      <c r="X976" s="9"/>
      <c r="Y976" s="9"/>
      <c r="Z976" s="9"/>
      <c r="AA976" s="9"/>
      <c r="AB976" s="9"/>
      <c r="AC976" s="9"/>
    </row>
    <row r="977" spans="1:29" ht="12.75" customHeight="1" x14ac:dyDescent="0.25">
      <c r="A977" s="9"/>
      <c r="B977" s="9"/>
      <c r="C977" s="9"/>
      <c r="D977" s="9"/>
      <c r="E977" s="9"/>
      <c r="F977" s="9"/>
      <c r="G977" s="9"/>
      <c r="H977" s="581"/>
      <c r="I977" s="581"/>
      <c r="J977" s="581"/>
      <c r="K977" s="581"/>
      <c r="L977" s="581"/>
      <c r="M977" s="581"/>
      <c r="N977" s="581"/>
      <c r="O977" s="581"/>
      <c r="P977" s="581"/>
      <c r="Q977" s="581"/>
      <c r="R977" s="581"/>
      <c r="S977" s="581"/>
      <c r="T977" s="581"/>
      <c r="U977" s="9"/>
      <c r="V977" s="9"/>
      <c r="W977" s="9"/>
      <c r="X977" s="9"/>
      <c r="Y977" s="9"/>
      <c r="Z977" s="9"/>
      <c r="AA977" s="9"/>
      <c r="AB977" s="9"/>
      <c r="AC977" s="9"/>
    </row>
    <row r="978" spans="1:29" ht="12.75" customHeight="1" x14ac:dyDescent="0.25">
      <c r="A978" s="9"/>
      <c r="B978" s="9"/>
      <c r="C978" s="9"/>
      <c r="D978" s="9"/>
      <c r="E978" s="9"/>
      <c r="F978" s="9"/>
      <c r="G978" s="9"/>
      <c r="H978" s="581"/>
      <c r="I978" s="581"/>
      <c r="J978" s="581"/>
      <c r="K978" s="581"/>
      <c r="L978" s="581"/>
      <c r="M978" s="581"/>
      <c r="N978" s="581"/>
      <c r="O978" s="581"/>
      <c r="P978" s="581"/>
      <c r="Q978" s="581"/>
      <c r="R978" s="581"/>
      <c r="S978" s="581"/>
      <c r="T978" s="581"/>
      <c r="U978" s="9"/>
      <c r="V978" s="9"/>
      <c r="W978" s="9"/>
      <c r="X978" s="9"/>
      <c r="Y978" s="9"/>
      <c r="Z978" s="9"/>
      <c r="AA978" s="9"/>
      <c r="AB978" s="9"/>
      <c r="AC978" s="9"/>
    </row>
    <row r="979" spans="1:29" ht="12.75" customHeight="1" x14ac:dyDescent="0.25">
      <c r="A979" s="9"/>
      <c r="B979" s="9"/>
      <c r="C979" s="9"/>
      <c r="D979" s="9"/>
      <c r="E979" s="9"/>
      <c r="F979" s="9"/>
      <c r="G979" s="9"/>
      <c r="H979" s="581"/>
      <c r="I979" s="581"/>
      <c r="J979" s="581"/>
      <c r="K979" s="581"/>
      <c r="L979" s="581"/>
      <c r="M979" s="581"/>
      <c r="N979" s="581"/>
      <c r="O979" s="581"/>
      <c r="P979" s="581"/>
      <c r="Q979" s="581"/>
      <c r="R979" s="581"/>
      <c r="S979" s="581"/>
      <c r="T979" s="581"/>
      <c r="U979" s="9"/>
      <c r="V979" s="9"/>
      <c r="W979" s="9"/>
      <c r="X979" s="9"/>
      <c r="Y979" s="9"/>
      <c r="Z979" s="9"/>
      <c r="AA979" s="9"/>
      <c r="AB979" s="9"/>
      <c r="AC979" s="9"/>
    </row>
    <row r="980" spans="1:29" ht="12.75" customHeight="1" x14ac:dyDescent="0.25">
      <c r="A980" s="9"/>
      <c r="B980" s="9"/>
      <c r="C980" s="9"/>
      <c r="D980" s="9"/>
      <c r="E980" s="9"/>
      <c r="F980" s="9"/>
      <c r="G980" s="9"/>
      <c r="H980" s="581"/>
      <c r="I980" s="581"/>
      <c r="J980" s="581"/>
      <c r="K980" s="581"/>
      <c r="L980" s="581"/>
      <c r="M980" s="581"/>
      <c r="N980" s="581"/>
      <c r="O980" s="581"/>
      <c r="P980" s="581"/>
      <c r="Q980" s="581"/>
      <c r="R980" s="581"/>
      <c r="S980" s="581"/>
      <c r="T980" s="581"/>
      <c r="U980" s="9"/>
      <c r="V980" s="9"/>
      <c r="W980" s="9"/>
      <c r="X980" s="9"/>
      <c r="Y980" s="9"/>
      <c r="Z980" s="9"/>
      <c r="AA980" s="9"/>
      <c r="AB980" s="9"/>
      <c r="AC980" s="9"/>
    </row>
    <row r="981" spans="1:29" ht="12.75" customHeight="1" x14ac:dyDescent="0.25">
      <c r="A981" s="9"/>
      <c r="B981" s="9"/>
      <c r="C981" s="9"/>
      <c r="D981" s="9"/>
      <c r="E981" s="9"/>
      <c r="F981" s="9"/>
      <c r="G981" s="9"/>
      <c r="H981" s="581"/>
      <c r="I981" s="581"/>
      <c r="J981" s="581"/>
      <c r="K981" s="581"/>
      <c r="L981" s="581"/>
      <c r="M981" s="581"/>
      <c r="N981" s="581"/>
      <c r="O981" s="581"/>
      <c r="P981" s="581"/>
      <c r="Q981" s="581"/>
      <c r="R981" s="581"/>
      <c r="S981" s="581"/>
      <c r="T981" s="581"/>
      <c r="U981" s="9"/>
      <c r="V981" s="9"/>
      <c r="W981" s="9"/>
      <c r="X981" s="9"/>
      <c r="Y981" s="9"/>
      <c r="Z981" s="9"/>
      <c r="AA981" s="9"/>
      <c r="AB981" s="9"/>
      <c r="AC981" s="9"/>
    </row>
    <row r="982" spans="1:29" ht="12.75" customHeight="1" x14ac:dyDescent="0.25">
      <c r="A982" s="9"/>
      <c r="B982" s="9"/>
      <c r="C982" s="9"/>
      <c r="D982" s="9"/>
      <c r="E982" s="9"/>
      <c r="F982" s="9"/>
      <c r="G982" s="9"/>
      <c r="H982" s="581"/>
      <c r="I982" s="581"/>
      <c r="J982" s="581"/>
      <c r="K982" s="581"/>
      <c r="L982" s="581"/>
      <c r="M982" s="581"/>
      <c r="N982" s="581"/>
      <c r="O982" s="581"/>
      <c r="P982" s="581"/>
      <c r="Q982" s="581"/>
      <c r="R982" s="581"/>
      <c r="S982" s="581"/>
      <c r="T982" s="581"/>
      <c r="U982" s="9"/>
      <c r="V982" s="9"/>
      <c r="W982" s="9"/>
      <c r="X982" s="9"/>
      <c r="Y982" s="9"/>
      <c r="Z982" s="9"/>
      <c r="AA982" s="9"/>
      <c r="AB982" s="9"/>
      <c r="AC982" s="9"/>
    </row>
    <row r="983" spans="1:29" ht="12.75" customHeight="1" x14ac:dyDescent="0.25">
      <c r="A983" s="9"/>
      <c r="B983" s="9"/>
      <c r="C983" s="9"/>
      <c r="D983" s="9"/>
      <c r="E983" s="9"/>
      <c r="F983" s="9"/>
      <c r="G983" s="9"/>
      <c r="H983" s="581"/>
      <c r="I983" s="581"/>
      <c r="J983" s="581"/>
      <c r="K983" s="581"/>
      <c r="L983" s="581"/>
      <c r="M983" s="581"/>
      <c r="N983" s="581"/>
      <c r="O983" s="581"/>
      <c r="P983" s="581"/>
      <c r="Q983" s="581"/>
      <c r="R983" s="581"/>
      <c r="S983" s="581"/>
      <c r="T983" s="581"/>
      <c r="U983" s="9"/>
      <c r="V983" s="9"/>
      <c r="W983" s="9"/>
      <c r="X983" s="9"/>
      <c r="Y983" s="9"/>
      <c r="Z983" s="9"/>
      <c r="AA983" s="9"/>
      <c r="AB983" s="9"/>
      <c r="AC983" s="9"/>
    </row>
    <row r="984" spans="1:29" ht="12.75" customHeight="1" x14ac:dyDescent="0.25">
      <c r="A984" s="9"/>
      <c r="B984" s="9"/>
      <c r="C984" s="9"/>
      <c r="D984" s="9"/>
      <c r="E984" s="9"/>
      <c r="F984" s="9"/>
      <c r="G984" s="9"/>
      <c r="H984" s="581"/>
      <c r="I984" s="581"/>
      <c r="J984" s="581"/>
      <c r="K984" s="581"/>
      <c r="L984" s="581"/>
      <c r="M984" s="581"/>
      <c r="N984" s="581"/>
      <c r="O984" s="581"/>
      <c r="P984" s="581"/>
      <c r="Q984" s="581"/>
      <c r="R984" s="581"/>
      <c r="S984" s="581"/>
      <c r="T984" s="581"/>
      <c r="U984" s="9"/>
      <c r="V984" s="9"/>
      <c r="W984" s="9"/>
      <c r="X984" s="9"/>
      <c r="Y984" s="9"/>
      <c r="Z984" s="9"/>
      <c r="AA984" s="9"/>
      <c r="AB984" s="9"/>
      <c r="AC984" s="9"/>
    </row>
    <row r="985" spans="1:29" ht="12.75" customHeight="1" x14ac:dyDescent="0.25">
      <c r="A985" s="9"/>
      <c r="B985" s="9"/>
      <c r="C985" s="9"/>
      <c r="D985" s="9"/>
      <c r="E985" s="9"/>
      <c r="F985" s="9"/>
      <c r="G985" s="9"/>
      <c r="H985" s="581"/>
      <c r="I985" s="581"/>
      <c r="J985" s="581"/>
      <c r="K985" s="581"/>
      <c r="L985" s="581"/>
      <c r="M985" s="581"/>
      <c r="N985" s="581"/>
      <c r="O985" s="581"/>
      <c r="P985" s="581"/>
      <c r="Q985" s="581"/>
      <c r="R985" s="581"/>
      <c r="S985" s="581"/>
      <c r="T985" s="581"/>
      <c r="U985" s="9"/>
      <c r="V985" s="9"/>
      <c r="W985" s="9"/>
      <c r="X985" s="9"/>
      <c r="Y985" s="9"/>
      <c r="Z985" s="9"/>
      <c r="AA985" s="9"/>
      <c r="AB985" s="9"/>
      <c r="AC985" s="9"/>
    </row>
    <row r="986" spans="1:29" ht="12.75" customHeight="1" x14ac:dyDescent="0.25">
      <c r="A986" s="9"/>
      <c r="B986" s="9"/>
      <c r="C986" s="9"/>
      <c r="D986" s="9"/>
      <c r="E986" s="9"/>
      <c r="F986" s="9"/>
      <c r="G986" s="9"/>
      <c r="H986" s="581"/>
      <c r="I986" s="581"/>
      <c r="J986" s="581"/>
      <c r="K986" s="581"/>
      <c r="L986" s="581"/>
      <c r="M986" s="581"/>
      <c r="N986" s="581"/>
      <c r="O986" s="581"/>
      <c r="P986" s="581"/>
      <c r="Q986" s="581"/>
      <c r="R986" s="581"/>
      <c r="S986" s="581"/>
      <c r="T986" s="581"/>
      <c r="U986" s="9"/>
      <c r="V986" s="9"/>
      <c r="W986" s="9"/>
      <c r="X986" s="9"/>
      <c r="Y986" s="9"/>
      <c r="Z986" s="9"/>
      <c r="AA986" s="9"/>
      <c r="AB986" s="9"/>
      <c r="AC986" s="9"/>
    </row>
    <row r="987" spans="1:29" ht="12.75" customHeight="1" x14ac:dyDescent="0.25">
      <c r="A987" s="9"/>
      <c r="B987" s="9"/>
      <c r="C987" s="9"/>
      <c r="D987" s="9"/>
      <c r="E987" s="9"/>
      <c r="F987" s="9"/>
      <c r="G987" s="9"/>
      <c r="H987" s="581"/>
      <c r="I987" s="581"/>
      <c r="J987" s="581"/>
      <c r="K987" s="581"/>
      <c r="L987" s="581"/>
      <c r="M987" s="581"/>
      <c r="N987" s="581"/>
      <c r="O987" s="581"/>
      <c r="P987" s="581"/>
      <c r="Q987" s="581"/>
      <c r="R987" s="581"/>
      <c r="S987" s="581"/>
      <c r="T987" s="581"/>
      <c r="U987" s="9"/>
      <c r="V987" s="9"/>
      <c r="W987" s="9"/>
      <c r="X987" s="9"/>
      <c r="Y987" s="9"/>
      <c r="Z987" s="9"/>
      <c r="AA987" s="9"/>
      <c r="AB987" s="9"/>
      <c r="AC987" s="9"/>
    </row>
    <row r="988" spans="1:29" ht="12.75" customHeight="1" x14ac:dyDescent="0.25">
      <c r="A988" s="9"/>
      <c r="B988" s="9"/>
      <c r="C988" s="9"/>
      <c r="D988" s="9"/>
      <c r="E988" s="9"/>
      <c r="F988" s="9"/>
      <c r="G988" s="9"/>
      <c r="H988" s="581"/>
      <c r="I988" s="581"/>
      <c r="J988" s="581"/>
      <c r="K988" s="581"/>
      <c r="L988" s="581"/>
      <c r="M988" s="581"/>
      <c r="N988" s="581"/>
      <c r="O988" s="581"/>
      <c r="P988" s="581"/>
      <c r="Q988" s="581"/>
      <c r="R988" s="581"/>
      <c r="S988" s="581"/>
      <c r="T988" s="581"/>
      <c r="U988" s="9"/>
      <c r="V988" s="9"/>
      <c r="W988" s="9"/>
      <c r="X988" s="9"/>
      <c r="Y988" s="9"/>
      <c r="Z988" s="9"/>
      <c r="AA988" s="9"/>
      <c r="AB988" s="9"/>
      <c r="AC988" s="9"/>
    </row>
    <row r="989" spans="1:29" ht="12.75" customHeight="1" x14ac:dyDescent="0.25">
      <c r="A989" s="9"/>
      <c r="B989" s="9"/>
      <c r="C989" s="9"/>
      <c r="D989" s="9"/>
      <c r="E989" s="9"/>
      <c r="F989" s="9"/>
      <c r="G989" s="9"/>
      <c r="H989" s="581"/>
      <c r="I989" s="581"/>
      <c r="J989" s="581"/>
      <c r="K989" s="581"/>
      <c r="L989" s="581"/>
      <c r="M989" s="581"/>
      <c r="N989" s="581"/>
      <c r="O989" s="581"/>
      <c r="P989" s="581"/>
      <c r="Q989" s="581"/>
      <c r="R989" s="581"/>
      <c r="S989" s="581"/>
      <c r="T989" s="581"/>
      <c r="U989" s="9"/>
      <c r="V989" s="9"/>
      <c r="W989" s="9"/>
      <c r="X989" s="9"/>
      <c r="Y989" s="9"/>
      <c r="Z989" s="9"/>
      <c r="AA989" s="9"/>
      <c r="AB989" s="9"/>
      <c r="AC989" s="9"/>
    </row>
    <row r="990" spans="1:29" ht="12.75" customHeight="1" x14ac:dyDescent="0.25">
      <c r="A990" s="9"/>
      <c r="B990" s="9"/>
      <c r="C990" s="9"/>
      <c r="D990" s="9"/>
      <c r="E990" s="9"/>
      <c r="F990" s="9"/>
      <c r="G990" s="9"/>
      <c r="H990" s="581"/>
      <c r="I990" s="581"/>
      <c r="J990" s="581"/>
      <c r="K990" s="581"/>
      <c r="L990" s="581"/>
      <c r="M990" s="581"/>
      <c r="N990" s="581"/>
      <c r="O990" s="581"/>
      <c r="P990" s="581"/>
      <c r="Q990" s="581"/>
      <c r="R990" s="581"/>
      <c r="S990" s="581"/>
      <c r="T990" s="581"/>
      <c r="U990" s="9"/>
      <c r="V990" s="9"/>
      <c r="W990" s="9"/>
      <c r="X990" s="9"/>
      <c r="Y990" s="9"/>
      <c r="Z990" s="9"/>
      <c r="AA990" s="9"/>
      <c r="AB990" s="9"/>
      <c r="AC990" s="9"/>
    </row>
    <row r="991" spans="1:29" ht="12.75" customHeight="1" x14ac:dyDescent="0.25">
      <c r="A991" s="9"/>
      <c r="B991" s="9"/>
      <c r="C991" s="9"/>
      <c r="D991" s="9"/>
      <c r="E991" s="9"/>
      <c r="F991" s="9"/>
      <c r="G991" s="9"/>
      <c r="H991" s="581"/>
      <c r="I991" s="581"/>
      <c r="J991" s="581"/>
      <c r="K991" s="581"/>
      <c r="L991" s="581"/>
      <c r="M991" s="581"/>
      <c r="N991" s="581"/>
      <c r="O991" s="581"/>
      <c r="P991" s="581"/>
      <c r="Q991" s="581"/>
      <c r="R991" s="581"/>
      <c r="S991" s="581"/>
      <c r="T991" s="581"/>
      <c r="U991" s="9"/>
      <c r="V991" s="9"/>
      <c r="W991" s="9"/>
      <c r="X991" s="9"/>
      <c r="Y991" s="9"/>
      <c r="Z991" s="9"/>
      <c r="AA991" s="9"/>
      <c r="AB991" s="9"/>
      <c r="AC991" s="9"/>
    </row>
    <row r="992" spans="1:29" ht="12.75" customHeight="1" x14ac:dyDescent="0.25">
      <c r="A992" s="9"/>
      <c r="B992" s="9"/>
      <c r="C992" s="9"/>
      <c r="D992" s="9"/>
      <c r="E992" s="9"/>
      <c r="F992" s="9"/>
      <c r="G992" s="9"/>
      <c r="H992" s="581"/>
      <c r="I992" s="581"/>
      <c r="J992" s="581"/>
      <c r="K992" s="581"/>
      <c r="L992" s="581"/>
      <c r="M992" s="581"/>
      <c r="N992" s="581"/>
      <c r="O992" s="581"/>
      <c r="P992" s="581"/>
      <c r="Q992" s="581"/>
      <c r="R992" s="581"/>
      <c r="S992" s="581"/>
      <c r="T992" s="581"/>
      <c r="U992" s="9"/>
      <c r="V992" s="9"/>
      <c r="W992" s="9"/>
      <c r="X992" s="9"/>
      <c r="Y992" s="9"/>
      <c r="Z992" s="9"/>
      <c r="AA992" s="9"/>
      <c r="AB992" s="9"/>
      <c r="AC992" s="9"/>
    </row>
    <row r="993" spans="1:29" ht="12.75" customHeight="1" x14ac:dyDescent="0.25">
      <c r="A993" s="9"/>
      <c r="B993" s="9"/>
      <c r="C993" s="9"/>
      <c r="D993" s="9"/>
      <c r="E993" s="9"/>
      <c r="F993" s="9"/>
      <c r="G993" s="9"/>
      <c r="H993" s="581"/>
      <c r="I993" s="581"/>
      <c r="J993" s="581"/>
      <c r="K993" s="581"/>
      <c r="L993" s="581"/>
      <c r="M993" s="581"/>
      <c r="N993" s="581"/>
      <c r="O993" s="581"/>
      <c r="P993" s="581"/>
      <c r="Q993" s="581"/>
      <c r="R993" s="581"/>
      <c r="S993" s="581"/>
      <c r="T993" s="581"/>
      <c r="U993" s="9"/>
      <c r="V993" s="9"/>
      <c r="W993" s="9"/>
      <c r="X993" s="9"/>
      <c r="Y993" s="9"/>
      <c r="Z993" s="9"/>
      <c r="AA993" s="9"/>
      <c r="AB993" s="9"/>
      <c r="AC993" s="9"/>
    </row>
    <row r="994" spans="1:29" ht="12.75" customHeight="1" x14ac:dyDescent="0.25">
      <c r="A994" s="9"/>
      <c r="B994" s="9"/>
      <c r="C994" s="9"/>
      <c r="D994" s="9"/>
      <c r="E994" s="9"/>
      <c r="F994" s="9"/>
      <c r="G994" s="9"/>
      <c r="H994" s="581"/>
      <c r="I994" s="581"/>
      <c r="J994" s="581"/>
      <c r="K994" s="581"/>
      <c r="L994" s="581"/>
      <c r="M994" s="581"/>
      <c r="N994" s="581"/>
      <c r="O994" s="581"/>
      <c r="P994" s="581"/>
      <c r="Q994" s="581"/>
      <c r="R994" s="581"/>
      <c r="S994" s="581"/>
      <c r="T994" s="581"/>
      <c r="U994" s="9"/>
      <c r="V994" s="9"/>
      <c r="W994" s="9"/>
      <c r="X994" s="9"/>
      <c r="Y994" s="9"/>
      <c r="Z994" s="9"/>
      <c r="AA994" s="9"/>
      <c r="AB994" s="9"/>
      <c r="AC994" s="9"/>
    </row>
    <row r="995" spans="1:29" ht="12.75" customHeight="1" x14ac:dyDescent="0.25">
      <c r="A995" s="9"/>
      <c r="B995" s="9"/>
      <c r="C995" s="9"/>
      <c r="D995" s="9"/>
      <c r="E995" s="9"/>
      <c r="F995" s="9"/>
      <c r="G995" s="9"/>
      <c r="H995" s="581"/>
      <c r="I995" s="581"/>
      <c r="J995" s="581"/>
      <c r="K995" s="581"/>
      <c r="L995" s="581"/>
      <c r="M995" s="581"/>
      <c r="N995" s="581"/>
      <c r="O995" s="581"/>
      <c r="P995" s="581"/>
      <c r="Q995" s="581"/>
      <c r="R995" s="581"/>
      <c r="S995" s="581"/>
      <c r="T995" s="581"/>
      <c r="U995" s="9"/>
      <c r="V995" s="9"/>
      <c r="W995" s="9"/>
      <c r="X995" s="9"/>
      <c r="Y995" s="9"/>
      <c r="Z995" s="9"/>
      <c r="AA995" s="9"/>
      <c r="AB995" s="9"/>
      <c r="AC995" s="9"/>
    </row>
    <row r="996" spans="1:29" ht="12.75" customHeight="1" x14ac:dyDescent="0.25">
      <c r="A996" s="9"/>
      <c r="B996" s="9"/>
      <c r="C996" s="9"/>
      <c r="D996" s="9"/>
      <c r="E996" s="9"/>
      <c r="F996" s="9"/>
      <c r="G996" s="9"/>
      <c r="H996" s="581"/>
      <c r="I996" s="581"/>
      <c r="J996" s="581"/>
      <c r="K996" s="581"/>
      <c r="L996" s="581"/>
      <c r="M996" s="581"/>
      <c r="N996" s="581"/>
      <c r="O996" s="581"/>
      <c r="P996" s="581"/>
      <c r="Q996" s="581"/>
      <c r="R996" s="581"/>
      <c r="S996" s="581"/>
      <c r="T996" s="581"/>
      <c r="U996" s="9"/>
      <c r="V996" s="9"/>
      <c r="W996" s="9"/>
      <c r="X996" s="9"/>
      <c r="Y996" s="9"/>
      <c r="Z996" s="9"/>
      <c r="AA996" s="9"/>
      <c r="AB996" s="9"/>
      <c r="AC996" s="9"/>
    </row>
    <row r="997" spans="1:29" ht="12.75" customHeight="1" x14ac:dyDescent="0.25">
      <c r="A997" s="9"/>
      <c r="B997" s="9"/>
      <c r="C997" s="9"/>
      <c r="D997" s="9"/>
      <c r="E997" s="9"/>
      <c r="F997" s="9"/>
      <c r="G997" s="9"/>
      <c r="H997" s="581"/>
      <c r="I997" s="581"/>
      <c r="J997" s="581"/>
      <c r="K997" s="581"/>
      <c r="L997" s="581"/>
      <c r="M997" s="581"/>
      <c r="N997" s="581"/>
      <c r="O997" s="581"/>
      <c r="P997" s="581"/>
      <c r="Q997" s="581"/>
      <c r="R997" s="581"/>
      <c r="S997" s="581"/>
      <c r="T997" s="581"/>
      <c r="U997" s="9"/>
      <c r="V997" s="9"/>
      <c r="W997" s="9"/>
      <c r="X997" s="9"/>
      <c r="Y997" s="9"/>
      <c r="Z997" s="9"/>
      <c r="AA997" s="9"/>
      <c r="AB997" s="9"/>
      <c r="AC997" s="9"/>
    </row>
    <row r="998" spans="1:29" ht="12.75" customHeight="1" x14ac:dyDescent="0.25">
      <c r="A998" s="9"/>
      <c r="B998" s="9"/>
      <c r="C998" s="9"/>
      <c r="D998" s="9"/>
      <c r="E998" s="9"/>
      <c r="F998" s="9"/>
      <c r="G998" s="9"/>
      <c r="H998" s="581"/>
      <c r="I998" s="581"/>
      <c r="J998" s="581"/>
      <c r="K998" s="581"/>
      <c r="L998" s="581"/>
      <c r="M998" s="581"/>
      <c r="N998" s="581"/>
      <c r="O998" s="581"/>
      <c r="P998" s="581"/>
      <c r="Q998" s="581"/>
      <c r="R998" s="581"/>
      <c r="S998" s="581"/>
      <c r="T998" s="581"/>
      <c r="U998" s="9"/>
      <c r="V998" s="9"/>
      <c r="W998" s="9"/>
      <c r="X998" s="9"/>
      <c r="Y998" s="9"/>
      <c r="Z998" s="9"/>
      <c r="AA998" s="9"/>
      <c r="AB998" s="9"/>
      <c r="AC998" s="9"/>
    </row>
    <row r="999" spans="1:29" ht="12.75" customHeight="1" x14ac:dyDescent="0.25">
      <c r="A999" s="9"/>
      <c r="B999" s="9"/>
      <c r="C999" s="9"/>
      <c r="D999" s="9"/>
      <c r="E999" s="9"/>
      <c r="F999" s="9"/>
      <c r="G999" s="9"/>
      <c r="H999" s="581"/>
      <c r="I999" s="581"/>
      <c r="J999" s="581"/>
      <c r="K999" s="581"/>
      <c r="L999" s="581"/>
      <c r="M999" s="581"/>
      <c r="N999" s="581"/>
      <c r="O999" s="581"/>
      <c r="P999" s="581"/>
      <c r="Q999" s="581"/>
      <c r="R999" s="581"/>
      <c r="S999" s="581"/>
      <c r="T999" s="581"/>
      <c r="U999" s="9"/>
      <c r="V999" s="9"/>
      <c r="W999" s="9"/>
      <c r="X999" s="9"/>
      <c r="Y999" s="9"/>
      <c r="Z999" s="9"/>
      <c r="AA999" s="9"/>
      <c r="AB999" s="9"/>
      <c r="AC999" s="9"/>
    </row>
    <row r="1000" spans="1:29" ht="12.75" customHeight="1" x14ac:dyDescent="0.25">
      <c r="A1000" s="9"/>
      <c r="B1000" s="9"/>
      <c r="C1000" s="9"/>
      <c r="D1000" s="9"/>
      <c r="E1000" s="9"/>
      <c r="F1000" s="9"/>
      <c r="G1000" s="9"/>
      <c r="H1000" s="581"/>
      <c r="I1000" s="581"/>
      <c r="J1000" s="581"/>
      <c r="K1000" s="581"/>
      <c r="L1000" s="581"/>
      <c r="M1000" s="581"/>
      <c r="N1000" s="581"/>
      <c r="O1000" s="581"/>
      <c r="P1000" s="581"/>
      <c r="Q1000" s="581"/>
      <c r="R1000" s="581"/>
      <c r="S1000" s="581"/>
      <c r="T1000" s="581"/>
      <c r="U1000" s="9"/>
      <c r="V1000" s="9"/>
      <c r="W1000" s="9"/>
      <c r="X1000" s="9"/>
      <c r="Y1000" s="9"/>
      <c r="Z1000" s="9"/>
      <c r="AA1000" s="9"/>
      <c r="AB1000" s="9"/>
      <c r="AC1000" s="9"/>
    </row>
  </sheetData>
  <mergeCells count="1">
    <mergeCell ref="B8:G8"/>
  </mergeCells>
  <conditionalFormatting sqref="E13:E30">
    <cfRule type="cellIs" dxfId="140" priority="1" stopIfTrue="1" operator="equal">
      <formula>"No Result"</formula>
    </cfRule>
  </conditionalFormatting>
  <dataValidations count="1">
    <dataValidation type="list" allowBlank="1" showErrorMessage="1" sqref="D13:D30" xr:uid="{00000000-0002-0000-0B00-000000000000}">
      <formula1>$L$2:$L$6</formula1>
    </dataValidation>
  </dataValidations>
  <pageMargins left="0.75" right="0.75" top="1" bottom="1" header="0" footer="0"/>
  <pageSetup orientation="portrait"/>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60000"/>
  </sheetPr>
  <dimension ref="A1:Z1000"/>
  <sheetViews>
    <sheetView showGridLines="0" zoomScale="80" zoomScaleNormal="80" workbookViewId="0">
      <pane ySplit="2" topLeftCell="A3" activePane="bottomLeft" state="frozen"/>
      <selection pane="bottomLeft"/>
    </sheetView>
  </sheetViews>
  <sheetFormatPr defaultColWidth="14.42578125" defaultRowHeight="15" customHeight="1" outlineLevelRow="1" x14ac:dyDescent="0.25"/>
  <cols>
    <col min="1" max="2" width="1.7109375" customWidth="1"/>
    <col min="3" max="3" width="32.7109375" customWidth="1"/>
    <col min="4" max="12" width="10.5703125" customWidth="1"/>
    <col min="13" max="15" width="12.140625" customWidth="1"/>
    <col min="16" max="17" width="10.5703125" customWidth="1"/>
    <col min="18" max="18" width="11.140625" customWidth="1"/>
    <col min="19" max="19" width="10.5703125" customWidth="1"/>
    <col min="20" max="26" width="8.7109375" customWidth="1"/>
  </cols>
  <sheetData>
    <row r="1" spans="1:26" ht="13.5" customHeight="1" x14ac:dyDescent="0.35">
      <c r="A1" s="4"/>
      <c r="B1" s="4"/>
      <c r="C1" s="5" t="str">
        <f ca="1">Company_Name&amp;" - "&amp;MID(CELL("filename",A1),FIND("]",CELL("filename",A1))+1,255)&amp;": "&amp;Case_Scenario&amp;" Case"</f>
        <v>American Express Company - WACC: Base Case</v>
      </c>
      <c r="D1" s="4"/>
      <c r="E1" s="4"/>
      <c r="F1" s="4"/>
      <c r="G1" s="4"/>
      <c r="H1" s="4"/>
      <c r="I1" s="4"/>
      <c r="J1" s="4"/>
      <c r="K1" s="4"/>
      <c r="L1" s="4"/>
      <c r="M1" s="4"/>
      <c r="N1" s="4"/>
      <c r="O1" s="4"/>
      <c r="P1" s="4"/>
      <c r="Q1" s="4"/>
      <c r="R1" s="4"/>
      <c r="S1" s="4"/>
      <c r="T1" s="4"/>
      <c r="U1" s="4"/>
      <c r="V1" s="4"/>
      <c r="W1" s="4"/>
      <c r="X1" s="4"/>
      <c r="Y1" s="4"/>
      <c r="Z1" s="4"/>
    </row>
    <row r="2" spans="1:26" ht="13.5" customHeight="1" x14ac:dyDescent="0.25">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row>
    <row r="3" spans="1:26" ht="13.5" customHeight="1" x14ac:dyDescent="0.25">
      <c r="A3" s="3"/>
      <c r="B3" s="9"/>
      <c r="C3" s="9"/>
      <c r="D3" s="9"/>
      <c r="E3" s="9"/>
      <c r="F3" s="9"/>
      <c r="G3" s="9"/>
      <c r="H3" s="9"/>
      <c r="I3" s="9"/>
      <c r="J3" s="9"/>
      <c r="K3" s="9"/>
      <c r="L3" s="9"/>
      <c r="M3" s="9"/>
      <c r="N3" s="9"/>
      <c r="O3" s="9"/>
      <c r="P3" s="9"/>
      <c r="Q3" s="9"/>
      <c r="R3" s="587"/>
      <c r="S3" s="9"/>
      <c r="T3" s="9"/>
      <c r="U3" s="9"/>
      <c r="V3" s="9"/>
      <c r="W3" s="9"/>
      <c r="X3" s="9"/>
      <c r="Y3" s="9"/>
      <c r="Z3" s="9"/>
    </row>
    <row r="4" spans="1:26" ht="13.5" customHeight="1" x14ac:dyDescent="0.25">
      <c r="A4" s="10" t="s">
        <v>0</v>
      </c>
      <c r="B4" s="9"/>
      <c r="C4" s="11" t="s">
        <v>619</v>
      </c>
      <c r="D4" s="12"/>
      <c r="E4" s="12"/>
      <c r="F4" s="12"/>
      <c r="G4" s="13"/>
      <c r="H4" s="9"/>
      <c r="I4" s="9"/>
      <c r="J4" s="11" t="s">
        <v>620</v>
      </c>
      <c r="K4" s="12"/>
      <c r="L4" s="12"/>
      <c r="M4" s="51" t="s">
        <v>621</v>
      </c>
      <c r="N4" s="51" t="s">
        <v>622</v>
      </c>
      <c r="O4" s="52" t="s">
        <v>623</v>
      </c>
      <c r="P4" s="9"/>
      <c r="Q4" s="136"/>
      <c r="R4" s="207" t="s">
        <v>1</v>
      </c>
      <c r="S4" s="135"/>
      <c r="T4" s="9"/>
      <c r="U4" s="9"/>
      <c r="V4" s="9"/>
      <c r="W4" s="9"/>
      <c r="X4" s="9"/>
      <c r="Y4" s="9"/>
      <c r="Z4" s="9"/>
    </row>
    <row r="5" spans="1:26" ht="13.5" customHeight="1" x14ac:dyDescent="0.25">
      <c r="A5" s="10"/>
      <c r="B5" s="9"/>
      <c r="C5" s="9"/>
      <c r="D5" s="9"/>
      <c r="E5" s="9"/>
      <c r="F5" s="9"/>
      <c r="G5" s="9"/>
      <c r="H5" s="9"/>
      <c r="I5" s="9"/>
      <c r="J5" s="9"/>
      <c r="K5" s="9"/>
      <c r="L5" s="9"/>
      <c r="M5" s="64"/>
      <c r="N5" s="64"/>
      <c r="O5" s="64"/>
      <c r="P5" s="9"/>
      <c r="Q5" s="136"/>
      <c r="R5" s="588" t="s">
        <v>1154</v>
      </c>
      <c r="S5" s="9"/>
      <c r="T5" s="9"/>
      <c r="U5" s="9"/>
      <c r="V5" s="9"/>
      <c r="W5" s="9"/>
      <c r="X5" s="9"/>
      <c r="Y5" s="9"/>
      <c r="Z5" s="9"/>
    </row>
    <row r="6" spans="1:26" ht="13.5" customHeight="1" x14ac:dyDescent="0.25">
      <c r="A6" s="10"/>
      <c r="B6" s="9"/>
      <c r="C6" s="9" t="s">
        <v>624</v>
      </c>
      <c r="D6" s="9"/>
      <c r="E6" s="9"/>
      <c r="F6" s="9"/>
      <c r="G6" s="589">
        <v>4.3459999999999999E-2</v>
      </c>
      <c r="H6" s="9"/>
      <c r="I6" s="9"/>
      <c r="J6" s="9" t="s">
        <v>625</v>
      </c>
      <c r="K6" s="9"/>
      <c r="L6" s="9"/>
      <c r="M6" s="590">
        <f ca="1">Model!V139+Model!V140</f>
        <v>60787</v>
      </c>
      <c r="N6" s="484">
        <f ca="1">M6/$M$9</f>
        <v>0.21820927363020928</v>
      </c>
      <c r="O6" s="484">
        <f>Cost_of_Debt</f>
        <v>4.0106140815246161E-2</v>
      </c>
      <c r="P6" s="9"/>
      <c r="Q6" s="9"/>
      <c r="R6" s="96"/>
      <c r="S6" s="9"/>
      <c r="T6" s="9"/>
      <c r="U6" s="9"/>
      <c r="V6" s="9"/>
      <c r="W6" s="9"/>
      <c r="X6" s="9"/>
      <c r="Y6" s="9"/>
      <c r="Z6" s="9"/>
    </row>
    <row r="7" spans="1:26" ht="13.5" customHeight="1" x14ac:dyDescent="0.25">
      <c r="A7" s="10"/>
      <c r="B7" s="9"/>
      <c r="C7" s="9" t="s">
        <v>626</v>
      </c>
      <c r="D7" s="9"/>
      <c r="E7" s="9"/>
      <c r="F7" s="9"/>
      <c r="G7" s="589">
        <v>4.3799999999999999E-2</v>
      </c>
      <c r="H7" s="9"/>
      <c r="I7" s="9"/>
      <c r="J7" s="9" t="s">
        <v>627</v>
      </c>
      <c r="K7" s="9"/>
      <c r="L7" s="9"/>
      <c r="M7" s="481">
        <f>Diluted_Shares*Share_Price</f>
        <v>216014.53999999998</v>
      </c>
      <c r="N7" s="591">
        <f ca="1">1-Weight_of_Debt-Weight_of_Preferred</f>
        <v>0.78179072636979074</v>
      </c>
      <c r="O7" s="484">
        <f>Cost_of_Equity</f>
        <v>9.3878180000000006E-2</v>
      </c>
      <c r="P7" s="9"/>
      <c r="Q7" s="9"/>
      <c r="R7" s="9"/>
      <c r="S7" s="9"/>
      <c r="T7" s="9"/>
      <c r="U7" s="9"/>
      <c r="V7" s="9"/>
      <c r="W7" s="9"/>
      <c r="X7" s="9"/>
      <c r="Y7" s="9"/>
      <c r="Z7" s="9"/>
    </row>
    <row r="8" spans="1:26" ht="13.5" customHeight="1" x14ac:dyDescent="0.25">
      <c r="A8" s="10"/>
      <c r="B8" s="9"/>
      <c r="C8" s="9" t="s">
        <v>628</v>
      </c>
      <c r="D8" s="9"/>
      <c r="E8" s="9"/>
      <c r="F8" s="9"/>
      <c r="G8" s="589">
        <v>5.0999999999999997E-2</v>
      </c>
      <c r="H8" s="9"/>
      <c r="I8" s="9"/>
      <c r="J8" s="9" t="s">
        <v>629</v>
      </c>
      <c r="K8" s="9"/>
      <c r="L8" s="9"/>
      <c r="M8" s="592">
        <v>0</v>
      </c>
      <c r="N8" s="484">
        <f ca="1">M8/$M$9</f>
        <v>0</v>
      </c>
      <c r="O8" s="484">
        <f>Cost_of_Preferred</f>
        <v>0</v>
      </c>
      <c r="P8" s="9"/>
      <c r="Q8" s="9"/>
      <c r="R8" s="9"/>
      <c r="S8" s="9"/>
      <c r="T8" s="9"/>
      <c r="U8" s="9"/>
      <c r="V8" s="9"/>
      <c r="W8" s="9"/>
      <c r="X8" s="9"/>
      <c r="Y8" s="9"/>
      <c r="Z8" s="9"/>
    </row>
    <row r="9" spans="1:26" ht="13.5" customHeight="1" x14ac:dyDescent="0.25">
      <c r="A9" s="10"/>
      <c r="B9" s="9"/>
      <c r="C9" s="9" t="s">
        <v>630</v>
      </c>
      <c r="D9" s="9"/>
      <c r="E9" s="9"/>
      <c r="F9" s="9"/>
      <c r="G9" s="117">
        <f>Tax_Rate</f>
        <v>0.21360508205399684</v>
      </c>
      <c r="H9" s="9"/>
      <c r="I9" s="9"/>
      <c r="J9" s="96" t="s">
        <v>631</v>
      </c>
      <c r="K9" s="96"/>
      <c r="L9" s="96"/>
      <c r="M9" s="593">
        <f t="shared" ref="M9:N9" ca="1" si="0">SUM(M6:M8)</f>
        <v>278572.02853355056</v>
      </c>
      <c r="N9" s="594">
        <f t="shared" ca="1" si="0"/>
        <v>1</v>
      </c>
      <c r="O9" s="594">
        <f ca="1">SUMPRODUCT(N6:N8,O6:O8)</f>
        <v>8.2140227475214531E-2</v>
      </c>
      <c r="P9" s="9"/>
      <c r="Q9" s="9"/>
      <c r="R9" s="9"/>
      <c r="S9" s="9"/>
      <c r="T9" s="9"/>
      <c r="U9" s="9"/>
      <c r="V9" s="9"/>
      <c r="W9" s="9"/>
      <c r="X9" s="9"/>
      <c r="Y9" s="9"/>
      <c r="Z9" s="9"/>
    </row>
    <row r="10" spans="1:26" ht="13.5" customHeight="1" x14ac:dyDescent="0.25">
      <c r="A10" s="10"/>
      <c r="B10" s="9"/>
      <c r="C10" s="9" t="s">
        <v>632</v>
      </c>
      <c r="D10" s="9"/>
      <c r="E10" s="9"/>
      <c r="F10" s="9"/>
      <c r="G10" s="589">
        <v>0</v>
      </c>
      <c r="H10" s="9"/>
      <c r="I10" s="9"/>
      <c r="J10" s="9"/>
      <c r="K10" s="9"/>
      <c r="L10" s="9"/>
      <c r="M10" s="9"/>
      <c r="N10" s="9"/>
      <c r="O10" s="9"/>
      <c r="P10" s="9"/>
      <c r="Q10" s="9"/>
      <c r="R10" s="9"/>
      <c r="S10" s="9"/>
      <c r="T10" s="9"/>
      <c r="U10" s="9"/>
      <c r="V10" s="9"/>
      <c r="W10" s="9"/>
      <c r="X10" s="9"/>
      <c r="Y10" s="9"/>
      <c r="Z10" s="9"/>
    </row>
    <row r="11" spans="1:26" ht="13.5" customHeight="1" x14ac:dyDescent="0.25">
      <c r="A11" s="10"/>
      <c r="B11" s="9"/>
      <c r="C11" s="9"/>
      <c r="D11" s="9"/>
      <c r="E11" s="9"/>
      <c r="F11" s="9"/>
      <c r="G11" s="9"/>
      <c r="H11" s="9"/>
      <c r="I11" s="9"/>
      <c r="J11" s="9"/>
      <c r="K11" s="9"/>
      <c r="L11" s="9"/>
      <c r="M11" s="9"/>
      <c r="N11" s="9"/>
      <c r="O11" s="9"/>
      <c r="P11" s="9"/>
      <c r="Q11" s="9"/>
      <c r="R11" s="9"/>
      <c r="S11" s="9"/>
      <c r="T11" s="9"/>
      <c r="U11" s="9"/>
      <c r="V11" s="9"/>
      <c r="W11" s="9"/>
      <c r="X11" s="9"/>
      <c r="Y11" s="9"/>
      <c r="Z11" s="9"/>
    </row>
    <row r="12" spans="1:26" ht="13.5" customHeight="1" x14ac:dyDescent="0.25">
      <c r="A12" s="10"/>
      <c r="B12" s="9"/>
      <c r="C12" s="9"/>
      <c r="D12" s="9"/>
      <c r="E12" s="9"/>
      <c r="F12" s="9"/>
      <c r="G12" s="595"/>
      <c r="H12" s="9"/>
      <c r="I12" s="9"/>
      <c r="J12" s="9"/>
      <c r="K12" s="9"/>
      <c r="L12" s="9"/>
      <c r="M12" s="9"/>
      <c r="N12" s="9"/>
      <c r="O12" s="9"/>
      <c r="P12" s="9"/>
      <c r="Q12" s="9"/>
      <c r="R12" s="9"/>
      <c r="S12" s="9"/>
      <c r="T12" s="9"/>
      <c r="U12" s="9"/>
      <c r="V12" s="9"/>
      <c r="W12" s="9"/>
      <c r="X12" s="9"/>
      <c r="Y12" s="9"/>
      <c r="Z12" s="9"/>
    </row>
    <row r="13" spans="1:26" ht="13.5" customHeight="1" x14ac:dyDescent="0.25">
      <c r="A13" s="10" t="s">
        <v>0</v>
      </c>
      <c r="B13" s="9"/>
      <c r="C13" s="11" t="s">
        <v>633</v>
      </c>
      <c r="D13" s="12"/>
      <c r="E13" s="12"/>
      <c r="F13" s="12"/>
      <c r="G13" s="13"/>
      <c r="H13" s="9"/>
      <c r="I13" s="9"/>
      <c r="J13" s="596" t="s">
        <v>634</v>
      </c>
      <c r="K13" s="597"/>
      <c r="L13" s="597"/>
      <c r="M13" s="597"/>
      <c r="N13" s="597"/>
      <c r="O13" s="598">
        <f ca="1">SUMPRODUCT($N$6:$N$8,$O$6:$O$8)</f>
        <v>8.2140227475214531E-2</v>
      </c>
      <c r="P13" s="9"/>
      <c r="Q13" s="9"/>
      <c r="R13" s="9"/>
      <c r="S13" s="9"/>
      <c r="T13" s="9"/>
      <c r="U13" s="9"/>
      <c r="V13" s="9"/>
      <c r="W13" s="9"/>
      <c r="X13" s="9"/>
      <c r="Y13" s="9"/>
      <c r="Z13" s="9"/>
    </row>
    <row r="14" spans="1:26" ht="13.5" customHeight="1" x14ac:dyDescent="0.25">
      <c r="A14" s="10"/>
      <c r="B14" s="9"/>
      <c r="C14" s="9"/>
      <c r="D14" s="9"/>
      <c r="E14" s="9"/>
      <c r="F14" s="9"/>
      <c r="G14" s="9"/>
      <c r="H14" s="9"/>
      <c r="I14" s="9"/>
      <c r="J14" s="9"/>
      <c r="K14" s="9"/>
      <c r="L14" s="9"/>
      <c r="M14" s="9"/>
      <c r="N14" s="9"/>
      <c r="O14" s="9"/>
      <c r="P14" s="9"/>
      <c r="Q14" s="9"/>
      <c r="R14" s="9"/>
      <c r="S14" s="9"/>
      <c r="T14" s="9"/>
      <c r="U14" s="9"/>
      <c r="V14" s="9"/>
      <c r="W14" s="9"/>
      <c r="X14" s="9"/>
      <c r="Y14" s="9"/>
      <c r="Z14" s="9"/>
    </row>
    <row r="15" spans="1:26" ht="13.5" customHeight="1" x14ac:dyDescent="0.25">
      <c r="A15" s="10"/>
      <c r="B15" s="9"/>
      <c r="C15" s="9" t="s">
        <v>628</v>
      </c>
      <c r="D15" s="9"/>
      <c r="E15" s="9"/>
      <c r="F15" s="9"/>
      <c r="G15" s="589">
        <f>G8</f>
        <v>5.0999999999999997E-2</v>
      </c>
      <c r="H15" s="9"/>
      <c r="I15" s="9"/>
      <c r="J15" s="9"/>
      <c r="K15" s="9"/>
      <c r="L15" s="9"/>
      <c r="M15" s="9"/>
      <c r="N15" s="9"/>
      <c r="O15" s="9"/>
      <c r="P15" s="9"/>
      <c r="Q15" s="9"/>
      <c r="R15" s="9"/>
      <c r="S15" s="9"/>
      <c r="T15" s="9"/>
      <c r="U15" s="9"/>
      <c r="V15" s="9"/>
      <c r="W15" s="9"/>
      <c r="X15" s="9"/>
      <c r="Y15" s="9"/>
      <c r="Z15" s="9"/>
    </row>
    <row r="16" spans="1:26" ht="13.5" customHeight="1" x14ac:dyDescent="0.25">
      <c r="A16" s="10"/>
      <c r="B16" s="9"/>
      <c r="C16" s="9" t="s">
        <v>635</v>
      </c>
      <c r="D16" s="9"/>
      <c r="E16" s="9"/>
      <c r="F16" s="9"/>
      <c r="G16" s="117">
        <f>Tax_Rate</f>
        <v>0.21360508205399684</v>
      </c>
      <c r="H16" s="9"/>
      <c r="I16" s="9"/>
      <c r="J16" s="9"/>
      <c r="K16" s="9"/>
      <c r="L16" s="9"/>
      <c r="M16" s="9"/>
      <c r="N16" s="9"/>
      <c r="O16" s="9"/>
      <c r="P16" s="9"/>
      <c r="Q16" s="9"/>
      <c r="R16" s="9"/>
      <c r="S16" s="9"/>
      <c r="T16" s="9"/>
      <c r="U16" s="9"/>
      <c r="V16" s="9"/>
      <c r="W16" s="9"/>
      <c r="X16" s="9"/>
      <c r="Y16" s="9"/>
      <c r="Z16" s="9"/>
    </row>
    <row r="17" spans="1:26" ht="13.5" customHeight="1" x14ac:dyDescent="0.25">
      <c r="A17" s="10"/>
      <c r="B17" s="9"/>
      <c r="C17" s="96" t="s">
        <v>636</v>
      </c>
      <c r="D17" s="96"/>
      <c r="E17" s="96"/>
      <c r="F17" s="96"/>
      <c r="G17" s="599">
        <f>G15*(1-G16)</f>
        <v>4.0106140815246161E-2</v>
      </c>
      <c r="H17" s="9"/>
      <c r="I17" s="9"/>
      <c r="J17" s="9"/>
      <c r="K17" s="9"/>
      <c r="L17" s="9"/>
      <c r="M17" s="9"/>
      <c r="N17" s="9"/>
      <c r="O17" s="9"/>
      <c r="P17" s="9"/>
      <c r="Q17" s="9"/>
      <c r="R17" s="9"/>
      <c r="S17" s="9"/>
      <c r="T17" s="9"/>
      <c r="U17" s="9"/>
      <c r="V17" s="9"/>
      <c r="W17" s="9"/>
      <c r="X17" s="9"/>
      <c r="Y17" s="9"/>
      <c r="Z17" s="9"/>
    </row>
    <row r="18" spans="1:26" ht="13.5" customHeight="1" x14ac:dyDescent="0.25">
      <c r="A18" s="10"/>
      <c r="B18" s="9"/>
      <c r="C18" s="9"/>
      <c r="D18" s="9"/>
      <c r="E18" s="9"/>
      <c r="F18" s="9"/>
      <c r="G18" s="9"/>
      <c r="H18" s="9"/>
      <c r="I18" s="9"/>
      <c r="J18" s="9"/>
      <c r="K18" s="9"/>
      <c r="L18" s="9"/>
      <c r="M18" s="9"/>
      <c r="N18" s="9"/>
      <c r="O18" s="9"/>
      <c r="P18" s="9"/>
      <c r="Q18" s="9"/>
      <c r="R18" s="9"/>
      <c r="S18" s="9"/>
      <c r="T18" s="9"/>
      <c r="U18" s="9"/>
      <c r="V18" s="9"/>
      <c r="W18" s="9"/>
      <c r="X18" s="9"/>
      <c r="Y18" s="9"/>
      <c r="Z18" s="9"/>
    </row>
    <row r="19" spans="1:26" ht="13.5" customHeight="1" x14ac:dyDescent="0.25">
      <c r="A19" s="10"/>
      <c r="B19" s="9"/>
      <c r="C19" s="9"/>
      <c r="D19" s="9"/>
      <c r="E19" s="9"/>
      <c r="F19" s="9"/>
      <c r="G19" s="9"/>
      <c r="H19" s="9"/>
      <c r="I19" s="9"/>
      <c r="J19" s="9"/>
      <c r="K19" s="9"/>
      <c r="L19" s="9"/>
      <c r="M19" s="9"/>
      <c r="N19" s="9"/>
      <c r="O19" s="9"/>
      <c r="P19" s="9"/>
      <c r="Q19" s="9"/>
      <c r="R19" s="9"/>
      <c r="S19" s="9"/>
      <c r="T19" s="9"/>
      <c r="U19" s="9"/>
      <c r="V19" s="9"/>
      <c r="W19" s="9"/>
      <c r="X19" s="9"/>
      <c r="Y19" s="9"/>
      <c r="Z19" s="9"/>
    </row>
    <row r="20" spans="1:26" ht="13.5" customHeight="1" x14ac:dyDescent="0.25">
      <c r="A20" s="10" t="s">
        <v>0</v>
      </c>
      <c r="B20" s="9"/>
      <c r="C20" s="11" t="s">
        <v>637</v>
      </c>
      <c r="D20" s="12"/>
      <c r="E20" s="12"/>
      <c r="F20" s="12"/>
      <c r="G20" s="13"/>
      <c r="H20" s="9"/>
      <c r="I20" s="9"/>
      <c r="J20" s="11" t="s">
        <v>638</v>
      </c>
      <c r="K20" s="12"/>
      <c r="L20" s="12"/>
      <c r="M20" s="12"/>
      <c r="N20" s="12"/>
      <c r="O20" s="12"/>
      <c r="P20" s="13"/>
      <c r="Q20" s="600">
        <f ca="1">N26-Discount_Rate</f>
        <v>0</v>
      </c>
      <c r="R20" s="9"/>
      <c r="S20" s="9"/>
      <c r="T20" s="9"/>
      <c r="U20" s="9"/>
      <c r="V20" s="9"/>
      <c r="W20" s="9"/>
      <c r="X20" s="9"/>
      <c r="Y20" s="9"/>
      <c r="Z20" s="9"/>
    </row>
    <row r="21" spans="1:26" ht="13.5" customHeight="1" x14ac:dyDescent="0.25">
      <c r="A21" s="10"/>
      <c r="B21" s="9"/>
      <c r="C21" s="9"/>
      <c r="D21" s="9"/>
      <c r="E21" s="9"/>
      <c r="F21" s="9"/>
      <c r="G21" s="9"/>
      <c r="H21" s="9"/>
      <c r="I21" s="9"/>
      <c r="J21" s="37"/>
      <c r="K21" s="143"/>
      <c r="L21" s="64"/>
      <c r="M21" s="64"/>
      <c r="N21" s="64"/>
      <c r="O21" s="64"/>
      <c r="P21" s="64"/>
      <c r="Q21" s="9"/>
      <c r="R21" s="9"/>
      <c r="S21" s="9"/>
      <c r="T21" s="9"/>
      <c r="U21" s="9"/>
      <c r="V21" s="9"/>
      <c r="W21" s="9"/>
      <c r="X21" s="9"/>
      <c r="Y21" s="9"/>
      <c r="Z21" s="9"/>
    </row>
    <row r="22" spans="1:26" ht="13.5" customHeight="1" x14ac:dyDescent="0.25">
      <c r="A22" s="10"/>
      <c r="B22" s="9"/>
      <c r="C22" s="9" t="str">
        <f t="shared" ref="C22:C23" si="1">C6</f>
        <v>Risk-Free Rate:</v>
      </c>
      <c r="D22" s="9"/>
      <c r="E22" s="9"/>
      <c r="F22" s="9"/>
      <c r="G22" s="589">
        <f>Risk_Free_Rate</f>
        <v>4.3459999999999999E-2</v>
      </c>
      <c r="H22" s="9"/>
      <c r="I22" s="9"/>
      <c r="J22" s="522"/>
      <c r="K22" s="524"/>
      <c r="L22" s="990" t="s">
        <v>639</v>
      </c>
      <c r="M22" s="991"/>
      <c r="N22" s="991"/>
      <c r="O22" s="991"/>
      <c r="P22" s="991"/>
      <c r="Q22" s="9"/>
      <c r="R22" s="9"/>
      <c r="S22" s="9"/>
      <c r="T22" s="9"/>
      <c r="U22" s="9"/>
      <c r="V22" s="9"/>
      <c r="W22" s="9"/>
      <c r="X22" s="9"/>
      <c r="Y22" s="9"/>
      <c r="Z22" s="9"/>
    </row>
    <row r="23" spans="1:26" ht="14.25" customHeight="1" x14ac:dyDescent="0.25">
      <c r="A23" s="10"/>
      <c r="B23" s="9"/>
      <c r="C23" s="9" t="str">
        <f t="shared" si="1"/>
        <v>Equity Risk Premium (ERP):</v>
      </c>
      <c r="D23" s="9"/>
      <c r="E23" s="9"/>
      <c r="F23" s="9"/>
      <c r="G23" s="589">
        <f>ERP</f>
        <v>4.3799999999999999E-2</v>
      </c>
      <c r="H23" s="9"/>
      <c r="I23" s="9"/>
      <c r="J23" s="9"/>
      <c r="K23" s="601">
        <f ca="1">Discount_Rate</f>
        <v>8.2140227475214531E-2</v>
      </c>
      <c r="L23" s="602">
        <f t="shared" ref="L23:M23" si="2">M23-$M$34</f>
        <v>4.1000000000000002E-2</v>
      </c>
      <c r="M23" s="602">
        <f t="shared" si="2"/>
        <v>4.5999999999999999E-2</v>
      </c>
      <c r="N23" s="603">
        <v>5.0999999999999997E-2</v>
      </c>
      <c r="O23" s="602">
        <f t="shared" ref="O23:P23" si="3">N23+$M$34</f>
        <v>5.5999999999999994E-2</v>
      </c>
      <c r="P23" s="602">
        <f t="shared" si="3"/>
        <v>6.0999999999999992E-2</v>
      </c>
      <c r="Q23" s="9"/>
      <c r="R23" s="9"/>
      <c r="S23" s="9"/>
      <c r="T23" s="9"/>
      <c r="U23" s="9"/>
      <c r="V23" s="9"/>
      <c r="W23" s="9"/>
      <c r="X23" s="9"/>
      <c r="Y23" s="9"/>
      <c r="Z23" s="9"/>
    </row>
    <row r="24" spans="1:26" ht="14.25" customHeight="1" x14ac:dyDescent="0.25">
      <c r="A24" s="10"/>
      <c r="B24" s="9"/>
      <c r="C24" s="95" t="s">
        <v>640</v>
      </c>
      <c r="D24" s="95"/>
      <c r="E24" s="95"/>
      <c r="F24" s="95"/>
      <c r="G24" s="604">
        <f>IF(J44="Comps Relevered Beta",G47,G49)</f>
        <v>1.1511</v>
      </c>
      <c r="H24" s="9"/>
      <c r="I24" s="9"/>
      <c r="J24" s="992" t="s">
        <v>641</v>
      </c>
      <c r="K24" s="605">
        <f t="shared" ref="K24:K25" si="4">K25-$M$37</f>
        <v>0.1782092736302093</v>
      </c>
      <c r="L24" s="606">
        <f t="dataTable" ref="L24:P28" dt2D="1" dtr="1" r1="G15" r2="N6" ca="1"/>
        <v>8.2140227475214531E-2</v>
      </c>
      <c r="M24" s="607">
        <v>8.2140227475214531E-2</v>
      </c>
      <c r="N24" s="607">
        <v>8.2140227475214531E-2</v>
      </c>
      <c r="O24" s="607">
        <v>8.2140227475214531E-2</v>
      </c>
      <c r="P24" s="608">
        <v>8.2140227475214531E-2</v>
      </c>
      <c r="Q24" s="9"/>
      <c r="R24" s="9"/>
      <c r="S24" s="9"/>
      <c r="T24" s="9"/>
      <c r="U24" s="9"/>
      <c r="V24" s="9"/>
      <c r="W24" s="9"/>
      <c r="X24" s="9"/>
      <c r="Y24" s="9"/>
      <c r="Z24" s="9"/>
    </row>
    <row r="25" spans="1:26" ht="13.5" customHeight="1" x14ac:dyDescent="0.25">
      <c r="A25" s="10"/>
      <c r="B25" s="9"/>
      <c r="C25" s="9" t="s">
        <v>637</v>
      </c>
      <c r="D25" s="9"/>
      <c r="E25" s="9"/>
      <c r="F25" s="9"/>
      <c r="G25" s="589">
        <f>G22+G24*G23</f>
        <v>9.3878180000000006E-2</v>
      </c>
      <c r="H25" s="9"/>
      <c r="I25" s="9"/>
      <c r="J25" s="993"/>
      <c r="K25" s="605">
        <f t="shared" si="4"/>
        <v>0.19820927363020929</v>
      </c>
      <c r="L25" s="609">
        <v>8.2140227475214531E-2</v>
      </c>
      <c r="M25" s="610">
        <v>8.2140227475214531E-2</v>
      </c>
      <c r="N25" s="610">
        <v>8.2140227475214531E-2</v>
      </c>
      <c r="O25" s="610">
        <v>8.2140227475214531E-2</v>
      </c>
      <c r="P25" s="611">
        <v>8.2140227475214531E-2</v>
      </c>
      <c r="Q25" s="9"/>
      <c r="R25" s="9"/>
      <c r="S25" s="9"/>
      <c r="T25" s="9"/>
      <c r="U25" s="9"/>
      <c r="V25" s="9"/>
      <c r="W25" s="9"/>
      <c r="X25" s="9"/>
      <c r="Y25" s="9"/>
      <c r="Z25" s="9"/>
    </row>
    <row r="26" spans="1:26" ht="13.5" customHeight="1" x14ac:dyDescent="0.25">
      <c r="A26" s="10"/>
      <c r="B26" s="9"/>
      <c r="C26" s="9"/>
      <c r="D26" s="9"/>
      <c r="E26" s="9"/>
      <c r="F26" s="9"/>
      <c r="G26" s="9"/>
      <c r="H26" s="9"/>
      <c r="I26" s="9"/>
      <c r="J26" s="993"/>
      <c r="K26" s="612">
        <v>0.21820927363020928</v>
      </c>
      <c r="L26" s="609">
        <v>8.2140227475214531E-2</v>
      </c>
      <c r="M26" s="610">
        <v>8.2140227475214531E-2</v>
      </c>
      <c r="N26" s="610">
        <v>8.2140227475214531E-2</v>
      </c>
      <c r="O26" s="610">
        <v>8.2140227475214531E-2</v>
      </c>
      <c r="P26" s="611">
        <v>8.2140227475214531E-2</v>
      </c>
      <c r="Q26" s="9"/>
      <c r="R26" s="9"/>
      <c r="S26" s="9"/>
      <c r="T26" s="9"/>
      <c r="U26" s="9"/>
      <c r="V26" s="9"/>
      <c r="W26" s="9"/>
      <c r="X26" s="9"/>
      <c r="Y26" s="9"/>
      <c r="Z26" s="9"/>
    </row>
    <row r="27" spans="1:26" ht="13.5" customHeight="1" x14ac:dyDescent="0.25">
      <c r="A27" s="10"/>
      <c r="B27" s="9"/>
      <c r="C27" s="9"/>
      <c r="D27" s="9"/>
      <c r="E27" s="9"/>
      <c r="F27" s="9"/>
      <c r="G27" s="9"/>
      <c r="H27" s="9"/>
      <c r="I27" s="9"/>
      <c r="J27" s="993"/>
      <c r="K27" s="605">
        <f t="shared" ref="K27:K28" si="5">K26+$M$37</f>
        <v>0.23820927363020927</v>
      </c>
      <c r="L27" s="609">
        <v>8.2140227475214531E-2</v>
      </c>
      <c r="M27" s="610">
        <v>8.2140227475214531E-2</v>
      </c>
      <c r="N27" s="610">
        <v>8.2140227475214531E-2</v>
      </c>
      <c r="O27" s="610">
        <v>8.2140227475214531E-2</v>
      </c>
      <c r="P27" s="611">
        <v>8.2140227475214531E-2</v>
      </c>
      <c r="Q27" s="9"/>
      <c r="R27" s="9"/>
      <c r="S27" s="9"/>
      <c r="T27" s="9"/>
      <c r="U27" s="9"/>
      <c r="V27" s="9"/>
      <c r="W27" s="9"/>
      <c r="X27" s="9"/>
      <c r="Y27" s="9"/>
      <c r="Z27" s="9"/>
    </row>
    <row r="28" spans="1:26" ht="13.5" customHeight="1" x14ac:dyDescent="0.25">
      <c r="A28" s="10" t="s">
        <v>0</v>
      </c>
      <c r="B28" s="9"/>
      <c r="C28" s="11" t="str">
        <f>Company_Name&amp;" - Peer Group Unlevered Beta:"</f>
        <v>American Express Company - Peer Group Unlevered Beta:</v>
      </c>
      <c r="D28" s="12"/>
      <c r="E28" s="12"/>
      <c r="F28" s="12"/>
      <c r="G28" s="13"/>
      <c r="H28" s="9"/>
      <c r="I28" s="9"/>
      <c r="J28" s="994"/>
      <c r="K28" s="605">
        <f t="shared" si="5"/>
        <v>0.25820927363020929</v>
      </c>
      <c r="L28" s="613">
        <v>8.2140227475214531E-2</v>
      </c>
      <c r="M28" s="614">
        <v>8.2140227475214531E-2</v>
      </c>
      <c r="N28" s="614">
        <v>8.2140227475214531E-2</v>
      </c>
      <c r="O28" s="614">
        <v>8.2140227475214531E-2</v>
      </c>
      <c r="P28" s="615">
        <v>8.2140227475214531E-2</v>
      </c>
      <c r="Q28" s="9"/>
      <c r="R28" s="9"/>
      <c r="S28" s="9"/>
      <c r="T28" s="9"/>
      <c r="U28" s="9"/>
      <c r="V28" s="9"/>
      <c r="W28" s="9"/>
      <c r="X28" s="9"/>
      <c r="Y28" s="9"/>
      <c r="Z28" s="9"/>
    </row>
    <row r="29" spans="1:26" ht="13.5" customHeight="1" x14ac:dyDescent="0.25">
      <c r="A29" s="10"/>
      <c r="B29" s="9"/>
      <c r="C29" s="9"/>
      <c r="D29" s="9"/>
      <c r="E29" s="9"/>
      <c r="F29" s="9"/>
      <c r="G29" s="9"/>
      <c r="H29" s="9"/>
      <c r="I29" s="9"/>
      <c r="J29" s="9"/>
      <c r="K29" s="9"/>
      <c r="L29" s="9"/>
      <c r="M29" s="9"/>
      <c r="N29" s="9"/>
      <c r="O29" s="9"/>
      <c r="P29" s="9"/>
      <c r="Q29" s="9"/>
      <c r="R29" s="9"/>
      <c r="S29" s="9"/>
      <c r="T29" s="9"/>
      <c r="U29" s="9"/>
      <c r="V29" s="9"/>
      <c r="W29" s="9"/>
      <c r="X29" s="9"/>
      <c r="Y29" s="9"/>
      <c r="Z29" s="9"/>
    </row>
    <row r="30" spans="1:26" ht="13.5" customHeight="1" x14ac:dyDescent="0.25">
      <c r="A30" s="10"/>
      <c r="B30" s="9"/>
      <c r="C30" s="9"/>
      <c r="D30" s="64" t="s">
        <v>642</v>
      </c>
      <c r="E30" s="64" t="s">
        <v>643</v>
      </c>
      <c r="F30" s="64" t="s">
        <v>644</v>
      </c>
      <c r="G30" s="64" t="s">
        <v>645</v>
      </c>
      <c r="H30" s="9"/>
      <c r="I30" s="9"/>
      <c r="J30" s="9"/>
      <c r="K30" s="9"/>
      <c r="L30" s="9"/>
      <c r="M30" s="9"/>
      <c r="N30" s="9"/>
      <c r="O30" s="9"/>
      <c r="P30" s="9"/>
      <c r="Q30" s="9"/>
      <c r="R30" s="9"/>
      <c r="S30" s="9"/>
      <c r="T30" s="9"/>
      <c r="U30" s="9"/>
      <c r="V30" s="9"/>
      <c r="W30" s="9"/>
      <c r="X30" s="9"/>
      <c r="Y30" s="9"/>
      <c r="Z30" s="9"/>
    </row>
    <row r="31" spans="1:26" ht="13.5" customHeight="1" x14ac:dyDescent="0.25">
      <c r="A31" s="10"/>
      <c r="B31" s="9"/>
      <c r="C31" s="95" t="s">
        <v>478</v>
      </c>
      <c r="D31" s="154" t="s">
        <v>490</v>
      </c>
      <c r="E31" s="154" t="s">
        <v>495</v>
      </c>
      <c r="F31" s="154" t="s">
        <v>646</v>
      </c>
      <c r="G31" s="154" t="s">
        <v>490</v>
      </c>
      <c r="H31" s="9"/>
      <c r="I31" s="9"/>
      <c r="J31" s="932" t="s">
        <v>647</v>
      </c>
      <c r="K31" s="933"/>
      <c r="L31" s="933"/>
      <c r="M31" s="934"/>
      <c r="N31" s="9"/>
      <c r="O31" s="9"/>
      <c r="P31" s="9"/>
      <c r="Q31" s="9"/>
      <c r="R31" s="9"/>
      <c r="S31" s="9"/>
      <c r="T31" s="9"/>
      <c r="U31" s="9"/>
      <c r="V31" s="9"/>
      <c r="W31" s="9"/>
      <c r="X31" s="9"/>
      <c r="Y31" s="9"/>
      <c r="Z31" s="9"/>
    </row>
    <row r="32" spans="1:26" ht="13.5" customHeight="1" x14ac:dyDescent="0.25">
      <c r="A32" s="10"/>
      <c r="B32" s="9"/>
      <c r="C32" s="9"/>
      <c r="D32" s="177"/>
      <c r="E32" s="616"/>
      <c r="F32" s="616"/>
      <c r="G32" s="617"/>
      <c r="H32" s="9"/>
      <c r="I32" s="9"/>
      <c r="J32" s="9"/>
      <c r="K32" s="9"/>
      <c r="L32" s="9"/>
      <c r="M32" s="9"/>
      <c r="N32" s="9"/>
      <c r="O32" s="9"/>
      <c r="P32" s="9"/>
      <c r="Q32" s="9"/>
      <c r="R32" s="9"/>
      <c r="S32" s="9"/>
      <c r="T32" s="9"/>
      <c r="U32" s="9"/>
      <c r="V32" s="9"/>
      <c r="W32" s="9"/>
      <c r="X32" s="9"/>
      <c r="Y32" s="9"/>
      <c r="Z32" s="9"/>
    </row>
    <row r="33" spans="1:26" ht="13.5" customHeight="1" x14ac:dyDescent="0.25">
      <c r="A33" s="10"/>
      <c r="B33" s="9"/>
      <c r="C33" s="395" t="str">
        <f>Comparables!D12</f>
        <v>Visa Inc.</v>
      </c>
      <c r="D33" s="618">
        <f>Comparables!H29</f>
        <v>0.79054000000000002</v>
      </c>
      <c r="E33" s="619">
        <f>Comparables!O29</f>
        <v>0.6880679999999999</v>
      </c>
      <c r="F33" s="620">
        <f>Comparables!G29</f>
        <v>0.17095099999999999</v>
      </c>
      <c r="G33" s="621">
        <f t="shared" ref="G33:G37" si="6">IF(ISERROR(D33/(1+(1-F33)*E33)),"NA",(D33/(1+(1-F33)*E33)))</f>
        <v>0.50338691657394152</v>
      </c>
      <c r="H33" s="9"/>
      <c r="I33" s="9"/>
      <c r="J33" s="9" t="s">
        <v>648</v>
      </c>
      <c r="K33" s="9"/>
      <c r="L33" s="9"/>
      <c r="M33" s="622">
        <f>G8</f>
        <v>5.0999999999999997E-2</v>
      </c>
      <c r="N33" s="600">
        <f>M33-N23</f>
        <v>0</v>
      </c>
      <c r="O33" s="9"/>
      <c r="P33" s="9"/>
      <c r="Q33" s="9"/>
      <c r="R33" s="9"/>
      <c r="S33" s="9"/>
      <c r="T33" s="9"/>
      <c r="U33" s="9"/>
      <c r="V33" s="9"/>
      <c r="W33" s="9"/>
      <c r="X33" s="9"/>
      <c r="Y33" s="9"/>
      <c r="Z33" s="9"/>
    </row>
    <row r="34" spans="1:26" ht="13.5" customHeight="1" x14ac:dyDescent="0.25">
      <c r="A34" s="10"/>
      <c r="B34" s="9"/>
      <c r="C34" s="395" t="str">
        <f>Comparables!D13</f>
        <v>Mastercard Incorporated</v>
      </c>
      <c r="D34" s="618">
        <f>Comparables!H30</f>
        <v>0.83562000000000003</v>
      </c>
      <c r="E34" s="619">
        <f>Comparables!O30</f>
        <v>2.5604180000000003</v>
      </c>
      <c r="F34" s="620">
        <f>Comparables!G30</f>
        <v>0.19431499999999999</v>
      </c>
      <c r="G34" s="621">
        <f t="shared" si="6"/>
        <v>0.27282073379369587</v>
      </c>
      <c r="H34" s="9"/>
      <c r="I34" s="9"/>
      <c r="J34" s="9" t="s">
        <v>649</v>
      </c>
      <c r="K34" s="9"/>
      <c r="L34" s="9"/>
      <c r="M34" s="623">
        <v>5.0000000000000001E-3</v>
      </c>
      <c r="N34" s="9"/>
      <c r="O34" s="9"/>
      <c r="P34" s="9"/>
      <c r="Q34" s="9"/>
      <c r="R34" s="9"/>
      <c r="S34" s="9"/>
      <c r="T34" s="9"/>
      <c r="U34" s="9"/>
      <c r="V34" s="9"/>
      <c r="W34" s="9"/>
      <c r="X34" s="9"/>
      <c r="Y34" s="9"/>
      <c r="Z34" s="9"/>
    </row>
    <row r="35" spans="1:26" ht="13.5" customHeight="1" x14ac:dyDescent="0.25">
      <c r="A35" s="10"/>
      <c r="B35" s="9"/>
      <c r="C35" s="395" t="str">
        <f>Comparables!D14</f>
        <v>Capital One Financial Corporation</v>
      </c>
      <c r="D35" s="618">
        <f>Comparables!H31</f>
        <v>1.13907</v>
      </c>
      <c r="E35" s="619">
        <f>Comparables!O31</f>
        <v>0</v>
      </c>
      <c r="F35" s="620">
        <f>Comparables!G31</f>
        <v>8.4611999999999993E-2</v>
      </c>
      <c r="G35" s="621">
        <f t="shared" si="6"/>
        <v>1.13907</v>
      </c>
      <c r="H35" s="9"/>
      <c r="I35" s="9"/>
      <c r="J35" s="9"/>
      <c r="K35" s="9"/>
      <c r="L35" s="9"/>
      <c r="M35" s="64"/>
      <c r="N35" s="9"/>
      <c r="O35" s="9"/>
      <c r="P35" s="9"/>
      <c r="Q35" s="9"/>
      <c r="R35" s="9"/>
      <c r="S35" s="9"/>
      <c r="T35" s="9"/>
      <c r="U35" s="9"/>
      <c r="V35" s="9"/>
      <c r="W35" s="9"/>
      <c r="X35" s="9"/>
      <c r="Y35" s="9"/>
      <c r="Z35" s="9"/>
    </row>
    <row r="36" spans="1:26" ht="13.5" customHeight="1" x14ac:dyDescent="0.25">
      <c r="A36" s="10"/>
      <c r="B36" s="9"/>
      <c r="C36" s="904" t="str">
        <f>Comparables!D15</f>
        <v>JPMorgan Chase &amp; Co.</v>
      </c>
      <c r="D36" s="905">
        <f>Comparables!H32</f>
        <v>1.05891</v>
      </c>
      <c r="E36" s="906">
        <f>Comparables!O32</f>
        <v>0</v>
      </c>
      <c r="F36" s="907">
        <f>Comparables!G32</f>
        <v>0.21416000000000002</v>
      </c>
      <c r="G36" s="908">
        <f t="shared" si="6"/>
        <v>1.05891</v>
      </c>
      <c r="H36" s="9"/>
      <c r="I36" s="9"/>
      <c r="J36" s="9" t="s">
        <v>650</v>
      </c>
      <c r="K36" s="9"/>
      <c r="L36" s="9"/>
      <c r="M36" s="624">
        <f ca="1">Weight_of_Debt</f>
        <v>0.25820927363020929</v>
      </c>
      <c r="N36" s="600">
        <f ca="1">M36-K26</f>
        <v>4.0000000000000008E-2</v>
      </c>
      <c r="O36" s="9"/>
      <c r="P36" s="9"/>
      <c r="Q36" s="9"/>
      <c r="R36" s="9"/>
      <c r="S36" s="9"/>
      <c r="T36" s="9"/>
      <c r="U36" s="9"/>
      <c r="V36" s="9"/>
      <c r="W36" s="9"/>
      <c r="X36" s="9"/>
      <c r="Y36" s="9"/>
      <c r="Z36" s="9"/>
    </row>
    <row r="37" spans="1:26" ht="13.5" hidden="1" customHeight="1" outlineLevel="1" x14ac:dyDescent="0.25">
      <c r="A37" s="10"/>
      <c r="B37" s="9"/>
      <c r="C37" s="395" t="e">
        <f>Comparables!#REF!</f>
        <v>#REF!</v>
      </c>
      <c r="D37" s="618" t="e">
        <f>Comparables!#REF!</f>
        <v>#REF!</v>
      </c>
      <c r="E37" s="619" t="e">
        <f>Comparables!#REF!</f>
        <v>#REF!</v>
      </c>
      <c r="F37" s="620" t="e">
        <f>Comparables!#REF!</f>
        <v>#REF!</v>
      </c>
      <c r="G37" s="621" t="str">
        <f t="shared" si="6"/>
        <v>NA</v>
      </c>
      <c r="H37" s="9"/>
      <c r="I37" s="9"/>
      <c r="J37" s="9" t="s">
        <v>651</v>
      </c>
      <c r="K37" s="9"/>
      <c r="L37" s="9"/>
      <c r="M37" s="623">
        <v>0.02</v>
      </c>
      <c r="N37" s="9"/>
      <c r="O37" s="9"/>
      <c r="P37" s="9"/>
      <c r="Q37" s="9"/>
      <c r="R37" s="9"/>
      <c r="S37" s="9"/>
      <c r="T37" s="9"/>
      <c r="U37" s="9"/>
      <c r="V37" s="9"/>
      <c r="W37" s="9"/>
      <c r="X37" s="9"/>
      <c r="Y37" s="9"/>
      <c r="Z37" s="9"/>
    </row>
    <row r="38" spans="1:26" ht="13.5" hidden="1" customHeight="1" outlineLevel="1" x14ac:dyDescent="0.25">
      <c r="A38" s="10"/>
      <c r="B38" s="9"/>
      <c r="C38" s="95"/>
      <c r="D38" s="625"/>
      <c r="E38" s="626"/>
      <c r="F38" s="627"/>
      <c r="G38" s="628"/>
      <c r="H38" s="9"/>
      <c r="I38" s="9"/>
      <c r="J38" s="9"/>
      <c r="K38" s="9"/>
      <c r="L38" s="9"/>
      <c r="M38" s="9"/>
      <c r="N38" s="9"/>
      <c r="O38" s="9"/>
      <c r="P38" s="9"/>
      <c r="Q38" s="9"/>
      <c r="R38" s="9"/>
      <c r="S38" s="9"/>
      <c r="T38" s="9"/>
      <c r="U38" s="9"/>
      <c r="V38" s="9"/>
      <c r="W38" s="9"/>
      <c r="X38" s="9"/>
      <c r="Y38" s="9"/>
      <c r="Z38" s="9"/>
    </row>
    <row r="39" spans="1:26" ht="13.5" customHeight="1" collapsed="1" x14ac:dyDescent="0.25">
      <c r="A39" s="10"/>
      <c r="B39" s="9"/>
      <c r="C39" s="9" t="s">
        <v>652</v>
      </c>
      <c r="D39" s="621">
        <f>AVERAGE(D32:D36)</f>
        <v>0.95603499999999997</v>
      </c>
      <c r="E39" s="621">
        <f t="shared" ref="E39:F39" si="7">AVERAGE(E32:E36)</f>
        <v>0.81212150000000005</v>
      </c>
      <c r="F39" s="621">
        <f t="shared" si="7"/>
        <v>0.1660095</v>
      </c>
      <c r="G39" s="621">
        <f t="shared" ref="G39" si="8">AVERAGE(G32:G38)</f>
        <v>0.74354691259190941</v>
      </c>
      <c r="H39" s="9"/>
      <c r="I39" s="9"/>
      <c r="J39" s="9"/>
      <c r="K39" s="9"/>
      <c r="L39" s="9"/>
      <c r="M39" s="9"/>
      <c r="N39" s="9"/>
      <c r="O39" s="9"/>
      <c r="P39" s="9"/>
      <c r="Q39" s="9"/>
      <c r="R39" s="9"/>
      <c r="S39" s="9"/>
      <c r="T39" s="9"/>
      <c r="U39" s="9"/>
      <c r="V39" s="9"/>
      <c r="W39" s="9"/>
      <c r="X39" s="9"/>
      <c r="Y39" s="9"/>
      <c r="Z39" s="9"/>
    </row>
    <row r="40" spans="1:26" ht="13.5" customHeight="1" x14ac:dyDescent="0.25">
      <c r="A40" s="10"/>
      <c r="B40" s="9"/>
      <c r="C40" s="9" t="s">
        <v>653</v>
      </c>
      <c r="D40" s="621">
        <f>MEDIAN(D32:D36)</f>
        <v>0.94726500000000002</v>
      </c>
      <c r="E40" s="621">
        <f t="shared" ref="E40:F40" si="9">MEDIAN(E32:E36)</f>
        <v>0.34403399999999995</v>
      </c>
      <c r="F40" s="621">
        <f t="shared" si="9"/>
        <v>0.18263299999999999</v>
      </c>
      <c r="G40" s="621">
        <f t="shared" ref="G40" si="10">MEDIAN(G32:G38)</f>
        <v>0.78114845828697077</v>
      </c>
      <c r="H40" s="9"/>
      <c r="I40" s="9"/>
      <c r="J40" s="9"/>
      <c r="K40" s="9"/>
      <c r="L40" s="9"/>
      <c r="M40" s="9"/>
      <c r="N40" s="9"/>
      <c r="O40" s="9"/>
      <c r="P40" s="9"/>
      <c r="Q40" s="9"/>
      <c r="R40" s="9"/>
      <c r="S40" s="9"/>
      <c r="T40" s="9"/>
      <c r="U40" s="9"/>
      <c r="V40" s="9"/>
      <c r="W40" s="9"/>
      <c r="X40" s="9"/>
      <c r="Y40" s="9"/>
      <c r="Z40" s="9"/>
    </row>
    <row r="41" spans="1:26" ht="13.5" customHeight="1" x14ac:dyDescent="0.25">
      <c r="A41" s="10"/>
      <c r="B41" s="9"/>
      <c r="C41" s="9"/>
      <c r="D41" s="9"/>
      <c r="E41" s="9"/>
      <c r="F41" s="9"/>
      <c r="G41" s="9"/>
      <c r="H41" s="9"/>
      <c r="I41" s="9"/>
      <c r="J41" s="9"/>
      <c r="K41" s="9"/>
      <c r="L41" s="9"/>
      <c r="M41" s="9"/>
      <c r="N41" s="9"/>
      <c r="O41" s="9"/>
      <c r="P41" s="9"/>
      <c r="Q41" s="9"/>
      <c r="R41" s="9"/>
      <c r="S41" s="9"/>
      <c r="T41" s="9"/>
      <c r="U41" s="9"/>
      <c r="V41" s="9"/>
      <c r="W41" s="9"/>
      <c r="X41" s="9"/>
      <c r="Y41" s="9"/>
      <c r="Z41" s="9"/>
    </row>
    <row r="42" spans="1:26" ht="13.5" customHeight="1" x14ac:dyDescent="0.25">
      <c r="A42" s="10"/>
      <c r="B42" s="9"/>
      <c r="C42" s="9"/>
      <c r="D42" s="9"/>
      <c r="E42" s="9"/>
      <c r="F42" s="9"/>
      <c r="G42" s="9"/>
      <c r="H42" s="9"/>
      <c r="I42" s="9"/>
      <c r="J42" s="9"/>
      <c r="K42" s="9"/>
      <c r="L42" s="9"/>
      <c r="M42" s="9"/>
      <c r="N42" s="9"/>
      <c r="O42" s="9"/>
      <c r="P42" s="9"/>
      <c r="Q42" s="9"/>
      <c r="R42" s="9"/>
      <c r="S42" s="9"/>
      <c r="T42" s="9"/>
      <c r="U42" s="9"/>
      <c r="V42" s="9"/>
      <c r="W42" s="9"/>
      <c r="X42" s="9"/>
      <c r="Y42" s="9"/>
      <c r="Z42" s="9"/>
    </row>
    <row r="43" spans="1:26" ht="13.5" customHeight="1" x14ac:dyDescent="0.25">
      <c r="A43" s="10" t="s">
        <v>0</v>
      </c>
      <c r="B43" s="9"/>
      <c r="C43" s="11" t="str">
        <f>Company_Name&amp;" - Relevered Beta"</f>
        <v>American Express Company - Relevered Beta</v>
      </c>
      <c r="D43" s="12"/>
      <c r="E43" s="12"/>
      <c r="F43" s="12"/>
      <c r="G43" s="13"/>
      <c r="H43" s="9"/>
      <c r="I43" s="9"/>
      <c r="J43" s="930" t="s">
        <v>654</v>
      </c>
      <c r="K43" s="928"/>
      <c r="L43" s="9"/>
      <c r="M43" s="9"/>
      <c r="N43" s="9"/>
      <c r="O43" s="9"/>
      <c r="P43" s="9"/>
      <c r="Q43" s="9"/>
      <c r="R43" s="9"/>
      <c r="S43" s="9"/>
      <c r="T43" s="9"/>
      <c r="U43" s="9"/>
      <c r="V43" s="9"/>
      <c r="W43" s="9"/>
      <c r="X43" s="9"/>
      <c r="Y43" s="9"/>
      <c r="Z43" s="9"/>
    </row>
    <row r="44" spans="1:26" ht="13.5" customHeight="1" x14ac:dyDescent="0.25">
      <c r="A44" s="10"/>
      <c r="B44" s="9"/>
      <c r="C44" s="9"/>
      <c r="D44" s="9"/>
      <c r="E44" s="9"/>
      <c r="F44" s="9"/>
      <c r="G44" s="9"/>
      <c r="H44" s="9"/>
      <c r="I44" s="9"/>
      <c r="J44" s="995" t="s">
        <v>655</v>
      </c>
      <c r="K44" s="934"/>
      <c r="L44" s="9"/>
      <c r="M44" s="9"/>
      <c r="N44" s="9"/>
      <c r="O44" s="9"/>
      <c r="P44" s="9"/>
      <c r="Q44" s="9"/>
      <c r="R44" s="9"/>
      <c r="S44" s="9"/>
      <c r="T44" s="9"/>
      <c r="U44" s="9"/>
      <c r="V44" s="9"/>
      <c r="W44" s="9"/>
      <c r="X44" s="9"/>
      <c r="Y44" s="9"/>
      <c r="Z44" s="9"/>
    </row>
    <row r="45" spans="1:26" ht="13.5" customHeight="1" x14ac:dyDescent="0.25">
      <c r="A45" s="10"/>
      <c r="B45" s="9"/>
      <c r="C45" s="9"/>
      <c r="D45" s="64" t="s">
        <v>656</v>
      </c>
      <c r="E45" s="64" t="s">
        <v>657</v>
      </c>
      <c r="F45" s="64" t="s">
        <v>644</v>
      </c>
      <c r="G45" s="64" t="s">
        <v>658</v>
      </c>
      <c r="H45" s="9"/>
      <c r="I45" s="9"/>
      <c r="J45" s="9"/>
      <c r="K45" s="9"/>
      <c r="L45" s="9"/>
      <c r="M45" s="9"/>
      <c r="N45" s="9"/>
      <c r="O45" s="9"/>
      <c r="P45" s="9"/>
      <c r="Q45" s="9"/>
      <c r="R45" s="9"/>
      <c r="S45" s="9"/>
      <c r="T45" s="9"/>
      <c r="U45" s="9"/>
      <c r="V45" s="9"/>
      <c r="W45" s="9"/>
      <c r="X45" s="9"/>
      <c r="Y45" s="9"/>
      <c r="Z45" s="9"/>
    </row>
    <row r="46" spans="1:26" ht="13.5" customHeight="1" x14ac:dyDescent="0.25">
      <c r="A46" s="10"/>
      <c r="B46" s="9"/>
      <c r="C46" s="9"/>
      <c r="D46" s="64" t="s">
        <v>490</v>
      </c>
      <c r="E46" s="64" t="s">
        <v>495</v>
      </c>
      <c r="F46" s="64" t="s">
        <v>646</v>
      </c>
      <c r="G46" s="64" t="s">
        <v>490</v>
      </c>
      <c r="H46" s="9"/>
      <c r="I46" s="9"/>
      <c r="J46" s="9"/>
      <c r="K46" s="9"/>
      <c r="L46" s="9"/>
      <c r="M46" s="9"/>
      <c r="N46" s="9"/>
      <c r="O46" s="9"/>
      <c r="P46" s="9"/>
      <c r="Q46" s="9"/>
      <c r="R46" s="9"/>
      <c r="S46" s="9"/>
      <c r="T46" s="9"/>
      <c r="U46" s="9"/>
      <c r="V46" s="9"/>
      <c r="W46" s="9"/>
      <c r="X46" s="9"/>
      <c r="Y46" s="9"/>
      <c r="Z46" s="9"/>
    </row>
    <row r="47" spans="1:26" ht="13.5" customHeight="1" x14ac:dyDescent="0.25">
      <c r="A47" s="10"/>
      <c r="B47" s="9"/>
      <c r="C47" s="180" t="s">
        <v>659</v>
      </c>
      <c r="D47" s="629">
        <f>G39</f>
        <v>0.74354691259190941</v>
      </c>
      <c r="E47" s="630">
        <f>Comparables!O27</f>
        <v>1.909213</v>
      </c>
      <c r="F47" s="631">
        <f>Tax_Rate</f>
        <v>0.21360508205399684</v>
      </c>
      <c r="G47" s="632">
        <f>IF(ISERROR(D47*(1+(1-F47)*E47)),"NA",(D47*(1+(1-F47)*E47)))</f>
        <v>1.8599048271958618</v>
      </c>
      <c r="H47" s="9"/>
      <c r="I47" s="9"/>
      <c r="J47" s="9"/>
      <c r="K47" s="9"/>
      <c r="L47" s="9"/>
      <c r="M47" s="9"/>
      <c r="N47" s="9"/>
      <c r="O47" s="9"/>
      <c r="P47" s="9"/>
      <c r="Q47" s="9"/>
      <c r="R47" s="9"/>
      <c r="S47" s="9"/>
      <c r="T47" s="9"/>
      <c r="U47" s="9"/>
      <c r="V47" s="9"/>
      <c r="W47" s="9"/>
      <c r="X47" s="9"/>
      <c r="Y47" s="9"/>
      <c r="Z47" s="9"/>
    </row>
    <row r="48" spans="1:26" ht="13.5" customHeight="1" x14ac:dyDescent="0.25">
      <c r="A48" s="10"/>
      <c r="B48" s="9"/>
      <c r="C48" s="9"/>
      <c r="D48" s="9"/>
      <c r="E48" s="9"/>
      <c r="F48" s="9"/>
      <c r="G48" s="9"/>
      <c r="H48" s="9"/>
      <c r="I48" s="9"/>
      <c r="J48" s="9"/>
      <c r="K48" s="9"/>
      <c r="L48" s="9"/>
      <c r="M48" s="9"/>
      <c r="N48" s="9"/>
      <c r="O48" s="9"/>
      <c r="P48" s="9"/>
      <c r="Q48" s="9"/>
      <c r="R48" s="9"/>
      <c r="S48" s="9"/>
      <c r="T48" s="9"/>
      <c r="U48" s="9"/>
      <c r="V48" s="9"/>
      <c r="W48" s="9"/>
      <c r="X48" s="9"/>
      <c r="Y48" s="9"/>
      <c r="Z48" s="9"/>
    </row>
    <row r="49" spans="1:26" ht="13.5" customHeight="1" x14ac:dyDescent="0.25">
      <c r="A49" s="10"/>
      <c r="B49" s="9"/>
      <c r="C49" s="180" t="str">
        <f>Company_Name&amp;" Levered Beta"</f>
        <v>American Express Company Levered Beta</v>
      </c>
      <c r="D49" s="633"/>
      <c r="E49" s="634"/>
      <c r="F49" s="634"/>
      <c r="G49" s="635">
        <f>Comparables!H27</f>
        <v>1.1511</v>
      </c>
      <c r="H49" s="9"/>
      <c r="I49" s="9"/>
      <c r="J49" s="9"/>
      <c r="K49" s="9"/>
      <c r="L49" s="9"/>
      <c r="M49" s="9"/>
      <c r="N49" s="9"/>
      <c r="O49" s="9"/>
      <c r="P49" s="9"/>
      <c r="Q49" s="9"/>
      <c r="R49" s="9"/>
      <c r="S49" s="9"/>
      <c r="T49" s="9"/>
      <c r="U49" s="9"/>
      <c r="V49" s="9"/>
      <c r="W49" s="9"/>
      <c r="X49" s="9"/>
      <c r="Y49" s="9"/>
      <c r="Z49" s="9"/>
    </row>
    <row r="50" spans="1:26" ht="13.5" customHeight="1" x14ac:dyDescent="0.25">
      <c r="A50" s="10"/>
      <c r="B50" s="9"/>
      <c r="C50" s="9"/>
      <c r="D50" s="9"/>
      <c r="E50" s="9"/>
      <c r="F50" s="9"/>
      <c r="G50" s="9"/>
      <c r="H50" s="9"/>
      <c r="I50" s="9"/>
      <c r="J50" s="9"/>
      <c r="K50" s="9"/>
      <c r="L50" s="9"/>
      <c r="M50" s="9"/>
      <c r="N50" s="9"/>
      <c r="O50" s="9"/>
      <c r="P50" s="9"/>
      <c r="Q50" s="9"/>
      <c r="R50" s="9"/>
      <c r="S50" s="9"/>
      <c r="T50" s="9"/>
      <c r="U50" s="9"/>
      <c r="V50" s="9"/>
      <c r="W50" s="9"/>
      <c r="X50" s="9"/>
      <c r="Y50" s="9"/>
      <c r="Z50" s="9"/>
    </row>
    <row r="51" spans="1:26" ht="13.5" customHeight="1" x14ac:dyDescent="0.25">
      <c r="A51" s="10" t="s">
        <v>0</v>
      </c>
      <c r="B51" s="9"/>
      <c r="C51" s="9"/>
      <c r="D51" s="9"/>
      <c r="E51" s="9"/>
      <c r="F51" s="9"/>
      <c r="G51" s="9"/>
      <c r="H51" s="9"/>
      <c r="I51" s="9"/>
      <c r="J51" s="9"/>
      <c r="K51" s="9"/>
      <c r="L51" s="9"/>
      <c r="M51" s="9"/>
      <c r="N51" s="9"/>
      <c r="O51" s="9"/>
      <c r="P51" s="9"/>
      <c r="Q51" s="9"/>
      <c r="R51" s="10" t="s">
        <v>0</v>
      </c>
      <c r="S51" s="9"/>
      <c r="T51" s="9"/>
      <c r="U51" s="9"/>
      <c r="V51" s="9"/>
      <c r="W51" s="9"/>
      <c r="X51" s="9"/>
      <c r="Y51" s="9"/>
      <c r="Z51" s="9"/>
    </row>
    <row r="52" spans="1:26" ht="13.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L22:P22"/>
    <mergeCell ref="J24:J28"/>
    <mergeCell ref="J31:M31"/>
    <mergeCell ref="J43:K43"/>
    <mergeCell ref="J44:K44"/>
  </mergeCells>
  <conditionalFormatting sqref="C33:F37">
    <cfRule type="expression" dxfId="139" priority="1">
      <formula>$R$5="Report"</formula>
    </cfRule>
  </conditionalFormatting>
  <conditionalFormatting sqref="E47 G49">
    <cfRule type="expression" dxfId="138" priority="2">
      <formula>$R$5="Report"</formula>
    </cfRule>
  </conditionalFormatting>
  <conditionalFormatting sqref="G6:G8 G10">
    <cfRule type="expression" dxfId="137" priority="3">
      <formula>$R$5="Working"</formula>
    </cfRule>
  </conditionalFormatting>
  <conditionalFormatting sqref="G6:G10">
    <cfRule type="expression" dxfId="136" priority="4">
      <formula>$R$5="Report"</formula>
    </cfRule>
  </conditionalFormatting>
  <conditionalFormatting sqref="G9">
    <cfRule type="expression" dxfId="135" priority="5">
      <formula>$R$5="Working"</formula>
    </cfRule>
  </conditionalFormatting>
  <conditionalFormatting sqref="M33:M34 M36:M37">
    <cfRule type="expression" dxfId="134" priority="6">
      <formula>$R$5="Report"</formula>
    </cfRule>
    <cfRule type="expression" dxfId="133" priority="7">
      <formula>$R$5="Working"</formula>
    </cfRule>
  </conditionalFormatting>
  <conditionalFormatting sqref="N33">
    <cfRule type="expression" dxfId="132" priority="8">
      <formula>$R$2="Report"</formula>
    </cfRule>
    <cfRule type="expression" dxfId="131" priority="9">
      <formula>N33&lt;&gt;0</formula>
    </cfRule>
    <cfRule type="expression" dxfId="130" priority="10">
      <formula>$AQ$2="Report"</formula>
    </cfRule>
  </conditionalFormatting>
  <conditionalFormatting sqref="N36">
    <cfRule type="expression" dxfId="129" priority="11">
      <formula>$R$2="Report"</formula>
    </cfRule>
    <cfRule type="expression" dxfId="128" priority="12">
      <formula>N36&lt;&gt;0</formula>
    </cfRule>
    <cfRule type="expression" dxfId="127" priority="13">
      <formula>$AQ$2="Report"</formula>
    </cfRule>
  </conditionalFormatting>
  <conditionalFormatting sqref="Q20">
    <cfRule type="expression" dxfId="126" priority="14">
      <formula>$R$2="Report"</formula>
    </cfRule>
    <cfRule type="expression" dxfId="125" priority="15">
      <formula>Q20&lt;&gt;0</formula>
    </cfRule>
    <cfRule type="expression" dxfId="124" priority="16">
      <formula>$AQ$2="Report"</formula>
    </cfRule>
  </conditionalFormatting>
  <dataValidations count="2">
    <dataValidation type="list" allowBlank="1" showErrorMessage="1" sqref="R5" xr:uid="{00000000-0002-0000-0C00-000000000000}">
      <formula1>"Report,Working"</formula1>
    </dataValidation>
    <dataValidation type="list" allowBlank="1" showErrorMessage="1" sqref="J44" xr:uid="{00000000-0002-0000-0C00-000001000000}">
      <formula1>"Comps Relevered Beta,Target Company Beta"</formula1>
    </dataValidation>
  </dataValidations>
  <pageMargins left="0.7" right="0.7" top="0.75" bottom="0.75" header="0" footer="0"/>
  <pageSetup orientation="portrait"/>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60000"/>
  </sheetPr>
  <dimension ref="A1:AB992"/>
  <sheetViews>
    <sheetView showGridLines="0" zoomScale="80" zoomScaleNormal="80" workbookViewId="0">
      <pane ySplit="2" topLeftCell="A3" activePane="bottomLeft" state="frozen"/>
      <selection pane="bottomLeft"/>
    </sheetView>
  </sheetViews>
  <sheetFormatPr defaultColWidth="14.42578125" defaultRowHeight="15" customHeight="1" outlineLevelRow="1" outlineLevelCol="1" x14ac:dyDescent="0.25"/>
  <cols>
    <col min="1" max="2" width="1.7109375" customWidth="1"/>
    <col min="3" max="3" width="22.7109375" customWidth="1"/>
    <col min="4" max="5" width="16.28515625" customWidth="1"/>
    <col min="6" max="6" width="19.5703125" customWidth="1"/>
    <col min="7" max="18" width="16.28515625" customWidth="1"/>
    <col min="19" max="20" width="1.7109375" customWidth="1"/>
    <col min="21" max="21" width="12.7109375" customWidth="1"/>
    <col min="22" max="22" width="15.7109375" customWidth="1"/>
    <col min="23" max="23" width="12.7109375" customWidth="1"/>
    <col min="24" max="28" width="12.7109375" customWidth="1" outlineLevel="1"/>
  </cols>
  <sheetData>
    <row r="1" spans="1:28" ht="13.5" customHeight="1" x14ac:dyDescent="0.35">
      <c r="A1" s="278"/>
      <c r="B1" s="4"/>
      <c r="C1" s="5" t="str">
        <f ca="1">Company_Name&amp;" - "&amp;MID(CELL("filename",A1),FIND("]",CELL("filename",A1))+1,255)&amp;": "&amp;Case_Scenario&amp;" Case"</f>
        <v>American Express Company - Valuation: Base Case</v>
      </c>
      <c r="D1" s="4"/>
      <c r="E1" s="4"/>
      <c r="F1" s="4"/>
      <c r="G1" s="4"/>
      <c r="H1" s="4"/>
      <c r="I1" s="4"/>
      <c r="J1" s="4"/>
      <c r="K1" s="4"/>
      <c r="L1" s="4"/>
      <c r="M1" s="4"/>
      <c r="N1" s="4"/>
      <c r="O1" s="4"/>
      <c r="P1" s="4"/>
      <c r="Q1" s="4"/>
      <c r="R1" s="6" t="s">
        <v>1</v>
      </c>
      <c r="S1" s="4"/>
      <c r="T1" s="4"/>
      <c r="U1" s="4"/>
      <c r="V1" s="4"/>
      <c r="W1" s="4"/>
      <c r="X1" s="4"/>
      <c r="Y1" s="4"/>
      <c r="Z1" s="4"/>
      <c r="AA1" s="4"/>
      <c r="AB1" s="4"/>
    </row>
    <row r="2" spans="1:28" ht="13.5" customHeight="1" x14ac:dyDescent="0.25">
      <c r="A2" s="279"/>
      <c r="B2" s="2"/>
      <c r="C2" s="7" t="str">
        <f>Cover!C2</f>
        <v>$ in Millions Except Per Share Data</v>
      </c>
      <c r="D2" s="2"/>
      <c r="E2" s="2"/>
      <c r="F2" s="2"/>
      <c r="G2" s="2"/>
      <c r="H2" s="2"/>
      <c r="I2" s="2"/>
      <c r="J2" s="2"/>
      <c r="K2" s="2"/>
      <c r="L2" s="2"/>
      <c r="M2" s="2"/>
      <c r="N2" s="2"/>
      <c r="O2" s="2"/>
      <c r="P2" s="2"/>
      <c r="Q2" s="2"/>
      <c r="R2" s="8" t="s">
        <v>1154</v>
      </c>
      <c r="S2" s="2"/>
      <c r="T2" s="2"/>
      <c r="U2" s="2"/>
      <c r="V2" s="2"/>
      <c r="W2" s="2"/>
      <c r="X2" s="2"/>
      <c r="Y2" s="2"/>
      <c r="Z2" s="2"/>
      <c r="AA2" s="2"/>
      <c r="AB2" s="2"/>
    </row>
    <row r="3" spans="1:28" ht="13.5" customHeight="1" x14ac:dyDescent="0.25">
      <c r="A3" s="3"/>
      <c r="B3" s="9"/>
      <c r="C3" s="9"/>
      <c r="D3" s="9"/>
      <c r="E3" s="9"/>
      <c r="F3" s="9"/>
      <c r="G3" s="9"/>
      <c r="H3" s="9"/>
      <c r="I3" s="9"/>
      <c r="J3" s="9"/>
      <c r="K3" s="9"/>
      <c r="L3" s="9"/>
      <c r="M3" s="9"/>
      <c r="N3" s="9"/>
      <c r="O3" s="9"/>
      <c r="P3" s="9"/>
      <c r="Q3" s="9"/>
      <c r="R3" s="9"/>
      <c r="S3" s="9"/>
      <c r="T3" s="9"/>
      <c r="U3" s="9"/>
      <c r="V3" s="9"/>
      <c r="W3" s="9"/>
      <c r="X3" s="9"/>
      <c r="Y3" s="9"/>
      <c r="Z3" s="9"/>
      <c r="AA3" s="9"/>
      <c r="AB3" s="9"/>
    </row>
    <row r="4" spans="1:28" ht="13.5" customHeight="1" x14ac:dyDescent="0.25">
      <c r="A4" s="205" t="s">
        <v>0</v>
      </c>
      <c r="B4" s="9"/>
      <c r="C4" s="953" t="s">
        <v>31</v>
      </c>
      <c r="D4" s="954"/>
      <c r="E4" s="954"/>
      <c r="F4" s="954"/>
      <c r="G4" s="954"/>
      <c r="H4" s="954"/>
      <c r="I4" s="954"/>
      <c r="J4" s="954"/>
      <c r="K4" s="954"/>
      <c r="L4" s="954"/>
      <c r="M4" s="954"/>
      <c r="N4" s="954"/>
      <c r="O4" s="954"/>
      <c r="P4" s="954"/>
      <c r="Q4" s="954"/>
      <c r="R4" s="955"/>
      <c r="S4" s="205" t="s">
        <v>0</v>
      </c>
      <c r="T4" s="9"/>
      <c r="U4" s="9"/>
      <c r="V4" s="636" t="s">
        <v>660</v>
      </c>
      <c r="W4" s="637" t="str">
        <f>IF(SUM(L9:L22)=100%,"Good", "Check")</f>
        <v>Good</v>
      </c>
      <c r="X4" s="9"/>
      <c r="Y4" s="9"/>
      <c r="Z4" s="9"/>
      <c r="AA4" s="9"/>
      <c r="AB4" s="9"/>
    </row>
    <row r="5" spans="1:28" ht="4.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row>
    <row r="6" spans="1:28" ht="14.25" customHeight="1" x14ac:dyDescent="0.25">
      <c r="A6" s="9"/>
      <c r="B6" s="9"/>
      <c r="C6" s="638" t="s">
        <v>390</v>
      </c>
      <c r="D6" s="75" t="s">
        <v>661</v>
      </c>
      <c r="E6" s="75" t="s">
        <v>662</v>
      </c>
      <c r="F6" s="639" t="s">
        <v>663</v>
      </c>
      <c r="G6" s="640" t="s">
        <v>664</v>
      </c>
      <c r="H6" s="9"/>
      <c r="I6" s="9"/>
      <c r="J6" s="9"/>
      <c r="K6" s="9"/>
      <c r="L6" s="999" t="s">
        <v>665</v>
      </c>
      <c r="M6" s="1000"/>
      <c r="N6" s="1000"/>
      <c r="O6" s="1000"/>
      <c r="P6" s="1000"/>
      <c r="Q6" s="1000"/>
      <c r="R6" s="986"/>
      <c r="S6" s="9"/>
      <c r="T6" s="9"/>
      <c r="U6" s="9"/>
      <c r="V6" s="9"/>
      <c r="W6" s="9"/>
      <c r="X6" s="9"/>
      <c r="Y6" s="9"/>
      <c r="Z6" s="9"/>
      <c r="AA6" s="9"/>
      <c r="AB6" s="9"/>
    </row>
    <row r="7" spans="1:28" ht="14.25" customHeight="1" x14ac:dyDescent="0.25">
      <c r="A7" s="9"/>
      <c r="B7" s="9"/>
      <c r="C7" s="641">
        <f>Diluted_Shares</f>
        <v>686</v>
      </c>
      <c r="D7" s="642">
        <f>Share_Price</f>
        <v>314.89</v>
      </c>
      <c r="E7" s="643">
        <f>C7*D7</f>
        <v>216014.53999999998</v>
      </c>
      <c r="F7" s="643">
        <f ca="1">Model!V140-Model!V120</f>
        <v>-1724.8324425108876</v>
      </c>
      <c r="G7" s="643">
        <f ca="1">SUM(E7:F7)</f>
        <v>216060.19609103969</v>
      </c>
      <c r="H7" s="9"/>
      <c r="I7" s="9"/>
      <c r="J7" s="9"/>
      <c r="K7" s="9"/>
      <c r="L7" s="638"/>
      <c r="M7" s="75" t="s">
        <v>666</v>
      </c>
      <c r="N7" s="75"/>
      <c r="O7" s="75"/>
      <c r="P7" s="75"/>
      <c r="Q7" s="75" t="s">
        <v>667</v>
      </c>
      <c r="R7" s="35" t="s">
        <v>668</v>
      </c>
      <c r="S7" s="9"/>
      <c r="T7" s="9"/>
      <c r="U7" s="9"/>
      <c r="V7" s="9"/>
      <c r="W7" s="9"/>
      <c r="X7" s="9"/>
      <c r="Y7" s="9"/>
      <c r="Z7" s="9"/>
      <c r="AA7" s="9"/>
      <c r="AB7" s="9"/>
    </row>
    <row r="8" spans="1:28" ht="14.25" customHeight="1" x14ac:dyDescent="0.25">
      <c r="A8" s="9"/>
      <c r="B8" s="9"/>
      <c r="C8" s="9"/>
      <c r="D8" s="9"/>
      <c r="E8" s="9"/>
      <c r="F8" s="9"/>
      <c r="G8" s="9"/>
      <c r="H8" s="9"/>
      <c r="I8" s="9"/>
      <c r="J8" s="9"/>
      <c r="K8" s="9"/>
      <c r="L8" s="9"/>
      <c r="M8" s="204" t="s">
        <v>1151</v>
      </c>
      <c r="N8" s="9"/>
      <c r="O8" s="9"/>
      <c r="P8" s="9"/>
      <c r="Q8" s="644"/>
      <c r="R8" s="151"/>
      <c r="S8" s="9"/>
      <c r="T8" s="9"/>
      <c r="U8" s="9"/>
      <c r="V8" s="9"/>
      <c r="W8" s="9"/>
      <c r="X8" s="9"/>
      <c r="Y8" s="9"/>
      <c r="Z8" s="9"/>
      <c r="AA8" s="9"/>
      <c r="AB8" s="9"/>
    </row>
    <row r="9" spans="1:28" ht="14.25" customHeight="1" x14ac:dyDescent="0.25">
      <c r="A9" s="9"/>
      <c r="B9" s="645" t="str">
        <f>C9</f>
        <v>Primary Peer Group</v>
      </c>
      <c r="C9" s="999" t="str">
        <f>'Multiples Data'!L4</f>
        <v>Primary Peer Group</v>
      </c>
      <c r="D9" s="1000"/>
      <c r="E9" s="1000"/>
      <c r="F9" s="1000"/>
      <c r="G9" s="1000"/>
      <c r="H9" s="1000"/>
      <c r="I9" s="1000"/>
      <c r="J9" s="1001"/>
      <c r="K9" s="9"/>
      <c r="L9" s="646">
        <v>0</v>
      </c>
      <c r="M9" s="84" t="s">
        <v>143</v>
      </c>
      <c r="N9" s="9"/>
      <c r="O9" s="9"/>
      <c r="P9" s="9"/>
      <c r="Q9" s="644">
        <f ca="1">$AB$65</f>
        <v>428.04329935495718</v>
      </c>
      <c r="R9" s="151">
        <f ca="1">Q9/Share_Price-1</f>
        <v>0.36519518834903741</v>
      </c>
      <c r="S9" s="9"/>
      <c r="T9" s="9"/>
      <c r="U9" s="9"/>
      <c r="V9" s="9"/>
      <c r="W9" s="9"/>
      <c r="X9" s="9"/>
      <c r="Y9" s="9"/>
      <c r="Z9" s="9"/>
      <c r="AA9" s="9"/>
      <c r="AB9" s="9"/>
    </row>
    <row r="10" spans="1:28" ht="14.25" customHeight="1" x14ac:dyDescent="0.25">
      <c r="A10" s="9"/>
      <c r="B10" s="645" t="str">
        <f>C14</f>
        <v>Defense Peer Group</v>
      </c>
      <c r="C10" s="309"/>
      <c r="D10" s="647" t="str">
        <f>Ticker</f>
        <v>AXP</v>
      </c>
      <c r="E10" s="647" t="s">
        <v>147</v>
      </c>
      <c r="F10" s="648" t="str">
        <f>'Multiples Data'!M$6</f>
        <v>Visa Inc.</v>
      </c>
      <c r="G10" s="648" t="str">
        <f>'Multiples Data'!N$6</f>
        <v>Mastercard Incorporated</v>
      </c>
      <c r="H10" s="648" t="str">
        <f>'Multiples Data'!O$6</f>
        <v>Capital One Financial Corporation</v>
      </c>
      <c r="I10" s="648" t="str">
        <f>'Multiples Data'!P$6</f>
        <v>JPMorgan Chase &amp; Co.</v>
      </c>
      <c r="J10" s="648"/>
      <c r="K10" s="9"/>
      <c r="L10" s="646">
        <v>0</v>
      </c>
      <c r="M10" s="84" t="s">
        <v>669</v>
      </c>
      <c r="N10" s="9"/>
      <c r="O10" s="9"/>
      <c r="P10" s="9"/>
      <c r="Q10" s="644">
        <f>$R$68</f>
        <v>0</v>
      </c>
      <c r="R10" s="151">
        <f>Q10/Share_Price-1</f>
        <v>-1</v>
      </c>
      <c r="S10" s="9"/>
      <c r="T10" s="9"/>
      <c r="U10" s="9"/>
      <c r="V10" s="9"/>
      <c r="W10" s="9"/>
      <c r="X10" s="9"/>
      <c r="Y10" s="9"/>
      <c r="Z10" s="9"/>
      <c r="AA10" s="9"/>
      <c r="AB10" s="9"/>
    </row>
    <row r="11" spans="1:28" ht="14.25" customHeight="1" x14ac:dyDescent="0.25">
      <c r="A11" s="9"/>
      <c r="B11" s="645" t="str">
        <f>C19</f>
        <v>Cap. Goods Peer Group</v>
      </c>
      <c r="C11" s="64" t="s">
        <v>133</v>
      </c>
      <c r="D11" s="649">
        <f>IF($D$24="LTM",'Multiples Data'!L$86,IF($D$24="NTM",'Multiples Data'!R$86,"N/A"))</f>
        <v>16.643763590749799</v>
      </c>
      <c r="E11" s="650">
        <f t="shared" ref="E11:E12" si="0">AVERAGE(F11:J11)</f>
        <v>18.669753519179444</v>
      </c>
      <c r="F11" s="651">
        <f>IF($D$24="LTM",'Multiples Data'!M$86,IF($D$24="NTM",'Multiples Data'!S$86,"N/A"))</f>
        <v>24.192179067883799</v>
      </c>
      <c r="G11" s="651">
        <f>IF($D$24="LTM",'Multiples Data'!N$86,IF($D$24="NTM",'Multiples Data'!T$86,"N/A"))</f>
        <v>28.677359787741299</v>
      </c>
      <c r="H11" s="651">
        <f>IF($D$24="LTM",'Multiples Data'!O$86,IF($D$24="NTM",'Multiples Data'!U$86,"N/A"))</f>
        <v>9.5665769704675796</v>
      </c>
      <c r="I11" s="651">
        <f>IF($D$24="LTM",'Multiples Data'!P$86,IF($D$24="NTM",'Multiples Data'!V$86,"N/A"))</f>
        <v>12.2428982506251</v>
      </c>
      <c r="J11" s="651"/>
      <c r="K11" s="9"/>
      <c r="L11" s="9"/>
      <c r="M11" s="204" t="s">
        <v>670</v>
      </c>
      <c r="N11" s="9"/>
      <c r="O11" s="9"/>
      <c r="P11" s="9"/>
      <c r="Q11" s="644"/>
      <c r="R11" s="151"/>
      <c r="S11" s="9"/>
      <c r="T11" s="9"/>
      <c r="U11" s="9"/>
      <c r="V11" s="9"/>
      <c r="W11" s="9"/>
      <c r="X11" s="9"/>
      <c r="Y11" s="9"/>
      <c r="Z11" s="9"/>
      <c r="AA11" s="9"/>
      <c r="AB11" s="9"/>
    </row>
    <row r="12" spans="1:28" ht="14.25" customHeight="1" x14ac:dyDescent="0.25">
      <c r="A12" s="9"/>
      <c r="B12" s="645" t="str">
        <f>Company_Name</f>
        <v>American Express Company</v>
      </c>
      <c r="C12" s="64" t="s">
        <v>135</v>
      </c>
      <c r="D12" s="652">
        <f>IF($D$24="LTM",'Multiples Data'!X$86,IF($D$24="NTM",'Multiples Data'!AD$86,"N/A"))</f>
        <v>16.6069707406422</v>
      </c>
      <c r="E12" s="653">
        <f t="shared" si="0"/>
        <v>13.441634648398686</v>
      </c>
      <c r="F12" s="651">
        <f>IF($D$24="LTM",'Multiples Data'!Y$86,IF($D$24="NTM",'Multiples Data'!AE$86,"N/A"))</f>
        <v>21.481584788259699</v>
      </c>
      <c r="G12" s="651">
        <f>IF($D$24="LTM",'Multiples Data'!Z$86,IF($D$24="NTM",'Multiples Data'!AF$86,"N/A"))</f>
        <v>22.5743545424071</v>
      </c>
      <c r="H12" s="651">
        <f>IF($D$24="LTM",'Multiples Data'!AA$86,IF($D$24="NTM",'Multiples Data'!AG$86,"N/A"))</f>
        <v>9.7105992629279392</v>
      </c>
      <c r="I12" s="651">
        <f>IF($D$24="LTM",'Multiples Data'!AB$86,IF($D$24="NTM",'Multiples Data'!AH$86,"N/A"))</f>
        <v>0</v>
      </c>
      <c r="J12" s="651"/>
      <c r="K12" s="9"/>
      <c r="L12" s="646">
        <v>1</v>
      </c>
      <c r="M12" s="84" t="str">
        <f>$G$136&amp;" P/E"</f>
        <v>NTM P/E</v>
      </c>
      <c r="N12" s="9"/>
      <c r="O12" s="9"/>
      <c r="P12" s="9"/>
      <c r="Q12" s="644">
        <f>$F$118</f>
        <v>362.3673553684867</v>
      </c>
      <c r="R12" s="151">
        <f>Q12/Share_Price-1</f>
        <v>0.15077441445738748</v>
      </c>
      <c r="S12" s="9"/>
      <c r="T12" s="9"/>
      <c r="U12" s="9"/>
      <c r="V12" s="9"/>
      <c r="W12" s="9"/>
      <c r="X12" s="9"/>
      <c r="Y12" s="9"/>
      <c r="Z12" s="9"/>
      <c r="AA12" s="9"/>
      <c r="AB12" s="9"/>
    </row>
    <row r="13" spans="1:28" ht="14.25" customHeight="1" x14ac:dyDescent="0.25">
      <c r="A13" s="9"/>
      <c r="B13" s="9"/>
      <c r="C13" s="9"/>
      <c r="D13" s="9"/>
      <c r="E13" s="9"/>
      <c r="F13" s="9"/>
      <c r="G13" s="9"/>
      <c r="H13" s="9"/>
      <c r="I13" s="9"/>
      <c r="J13" s="9"/>
      <c r="K13" s="9"/>
      <c r="L13" s="911">
        <v>0</v>
      </c>
      <c r="M13" s="912" t="str">
        <f>$G$136&amp;" P/E Spread to Comps"</f>
        <v>NTM P/E Spread to Comps</v>
      </c>
      <c r="N13" s="871"/>
      <c r="O13" s="871"/>
      <c r="P13" s="871"/>
      <c r="Q13" s="910">
        <f>$J$118</f>
        <v>320.24472869532275</v>
      </c>
      <c r="R13" s="909">
        <f>Q13/Share_Price-1</f>
        <v>1.7005076996166268E-2</v>
      </c>
      <c r="S13" s="9"/>
      <c r="T13" s="9"/>
      <c r="U13" s="9"/>
      <c r="V13" s="9"/>
      <c r="W13" s="9"/>
      <c r="X13" s="9"/>
      <c r="Y13" s="9"/>
      <c r="Z13" s="9"/>
      <c r="AA13" s="9"/>
      <c r="AB13" s="9"/>
    </row>
    <row r="14" spans="1:28" ht="14.25" hidden="1" customHeight="1" outlineLevel="1" x14ac:dyDescent="0.25">
      <c r="A14" s="9"/>
      <c r="B14" s="9"/>
      <c r="C14" s="999" t="str">
        <f>'Multiples Data'!AL4</f>
        <v>Defense Peer Group</v>
      </c>
      <c r="D14" s="1000"/>
      <c r="E14" s="1000"/>
      <c r="F14" s="1000"/>
      <c r="G14" s="1000"/>
      <c r="H14" s="1000"/>
      <c r="I14" s="1000"/>
      <c r="J14" s="986"/>
      <c r="K14" s="9"/>
      <c r="L14" s="646">
        <v>0</v>
      </c>
      <c r="M14" s="84" t="str">
        <f>$G$136&amp;" EV/EBITDA"</f>
        <v>NTM EV/EBITDA</v>
      </c>
      <c r="N14" s="9"/>
      <c r="O14" s="9"/>
      <c r="P14" s="9"/>
      <c r="Q14" s="644">
        <f ca="1">$N$129</f>
        <v>335.71783764500725</v>
      </c>
      <c r="R14" s="151">
        <f ca="1">Q14/Share_Price-1</f>
        <v>7.0733678781039755E-2</v>
      </c>
      <c r="S14" s="9"/>
      <c r="T14" s="9"/>
      <c r="U14" s="9"/>
      <c r="V14" s="9"/>
      <c r="W14" s="9"/>
      <c r="X14" s="9"/>
      <c r="Y14" s="9"/>
      <c r="Z14" s="9"/>
      <c r="AA14" s="9"/>
      <c r="AB14" s="9"/>
    </row>
    <row r="15" spans="1:28" ht="14.25" hidden="1" customHeight="1" outlineLevel="1" x14ac:dyDescent="0.25">
      <c r="A15" s="9"/>
      <c r="B15" s="9"/>
      <c r="C15" s="309"/>
      <c r="D15" s="647" t="str">
        <f>Ticker</f>
        <v>AXP</v>
      </c>
      <c r="E15" s="647" t="s">
        <v>147</v>
      </c>
      <c r="F15" s="648" t="str">
        <f>'Multiples Data'!AM$6</f>
        <v>Raytheon</v>
      </c>
      <c r="G15" s="647" t="str">
        <f>'Multiples Data'!AN$6</f>
        <v>Boeing</v>
      </c>
      <c r="H15" s="647" t="str">
        <f>'Multiples Data'!AO$6</f>
        <v>Huntington Ingalls</v>
      </c>
      <c r="I15" s="647" t="str">
        <f>'Multiples Data'!AP$6</f>
        <v>Lockheed Martin</v>
      </c>
      <c r="J15" s="654" t="str">
        <f>'Multiples Data'!AQ$6</f>
        <v>Northrop Grumman</v>
      </c>
      <c r="K15" s="9"/>
      <c r="L15" s="646">
        <v>0</v>
      </c>
      <c r="M15" s="84" t="str">
        <f>$G$136&amp;" EV/EBITDA Spread to Comps"</f>
        <v>NTM EV/EBITDA Spread to Comps</v>
      </c>
      <c r="N15" s="9"/>
      <c r="O15" s="9"/>
      <c r="P15" s="9"/>
      <c r="Q15" s="644">
        <f ca="1">$R$129</f>
        <v>294.43203451222189</v>
      </c>
      <c r="R15" s="151">
        <f ca="1">Q15/Share_Price-1</f>
        <v>-6.0942672347318094E-2</v>
      </c>
      <c r="S15" s="9"/>
      <c r="T15" s="9"/>
      <c r="U15" s="9"/>
      <c r="V15" s="9"/>
      <c r="W15" s="9"/>
      <c r="X15" s="9"/>
      <c r="Y15" s="9"/>
      <c r="Z15" s="9"/>
      <c r="AA15" s="9"/>
      <c r="AB15" s="9"/>
    </row>
    <row r="16" spans="1:28" ht="14.25" hidden="1" customHeight="1" outlineLevel="1" x14ac:dyDescent="0.25">
      <c r="A16" s="9"/>
      <c r="B16" s="9"/>
      <c r="C16" s="64" t="s">
        <v>133</v>
      </c>
      <c r="D16" s="649">
        <f>D$11</f>
        <v>16.643763590749799</v>
      </c>
      <c r="E16" s="650">
        <f t="shared" ref="E16:E17" si="1">AVERAGE(F16:J16)</f>
        <v>16.207046180263621</v>
      </c>
      <c r="F16" s="651">
        <f>IF($D$24="LTM",'Multiples Data'!AM$86,IF($D$24="NTM",'Multiples Data'!AS$86,"N/A"))</f>
        <v>18.0372200865908</v>
      </c>
      <c r="G16" s="651">
        <f>IF($D$24="LTM",'Multiples Data'!AN$86,IF($D$24="NTM",'Multiples Data'!AT$86,"N/A"))</f>
        <v>18.548904045644001</v>
      </c>
      <c r="H16" s="651">
        <f>IF($D$24="LTM",'Multiples Data'!AO$86,IF($D$24="NTM",'Multiples Data'!AU$86,"N/A"))</f>
        <v>17.3009847075473</v>
      </c>
      <c r="I16" s="651">
        <f>IF($D$24="LTM",'Multiples Data'!AP$86,IF($D$24="NTM",'Multiples Data'!AV$86,"N/A"))</f>
        <v>15.0214839738927</v>
      </c>
      <c r="J16" s="651">
        <f>IF($D$24="LTM",'Multiples Data'!AQ$86,IF($D$24="NTM",'Multiples Data'!AW$86,"N/A"))</f>
        <v>12.1266380876433</v>
      </c>
      <c r="K16" s="9"/>
      <c r="L16" s="9"/>
      <c r="M16" s="204" t="s">
        <v>671</v>
      </c>
      <c r="N16" s="9"/>
      <c r="O16" s="9"/>
      <c r="P16" s="9"/>
      <c r="Q16" s="644"/>
      <c r="R16" s="151"/>
      <c r="S16" s="9"/>
      <c r="T16" s="9"/>
      <c r="U16" s="9"/>
      <c r="V16" s="9"/>
      <c r="W16" s="9"/>
      <c r="X16" s="9"/>
      <c r="Y16" s="9"/>
      <c r="Z16" s="9"/>
      <c r="AA16" s="9"/>
      <c r="AB16" s="9"/>
    </row>
    <row r="17" spans="1:28" ht="14.25" hidden="1" customHeight="1" outlineLevel="1" x14ac:dyDescent="0.25">
      <c r="A17" s="9"/>
      <c r="B17" s="9"/>
      <c r="C17" s="64" t="s">
        <v>135</v>
      </c>
      <c r="D17" s="652">
        <f>D$12</f>
        <v>16.6069707406422</v>
      </c>
      <c r="E17" s="653">
        <f t="shared" si="1"/>
        <v>12.189450395723323</v>
      </c>
      <c r="F17" s="651">
        <f>IF($D$24="LTM",'Multiples Data'!AY$86,IF($D$24="NTM",'Multiples Data'!BE$86,"N/A"))</f>
        <v>12.783834567162399</v>
      </c>
      <c r="G17" s="651">
        <f>IF($D$24="LTM",'Multiples Data'!AZ$86,IF($D$24="NTM",'Multiples Data'!BF$86,"N/A"))</f>
        <v>15.506245752162901</v>
      </c>
      <c r="H17" s="651">
        <f>IF($D$24="LTM",'Multiples Data'!BA$86,IF($D$24="NTM",'Multiples Data'!BG$86,"N/A"))</f>
        <v>11.493190886357301</v>
      </c>
      <c r="I17" s="651">
        <f>IF($D$24="LTM",'Multiples Data'!BB$86,IF($D$24="NTM",'Multiples Data'!BH$86,"N/A"))</f>
        <v>12.2156576237082</v>
      </c>
      <c r="J17" s="651">
        <f>IF($D$24="LTM",'Multiples Data'!BC$86,IF($D$24="NTM",'Multiples Data'!BI$86,"N/A"))</f>
        <v>8.9483231492258302</v>
      </c>
      <c r="K17" s="9"/>
      <c r="L17" s="646">
        <v>0</v>
      </c>
      <c r="M17" s="84" t="str">
        <f>$G$214&amp;" P/E"</f>
        <v>NTM P/E</v>
      </c>
      <c r="N17" s="9"/>
      <c r="O17" s="9"/>
      <c r="P17" s="9"/>
      <c r="Q17" s="644">
        <f>$F$196</f>
        <v>260.24205128888832</v>
      </c>
      <c r="R17" s="151">
        <f>Q17/Share_Price-1</f>
        <v>-0.17354615488301206</v>
      </c>
      <c r="S17" s="9"/>
      <c r="T17" s="9"/>
      <c r="U17" s="9"/>
      <c r="V17" s="9"/>
      <c r="W17" s="9"/>
      <c r="X17" s="9"/>
      <c r="Y17" s="9"/>
      <c r="Z17" s="9"/>
      <c r="AA17" s="9"/>
      <c r="AB17" s="9"/>
    </row>
    <row r="18" spans="1:28" ht="14.25" hidden="1" customHeight="1" outlineLevel="1" x14ac:dyDescent="0.25">
      <c r="A18" s="9"/>
      <c r="B18" s="9"/>
      <c r="C18" s="9"/>
      <c r="D18" s="9"/>
      <c r="E18" s="9"/>
      <c r="F18" s="9"/>
      <c r="G18" s="9"/>
      <c r="H18" s="9"/>
      <c r="I18" s="9"/>
      <c r="J18" s="9"/>
      <c r="K18" s="9"/>
      <c r="L18" s="646">
        <v>0</v>
      </c>
      <c r="M18" s="84" t="str">
        <f>$G$214&amp;" P/E Spread to Comps"</f>
        <v>NTM P/E Spread to Comps</v>
      </c>
      <c r="N18" s="9"/>
      <c r="O18" s="9"/>
      <c r="P18" s="9"/>
      <c r="Q18" s="644">
        <f>$J$196</f>
        <v>315.8786963210012</v>
      </c>
      <c r="R18" s="151">
        <f>Q18/Share_Price-1</f>
        <v>3.1398149226753436E-3</v>
      </c>
      <c r="S18" s="9"/>
      <c r="T18" s="9"/>
      <c r="U18" s="9"/>
      <c r="V18" s="9"/>
      <c r="W18" s="9"/>
      <c r="X18" s="9"/>
      <c r="Y18" s="9"/>
      <c r="Z18" s="9"/>
      <c r="AA18" s="9"/>
      <c r="AB18" s="9"/>
    </row>
    <row r="19" spans="1:28" ht="14.25" hidden="1" customHeight="1" outlineLevel="1" x14ac:dyDescent="0.25">
      <c r="A19" s="9"/>
      <c r="B19" s="9"/>
      <c r="C19" s="999" t="str">
        <f>'Multiples Data'!BL4</f>
        <v>Cap. Goods Peer Group</v>
      </c>
      <c r="D19" s="1000"/>
      <c r="E19" s="1000"/>
      <c r="F19" s="1000"/>
      <c r="G19" s="1000"/>
      <c r="H19" s="1000"/>
      <c r="I19" s="1000"/>
      <c r="J19" s="986"/>
      <c r="K19" s="9"/>
      <c r="L19" s="646">
        <v>0</v>
      </c>
      <c r="M19" s="84" t="str">
        <f>$G$214&amp;" EV/EBITDA"</f>
        <v>NTM EV/EBITDA</v>
      </c>
      <c r="N19" s="9"/>
      <c r="O19" s="9"/>
      <c r="P19" s="9"/>
      <c r="Q19" s="644">
        <f ca="1">$N$207</f>
        <v>423.10361360174556</v>
      </c>
      <c r="R19" s="151">
        <f ca="1">Q19/Share_Price-1</f>
        <v>0.34944062512516916</v>
      </c>
      <c r="S19" s="9"/>
      <c r="T19" s="9"/>
      <c r="U19" s="9"/>
      <c r="V19" s="9"/>
      <c r="W19" s="9"/>
      <c r="X19" s="9"/>
      <c r="Y19" s="9"/>
      <c r="Z19" s="9"/>
      <c r="AA19" s="9"/>
      <c r="AB19" s="9"/>
    </row>
    <row r="20" spans="1:28" ht="14.25" hidden="1" customHeight="1" outlineLevel="1" x14ac:dyDescent="0.25">
      <c r="A20" s="9"/>
      <c r="B20" s="9"/>
      <c r="C20" s="309"/>
      <c r="D20" s="647" t="str">
        <f>Ticker</f>
        <v>AXP</v>
      </c>
      <c r="E20" s="647" t="s">
        <v>147</v>
      </c>
      <c r="F20" s="648" t="str">
        <f>'Multiples Data'!BM$6</f>
        <v>3M Company</v>
      </c>
      <c r="G20" s="647" t="str">
        <f>'Multiples Data'!BN$6</f>
        <v>General Electric</v>
      </c>
      <c r="H20" s="647" t="str">
        <f>'Multiples Data'!BO$6</f>
        <v>Honeywell</v>
      </c>
      <c r="I20" s="647" t="str">
        <f>'Multiples Data'!BP$6</f>
        <v>Roper Technologies</v>
      </c>
      <c r="J20" s="654" t="str">
        <f>'Multiples Data'!BQ$6</f>
        <v>Emerson Electric</v>
      </c>
      <c r="K20" s="9"/>
      <c r="L20" s="646">
        <v>0</v>
      </c>
      <c r="M20" s="84" t="str">
        <f>$G$214&amp;" EV/EBITDA Spread to Comps"</f>
        <v>NTM EV/EBITDA Spread to Comps</v>
      </c>
      <c r="N20" s="9"/>
      <c r="O20" s="9"/>
      <c r="P20" s="9"/>
      <c r="Q20" s="644">
        <f ca="1">$R$207</f>
        <v>361.80690525350514</v>
      </c>
      <c r="R20" s="151">
        <f ca="1">Q20/Share_Price-1</f>
        <v>0.15394177857212821</v>
      </c>
      <c r="S20" s="9"/>
      <c r="T20" s="9"/>
      <c r="U20" s="9"/>
      <c r="V20" s="9"/>
      <c r="W20" s="9"/>
      <c r="X20" s="9"/>
      <c r="Y20" s="9"/>
      <c r="Z20" s="9"/>
      <c r="AA20" s="9"/>
      <c r="AB20" s="9"/>
    </row>
    <row r="21" spans="1:28" ht="14.25" hidden="1" customHeight="1" outlineLevel="1" x14ac:dyDescent="0.25">
      <c r="A21" s="9"/>
      <c r="B21" s="9"/>
      <c r="C21" s="64" t="s">
        <v>133</v>
      </c>
      <c r="D21" s="649">
        <f>D$11</f>
        <v>16.643763590749799</v>
      </c>
      <c r="E21" s="650">
        <f t="shared" ref="E21:E22" si="2">AVERAGE(F21:J21)</f>
        <v>16.16874562323472</v>
      </c>
      <c r="F21" s="651">
        <f>IF($D$24="LTM",'Multiples Data'!BM$86,IF($D$24="NTM",'Multiples Data'!BS$86,"N/A"))</f>
        <v>11.098891938738801</v>
      </c>
      <c r="G21" s="651">
        <f>IF($D$24="LTM",'Multiples Data'!BN$86,IF($D$24="NTM",'Multiples Data'!BT$86,"N/A"))</f>
        <v>17.1678038497184</v>
      </c>
      <c r="H21" s="651">
        <f>IF($D$24="LTM",'Multiples Data'!BO$86,IF($D$24="NTM",'Multiples Data'!BU$86,"N/A"))</f>
        <v>15.3184158666614</v>
      </c>
      <c r="I21" s="651">
        <f>IF($D$24="LTM",'Multiples Data'!BP$86,IF($D$24="NTM",'Multiples Data'!BV$86,"N/A"))</f>
        <v>20.233709024707899</v>
      </c>
      <c r="J21" s="651">
        <f>IF($D$24="LTM",'Multiples Data'!BQ$86,IF($D$24="NTM",'Multiples Data'!BW$86,"N/A"))</f>
        <v>17.0249074363471</v>
      </c>
      <c r="K21" s="9"/>
      <c r="L21" s="9"/>
      <c r="M21" s="204" t="s">
        <v>672</v>
      </c>
      <c r="N21" s="9"/>
      <c r="O21" s="9"/>
      <c r="P21" s="9"/>
      <c r="Q21" s="644"/>
      <c r="R21" s="151"/>
      <c r="S21" s="9"/>
      <c r="T21" s="9"/>
      <c r="U21" s="9"/>
      <c r="V21" s="9"/>
      <c r="W21" s="9"/>
      <c r="X21" s="9"/>
      <c r="Y21" s="9"/>
      <c r="Z21" s="9"/>
      <c r="AA21" s="9"/>
      <c r="AB21" s="9"/>
    </row>
    <row r="22" spans="1:28" ht="14.25" hidden="1" customHeight="1" outlineLevel="1" x14ac:dyDescent="0.25">
      <c r="A22" s="9"/>
      <c r="B22" s="9"/>
      <c r="C22" s="64" t="s">
        <v>135</v>
      </c>
      <c r="D22" s="652">
        <f>D$12</f>
        <v>16.6069707406422</v>
      </c>
      <c r="E22" s="653">
        <f t="shared" si="2"/>
        <v>11.620890184734099</v>
      </c>
      <c r="F22" s="651">
        <f>IF($D$24="LTM",'Multiples Data'!BY$86,IF($D$24="NTM",'Multiples Data'!CE$86,"N/A"))</f>
        <v>6.6876218938895002</v>
      </c>
      <c r="G22" s="651">
        <f>IF($D$24="LTM",'Multiples Data'!BZ$86,IF($D$24="NTM",'Multiples Data'!CF$86,"N/A"))</f>
        <v>13.011960831629301</v>
      </c>
      <c r="H22" s="651">
        <f>IF($D$24="LTM",'Multiples Data'!CA$86,IF($D$24="NTM",'Multiples Data'!CG$86,"N/A"))</f>
        <v>12.452113855824701</v>
      </c>
      <c r="I22" s="651">
        <f>IF($D$24="LTM",'Multiples Data'!CB$86,IF($D$24="NTM",'Multiples Data'!CH$86,"N/A"))</f>
        <v>14.1638045774507</v>
      </c>
      <c r="J22" s="651">
        <f>IF($D$24="LTM",'Multiples Data'!CC$86,IF($D$24="NTM",'Multiples Data'!CI$86,"N/A"))</f>
        <v>11.7889497648763</v>
      </c>
      <c r="K22" s="9"/>
      <c r="L22" s="646">
        <v>0</v>
      </c>
      <c r="M22" s="655" t="str">
        <f>D24&amp;" EV/EBITDA"</f>
        <v>NTM EV/EBITDA</v>
      </c>
      <c r="N22" s="95"/>
      <c r="O22" s="95"/>
      <c r="P22" s="95"/>
      <c r="Q22" s="656">
        <f ca="1">$R$276</f>
        <v>686.81295258341436</v>
      </c>
      <c r="R22" s="657">
        <f ca="1">Q22/Share_Price-1</f>
        <v>1.190511426240398</v>
      </c>
      <c r="S22" s="9"/>
      <c r="T22" s="9"/>
      <c r="U22" s="9"/>
      <c r="V22" s="9"/>
      <c r="W22" s="9"/>
      <c r="X22" s="9"/>
      <c r="Y22" s="9"/>
      <c r="Z22" s="9"/>
      <c r="AA22" s="9"/>
      <c r="AB22" s="9"/>
    </row>
    <row r="23" spans="1:28" ht="14.25" hidden="1" customHeight="1" outlineLevel="1" x14ac:dyDescent="0.25">
      <c r="A23" s="9"/>
      <c r="B23" s="9"/>
      <c r="C23" s="64"/>
      <c r="D23" s="651"/>
      <c r="E23" s="651"/>
      <c r="F23" s="651"/>
      <c r="G23" s="651"/>
      <c r="H23" s="651"/>
      <c r="I23" s="651"/>
      <c r="J23" s="651"/>
      <c r="K23" s="9"/>
      <c r="L23" s="151"/>
      <c r="M23" s="9" t="s">
        <v>673</v>
      </c>
      <c r="N23" s="9"/>
      <c r="O23" s="9"/>
      <c r="P23" s="9"/>
      <c r="Q23" s="644">
        <f ca="1">AVERAGE(Q9:Q22)</f>
        <v>346.35174536100936</v>
      </c>
      <c r="R23" s="151">
        <f ca="1">Q23/Share_Price-1</f>
        <v>0.10464931224408169</v>
      </c>
      <c r="S23" s="9"/>
      <c r="T23" s="9"/>
      <c r="U23" s="9"/>
      <c r="V23" s="9"/>
      <c r="W23" s="9"/>
      <c r="X23" s="9"/>
      <c r="Y23" s="9"/>
      <c r="Z23" s="9"/>
      <c r="AA23" s="9"/>
      <c r="AB23" s="9"/>
    </row>
    <row r="24" spans="1:28" ht="14.25" customHeight="1" collapsed="1" x14ac:dyDescent="0.25">
      <c r="A24" s="9"/>
      <c r="B24" s="9"/>
      <c r="C24" s="9" t="s">
        <v>674</v>
      </c>
      <c r="D24" s="208" t="s">
        <v>675</v>
      </c>
      <c r="E24" s="9"/>
      <c r="F24" s="9"/>
      <c r="G24" s="9"/>
      <c r="H24" s="651"/>
      <c r="I24" s="651"/>
      <c r="J24" s="651"/>
      <c r="K24" s="9"/>
      <c r="L24" s="243"/>
      <c r="M24" s="9" t="s">
        <v>676</v>
      </c>
      <c r="N24" s="9"/>
      <c r="O24" s="658"/>
      <c r="P24" s="9"/>
      <c r="Q24" s="644">
        <f ca="1">SUMPRODUCT(L9:L22,Q9:Q22)</f>
        <v>368.47614605036966</v>
      </c>
      <c r="R24" s="151">
        <f ca="1">Q24/Share_Price-1</f>
        <v>0.17521255996163054</v>
      </c>
      <c r="S24" s="9"/>
      <c r="T24" s="9"/>
      <c r="U24" s="9"/>
      <c r="V24" s="9"/>
      <c r="W24" s="9"/>
      <c r="X24" s="9"/>
      <c r="Y24" s="9"/>
      <c r="Z24" s="9"/>
      <c r="AA24" s="9"/>
      <c r="AB24" s="9"/>
    </row>
    <row r="25" spans="1:28" ht="14.25" customHeight="1" x14ac:dyDescent="0.25">
      <c r="A25" s="9"/>
      <c r="B25" s="9"/>
      <c r="C25" s="9"/>
      <c r="E25" s="9"/>
      <c r="F25" s="9"/>
      <c r="G25" s="9"/>
      <c r="H25" s="651"/>
      <c r="I25" s="651"/>
      <c r="J25" s="651"/>
      <c r="K25" s="9"/>
      <c r="L25" s="243"/>
      <c r="M25" s="9"/>
      <c r="N25" s="9"/>
      <c r="O25" s="658"/>
      <c r="P25" s="9"/>
      <c r="Q25" s="644"/>
      <c r="R25" s="151"/>
      <c r="S25" s="9"/>
      <c r="T25" s="9"/>
      <c r="U25" s="9"/>
      <c r="V25" s="9"/>
      <c r="W25" s="9"/>
      <c r="X25" s="9"/>
      <c r="Y25" s="9"/>
      <c r="Z25" s="9"/>
      <c r="AA25" s="9"/>
      <c r="AB25" s="9"/>
    </row>
    <row r="26" spans="1:28" ht="13.5" hidden="1" customHeight="1" outlineLevel="1" x14ac:dyDescent="0.25">
      <c r="A26" s="9"/>
      <c r="B26" s="9"/>
      <c r="C26" s="9"/>
      <c r="D26" s="9"/>
      <c r="E26" s="9"/>
      <c r="F26" s="9"/>
      <c r="G26" s="9"/>
      <c r="H26" s="9"/>
      <c r="I26" s="9"/>
      <c r="J26" s="9"/>
      <c r="K26" s="9"/>
      <c r="L26" s="9"/>
      <c r="M26" s="9"/>
      <c r="N26" s="659">
        <v>1</v>
      </c>
      <c r="O26" s="659">
        <f t="shared" ref="O26:R26" si="3">N26+1</f>
        <v>2</v>
      </c>
      <c r="P26" s="659">
        <f t="shared" si="3"/>
        <v>3</v>
      </c>
      <c r="Q26" s="659">
        <f t="shared" si="3"/>
        <v>4</v>
      </c>
      <c r="R26" s="659">
        <f t="shared" si="3"/>
        <v>5</v>
      </c>
      <c r="S26" s="9"/>
      <c r="T26" s="9"/>
      <c r="U26" s="9"/>
      <c r="V26" s="9"/>
      <c r="W26" s="9"/>
      <c r="X26" s="9"/>
      <c r="Y26" s="9"/>
      <c r="Z26" s="9"/>
      <c r="AA26" s="9"/>
      <c r="AB26" s="9"/>
    </row>
    <row r="27" spans="1:28" ht="6.75" customHeight="1" collapsed="1" x14ac:dyDescent="0.25">
      <c r="A27" s="9"/>
      <c r="B27" s="9"/>
      <c r="C27" s="9"/>
      <c r="D27" s="9"/>
      <c r="E27" s="9"/>
      <c r="F27" s="9"/>
      <c r="G27" s="9"/>
      <c r="H27" s="9"/>
      <c r="I27" s="9"/>
      <c r="J27" s="37">
        <f t="shared" ref="J27:M27" si="4">LEN(J28)</f>
        <v>4</v>
      </c>
      <c r="K27" s="37">
        <f t="shared" si="4"/>
        <v>5</v>
      </c>
      <c r="L27" s="37">
        <f t="shared" si="4"/>
        <v>5</v>
      </c>
      <c r="M27" s="37">
        <f t="shared" si="4"/>
        <v>5</v>
      </c>
      <c r="N27" s="659"/>
      <c r="O27" s="659"/>
      <c r="P27" s="659"/>
      <c r="Q27" s="659"/>
      <c r="R27" s="659"/>
      <c r="S27" s="9"/>
      <c r="T27" s="9"/>
      <c r="U27" s="9"/>
      <c r="V27" s="9"/>
      <c r="W27" s="9"/>
      <c r="X27" s="9"/>
      <c r="Y27" s="9"/>
      <c r="Z27" s="9"/>
      <c r="AA27" s="9"/>
      <c r="AB27" s="9"/>
    </row>
    <row r="28" spans="1:28" ht="13.5" customHeight="1" x14ac:dyDescent="0.25">
      <c r="A28" s="205" t="s">
        <v>0</v>
      </c>
      <c r="B28" s="9"/>
      <c r="C28" s="859" t="s">
        <v>1142</v>
      </c>
      <c r="D28" s="860"/>
      <c r="E28" s="860"/>
      <c r="F28" s="860"/>
      <c r="G28" s="861">
        <f>G29</f>
        <v>2023</v>
      </c>
      <c r="H28" s="861">
        <f>H29</f>
        <v>2024</v>
      </c>
      <c r="I28" s="861">
        <f>I29</f>
        <v>2025</v>
      </c>
      <c r="J28" s="862" t="str">
        <f>IF(Last_FQR="4Q","1Q"&amp;RIGHT(J29,2)&amp;"e","1Q"&amp;RIGHT(J29,2))</f>
        <v>1Q26</v>
      </c>
      <c r="K28" s="861" t="str">
        <f>IF(Last_FQR="4Q","2Q"&amp;RIGHT(K29,2)&amp;"e",IF(Last_FQR="1Q","2Q"&amp;RIGHT(K29,2)&amp;"e","2Q"&amp;RIGHT(K29,2)))</f>
        <v>2Q26e</v>
      </c>
      <c r="L28" s="861" t="str">
        <f>IF(Last_FQR="4Q","3Q"&amp;RIGHT(L29,2)&amp;"e",IF(Last_FQR="1Q","3Q"&amp;RIGHT(L29,2)&amp;"e",IF(Last_FQR="2Q","3Q"&amp;RIGHT(L29,2)&amp;"e","3Q"&amp;RIGHT(L29,2))))</f>
        <v>3Q26e</v>
      </c>
      <c r="M28" s="863" t="str">
        <f>"4Q"&amp;RIGHT(M29,2)&amp;"e"</f>
        <v>4Q26e</v>
      </c>
      <c r="N28" s="861" t="str">
        <f>N29&amp;"e"</f>
        <v>2026e</v>
      </c>
      <c r="O28" s="861" t="str">
        <f>O29&amp;"e"</f>
        <v>2027e</v>
      </c>
      <c r="P28" s="861" t="str">
        <f>P29&amp;"e"</f>
        <v>2028e</v>
      </c>
      <c r="Q28" s="861" t="str">
        <f>Q29&amp;"e"</f>
        <v>2029e</v>
      </c>
      <c r="R28" s="864" t="str">
        <f>R29&amp;"e"</f>
        <v>2030e</v>
      </c>
      <c r="S28" s="143" t="s">
        <v>0</v>
      </c>
      <c r="T28" s="9"/>
      <c r="U28" s="9"/>
      <c r="V28" s="9"/>
      <c r="W28" s="9"/>
      <c r="X28" s="9"/>
      <c r="Y28" s="9"/>
      <c r="Z28" s="9"/>
      <c r="AA28" s="9"/>
      <c r="AB28" s="9"/>
    </row>
    <row r="29" spans="1:28" ht="13.5" customHeight="1" x14ac:dyDescent="0.25">
      <c r="A29" s="660"/>
      <c r="B29" s="661"/>
      <c r="C29" s="662"/>
      <c r="D29" s="663"/>
      <c r="E29" s="663"/>
      <c r="F29" s="663"/>
      <c r="G29" s="865">
        <f>H29-1</f>
        <v>2023</v>
      </c>
      <c r="H29" s="865">
        <f>I29-1</f>
        <v>2024</v>
      </c>
      <c r="I29" s="865">
        <f>YEAR(Last_FYE)</f>
        <v>2025</v>
      </c>
      <c r="J29" s="865">
        <f>I29+1</f>
        <v>2026</v>
      </c>
      <c r="K29" s="865">
        <f>J29</f>
        <v>2026</v>
      </c>
      <c r="L29" s="865">
        <f>K29</f>
        <v>2026</v>
      </c>
      <c r="M29" s="865">
        <f>L29</f>
        <v>2026</v>
      </c>
      <c r="N29" s="865">
        <f>M29</f>
        <v>2026</v>
      </c>
      <c r="O29" s="865">
        <f>N29+1</f>
        <v>2027</v>
      </c>
      <c r="P29" s="865">
        <f>O29+1</f>
        <v>2028</v>
      </c>
      <c r="Q29" s="865">
        <f>P29+1</f>
        <v>2029</v>
      </c>
      <c r="R29" s="866">
        <f>Q29+1</f>
        <v>2030</v>
      </c>
      <c r="S29" s="660"/>
      <c r="T29" s="9"/>
      <c r="U29" s="9"/>
      <c r="V29" s="9"/>
      <c r="W29" s="9"/>
      <c r="X29" s="9"/>
      <c r="Y29" s="9"/>
      <c r="Z29" s="9"/>
      <c r="AA29" s="9"/>
      <c r="AB29" s="9"/>
    </row>
    <row r="30" spans="1:28" ht="4.5" customHeight="1" x14ac:dyDescent="0.25">
      <c r="A30" s="9"/>
      <c r="B30" s="9"/>
      <c r="C30" s="9"/>
      <c r="D30" s="9"/>
      <c r="E30" s="9"/>
      <c r="F30" s="9"/>
      <c r="G30" s="9"/>
      <c r="H30" s="9"/>
      <c r="I30" s="9"/>
      <c r="J30" s="664"/>
      <c r="K30" s="665"/>
      <c r="L30" s="665"/>
      <c r="M30" s="666"/>
      <c r="N30" s="9"/>
      <c r="O30" s="9"/>
      <c r="P30" s="9"/>
      <c r="Q30" s="9"/>
      <c r="R30" s="9"/>
      <c r="S30" s="9"/>
      <c r="T30" s="9"/>
      <c r="U30" s="9"/>
      <c r="V30" s="9"/>
      <c r="W30" s="9"/>
      <c r="X30" s="9"/>
      <c r="Y30" s="9"/>
      <c r="Z30" s="9"/>
      <c r="AA30" s="9"/>
      <c r="AB30" s="9"/>
    </row>
    <row r="31" spans="1:28" ht="13.5" hidden="1" customHeight="1" outlineLevel="1" x14ac:dyDescent="0.25">
      <c r="A31" s="9"/>
      <c r="B31" s="9"/>
      <c r="C31" s="9" t="s">
        <v>1143</v>
      </c>
      <c r="D31" s="9"/>
      <c r="E31" s="9"/>
      <c r="F31" s="9"/>
      <c r="G31" s="222">
        <f>Model!J45</f>
        <v>8374</v>
      </c>
      <c r="H31" s="222">
        <f>Model!O45</f>
        <v>10129</v>
      </c>
      <c r="I31" s="222">
        <f>Model!T45</f>
        <v>10833</v>
      </c>
      <c r="J31" s="867">
        <f>Model!U45</f>
        <v>2971</v>
      </c>
      <c r="K31" s="867">
        <f>Model!V45</f>
        <v>2953.3484695859979</v>
      </c>
      <c r="L31" s="867">
        <f>Model!W45</f>
        <v>3254.4002979984007</v>
      </c>
      <c r="M31" s="867">
        <f>Model!X45</f>
        <v>3471.6294806200799</v>
      </c>
      <c r="N31" s="222">
        <f>Model!Y45</f>
        <v>12650.378248204479</v>
      </c>
      <c r="O31" s="222">
        <f>Model!AD45</f>
        <v>15616.161998959851</v>
      </c>
      <c r="P31" s="222">
        <f>Model!AE45</f>
        <v>17841.06166189666</v>
      </c>
      <c r="Q31" s="222">
        <f>Model!AF45</f>
        <v>19545.188056927778</v>
      </c>
      <c r="R31" s="222">
        <f>Model!AG45</f>
        <v>21063.726501004181</v>
      </c>
      <c r="S31" s="9"/>
      <c r="T31" s="9"/>
      <c r="U31" s="9"/>
      <c r="V31" s="9"/>
      <c r="W31" s="9"/>
      <c r="X31" s="9"/>
      <c r="Y31" s="9"/>
      <c r="Z31" s="9"/>
      <c r="AA31" s="9"/>
      <c r="AB31" s="9"/>
    </row>
    <row r="32" spans="1:28" ht="13.5" hidden="1" customHeight="1" outlineLevel="1" x14ac:dyDescent="0.25">
      <c r="A32" s="9"/>
      <c r="B32" s="9"/>
      <c r="C32" s="243" t="s">
        <v>677</v>
      </c>
      <c r="D32" s="9"/>
      <c r="E32" s="9"/>
      <c r="F32" s="9"/>
      <c r="G32" s="222"/>
      <c r="H32" s="398">
        <f>H31/G31-1</f>
        <v>0.20957726295677093</v>
      </c>
      <c r="I32" s="398">
        <f>I31/H31-1</f>
        <v>6.9503406061802719E-2</v>
      </c>
      <c r="J32" s="868"/>
      <c r="K32" s="869"/>
      <c r="L32" s="869"/>
      <c r="M32" s="870"/>
      <c r="N32" s="398">
        <f>N31/I31-1</f>
        <v>0.16776315408515452</v>
      </c>
      <c r="O32" s="398">
        <f>O31/N31-1</f>
        <v>0.23444229829067109</v>
      </c>
      <c r="P32" s="398">
        <f>P31/O31-1</f>
        <v>0.142474166385121</v>
      </c>
      <c r="Q32" s="398">
        <f>Q31/P31-1</f>
        <v>9.5517095749444003E-2</v>
      </c>
      <c r="R32" s="398">
        <f>R31/Q31-1</f>
        <v>7.7693723879937782E-2</v>
      </c>
      <c r="S32" s="9"/>
      <c r="T32" s="9"/>
      <c r="U32" s="9"/>
      <c r="V32" s="9"/>
      <c r="W32" s="9"/>
      <c r="X32" s="9"/>
      <c r="Y32" s="9"/>
      <c r="Z32" s="9"/>
      <c r="AA32" s="9"/>
      <c r="AB32" s="9"/>
    </row>
    <row r="33" spans="1:28" ht="13.5" hidden="1" customHeight="1" outlineLevel="1" x14ac:dyDescent="0.25">
      <c r="A33" s="9"/>
      <c r="B33" s="9"/>
      <c r="C33" s="9"/>
      <c r="D33" s="9"/>
      <c r="E33" s="9"/>
      <c r="F33" s="9"/>
      <c r="G33" s="264"/>
      <c r="H33" s="264"/>
      <c r="I33" s="264"/>
      <c r="J33" s="667"/>
      <c r="K33" s="668"/>
      <c r="L33" s="668"/>
      <c r="M33" s="669"/>
      <c r="N33" s="264"/>
      <c r="O33" s="264"/>
      <c r="P33" s="264"/>
      <c r="Q33" s="264"/>
      <c r="R33" s="264"/>
      <c r="S33" s="9"/>
      <c r="T33" s="9"/>
      <c r="U33" s="9"/>
      <c r="V33" s="9"/>
      <c r="W33" s="9"/>
      <c r="X33" s="9"/>
      <c r="Y33" s="9"/>
      <c r="Z33" s="9"/>
      <c r="AA33" s="9"/>
      <c r="AB33" s="9"/>
    </row>
    <row r="34" spans="1:28" ht="13.5" hidden="1" customHeight="1" outlineLevel="1" x14ac:dyDescent="0.25">
      <c r="A34" s="9"/>
      <c r="B34" s="9"/>
      <c r="C34" s="879" t="s">
        <v>1144</v>
      </c>
      <c r="D34" s="873"/>
      <c r="E34" s="873"/>
      <c r="F34" s="873"/>
      <c r="G34" s="873"/>
      <c r="H34" s="873"/>
      <c r="I34" s="873"/>
      <c r="J34" s="874">
        <f>Model!U267</f>
        <v>666</v>
      </c>
      <c r="K34" s="875">
        <f>Model!V267</f>
        <v>661.92000000000007</v>
      </c>
      <c r="L34" s="875">
        <f>Model!W267</f>
        <v>656.53</v>
      </c>
      <c r="M34" s="876">
        <f>Model!X267</f>
        <v>657.66</v>
      </c>
      <c r="N34" s="877">
        <f>Model!Y267</f>
        <v>2642.11</v>
      </c>
      <c r="O34" s="877">
        <f>Model!AD267</f>
        <v>2990.1822699999998</v>
      </c>
      <c r="P34" s="877">
        <f>Model!AE267</f>
        <v>3378.9059650999993</v>
      </c>
      <c r="Q34" s="877">
        <f>Model!AF267</f>
        <v>3270.7809742167992</v>
      </c>
      <c r="R34" s="878">
        <f>Model!AG267</f>
        <v>3368.9044034433032</v>
      </c>
      <c r="S34" s="872"/>
      <c r="T34" s="9"/>
      <c r="U34" s="9"/>
      <c r="V34" s="9"/>
      <c r="W34" s="9"/>
      <c r="X34" s="9"/>
      <c r="Y34" s="9"/>
      <c r="Z34" s="9"/>
      <c r="AA34" s="9"/>
      <c r="AB34" s="9"/>
    </row>
    <row r="35" spans="1:28" ht="13.5" hidden="1" customHeight="1" outlineLevel="1" x14ac:dyDescent="0.25">
      <c r="A35" s="9"/>
      <c r="B35" s="9"/>
      <c r="C35" s="243" t="s">
        <v>677</v>
      </c>
      <c r="D35" s="9"/>
      <c r="E35" s="9"/>
      <c r="F35" s="9"/>
      <c r="G35" s="9"/>
      <c r="H35" s="398"/>
      <c r="I35" s="398"/>
      <c r="J35" s="868"/>
      <c r="K35" s="869"/>
      <c r="L35" s="869"/>
      <c r="M35" s="870"/>
      <c r="N35" s="398"/>
      <c r="O35" s="398">
        <f>O34/N34-1</f>
        <v>0.1317402644098844</v>
      </c>
      <c r="P35" s="398">
        <f>P34/O34-1</f>
        <v>0.12999999999999989</v>
      </c>
      <c r="Q35" s="398">
        <f>Q34/P34-1</f>
        <v>-3.2000000000000028E-2</v>
      </c>
      <c r="R35" s="398">
        <f>R34/Q34-1</f>
        <v>3.0000000000000027E-2</v>
      </c>
      <c r="S35" s="872"/>
      <c r="T35" s="9"/>
      <c r="U35" s="9"/>
      <c r="V35" s="9"/>
      <c r="W35" s="9"/>
      <c r="X35" s="9"/>
      <c r="Y35" s="9"/>
      <c r="Z35" s="9"/>
      <c r="AA35" s="9"/>
      <c r="AB35" s="9"/>
    </row>
    <row r="36" spans="1:28" ht="13.5" hidden="1" customHeight="1" outlineLevel="1" x14ac:dyDescent="0.25">
      <c r="A36" s="9"/>
      <c r="B36" s="9"/>
      <c r="C36" s="243"/>
      <c r="D36" s="9"/>
      <c r="E36" s="9"/>
      <c r="F36" s="9"/>
      <c r="G36" s="222"/>
      <c r="H36" s="398"/>
      <c r="I36" s="398"/>
      <c r="J36" s="670"/>
      <c r="K36" s="671"/>
      <c r="L36" s="671"/>
      <c r="M36" s="672"/>
      <c r="N36" s="398"/>
      <c r="O36" s="398"/>
      <c r="P36" s="398"/>
      <c r="Q36" s="398"/>
      <c r="R36" s="398"/>
      <c r="S36" s="9"/>
      <c r="T36" s="9"/>
      <c r="U36" s="9"/>
      <c r="V36" s="9"/>
      <c r="W36" s="9"/>
      <c r="X36" s="9"/>
      <c r="Y36" s="9"/>
      <c r="Z36" s="9"/>
      <c r="AA36" s="9"/>
      <c r="AB36" s="9"/>
    </row>
    <row r="37" spans="1:28" ht="13.5" hidden="1" customHeight="1" outlineLevel="1" x14ac:dyDescent="0.25">
      <c r="A37" s="9"/>
      <c r="B37" s="9"/>
      <c r="C37" s="879" t="s">
        <v>1145</v>
      </c>
      <c r="D37" s="873"/>
      <c r="E37" s="873"/>
      <c r="F37" s="873"/>
      <c r="G37" s="873"/>
      <c r="H37" s="873"/>
      <c r="I37" s="873"/>
      <c r="J37" s="874">
        <f>IF(J16=4,0,J34)</f>
        <v>666</v>
      </c>
      <c r="K37" s="875">
        <f>IF(K16=4,0,K34)</f>
        <v>661.92000000000007</v>
      </c>
      <c r="L37" s="875">
        <f>IF(L16=4,0,L34)</f>
        <v>656.53</v>
      </c>
      <c r="M37" s="876">
        <f>IF(M16=4,0,M34)</f>
        <v>657.66</v>
      </c>
      <c r="N37" s="877">
        <f>N34</f>
        <v>2642.11</v>
      </c>
      <c r="O37" s="877">
        <f t="shared" ref="O37:R37" si="5">O34</f>
        <v>2990.1822699999998</v>
      </c>
      <c r="P37" s="877">
        <f t="shared" si="5"/>
        <v>3378.9059650999993</v>
      </c>
      <c r="Q37" s="877">
        <f t="shared" si="5"/>
        <v>3270.7809742167992</v>
      </c>
      <c r="R37" s="878">
        <f t="shared" si="5"/>
        <v>3368.9044034433032</v>
      </c>
      <c r="S37" s="9"/>
      <c r="T37" s="9"/>
      <c r="U37" s="9"/>
      <c r="V37" s="9"/>
      <c r="W37" s="9"/>
      <c r="X37" s="9"/>
      <c r="Y37" s="9"/>
      <c r="Z37" s="9"/>
      <c r="AA37" s="9"/>
      <c r="AB37" s="9"/>
    </row>
    <row r="38" spans="1:28" ht="13.5" hidden="1" customHeight="1" outlineLevel="1" x14ac:dyDescent="0.25">
      <c r="A38" s="9"/>
      <c r="B38" s="9"/>
      <c r="C38" s="103"/>
      <c r="D38" s="9"/>
      <c r="E38" s="9"/>
      <c r="F38" s="9"/>
      <c r="G38" s="264"/>
      <c r="H38" s="264"/>
      <c r="I38" s="264"/>
      <c r="J38" s="667"/>
      <c r="K38" s="668"/>
      <c r="L38" s="668"/>
      <c r="M38" s="669"/>
      <c r="N38" s="264"/>
      <c r="O38" s="264"/>
      <c r="P38" s="264"/>
      <c r="Q38" s="264"/>
      <c r="R38" s="264"/>
      <c r="S38" s="9"/>
      <c r="T38" s="9"/>
      <c r="U38" s="9"/>
      <c r="V38" s="9"/>
      <c r="W38" s="9"/>
      <c r="X38" s="9"/>
      <c r="Y38" s="9"/>
      <c r="Z38" s="9"/>
      <c r="AA38" s="9"/>
      <c r="AB38" s="9"/>
    </row>
    <row r="39" spans="1:28" ht="13.5" hidden="1" customHeight="1" outlineLevel="1" x14ac:dyDescent="0.25">
      <c r="A39" s="9"/>
      <c r="B39" s="9"/>
      <c r="C39" s="243" t="s">
        <v>678</v>
      </c>
      <c r="D39" s="9"/>
      <c r="E39" s="9"/>
      <c r="F39" s="9"/>
      <c r="G39" s="9"/>
      <c r="H39" s="9"/>
      <c r="I39" s="9"/>
      <c r="J39" s="880"/>
      <c r="K39" s="881"/>
      <c r="L39" s="881"/>
      <c r="M39" s="882"/>
      <c r="N39" s="883">
        <f>YEARFRAC(Current_Date,Next_FYE)</f>
        <v>0.65555555555555556</v>
      </c>
      <c r="O39" s="883">
        <f>N39+1</f>
        <v>1.6555555555555554</v>
      </c>
      <c r="P39" s="883">
        <f>O39+1</f>
        <v>2.6555555555555554</v>
      </c>
      <c r="Q39" s="883">
        <f>P39+1</f>
        <v>3.6555555555555554</v>
      </c>
      <c r="R39" s="883">
        <f>Q39+1</f>
        <v>4.655555555555555</v>
      </c>
      <c r="S39" s="9"/>
      <c r="T39" s="9"/>
      <c r="U39" s="9"/>
      <c r="V39" s="9"/>
      <c r="W39" s="9"/>
      <c r="X39" s="9"/>
      <c r="Y39" s="9"/>
      <c r="Z39" s="9"/>
      <c r="AA39" s="9"/>
      <c r="AB39" s="9"/>
    </row>
    <row r="40" spans="1:28" ht="13.5" hidden="1" customHeight="1" outlineLevel="1" x14ac:dyDescent="0.25">
      <c r="A40" s="9"/>
      <c r="B40" s="9"/>
      <c r="C40" s="243" t="s">
        <v>679</v>
      </c>
      <c r="D40" s="9"/>
      <c r="E40" s="9"/>
      <c r="F40" s="9"/>
      <c r="G40" s="9"/>
      <c r="H40" s="9"/>
      <c r="I40" s="9"/>
      <c r="J40" s="880"/>
      <c r="K40" s="881"/>
      <c r="L40" s="881"/>
      <c r="M40" s="882"/>
      <c r="N40" s="883">
        <f>N39/2</f>
        <v>0.32777777777777778</v>
      </c>
      <c r="O40" s="883">
        <f>O39-0.5</f>
        <v>1.1555555555555554</v>
      </c>
      <c r="P40" s="883">
        <f>P39-0.5</f>
        <v>2.1555555555555554</v>
      </c>
      <c r="Q40" s="883">
        <f>Q39-0.5</f>
        <v>3.1555555555555554</v>
      </c>
      <c r="R40" s="883">
        <f>R39-0.5</f>
        <v>4.155555555555555</v>
      </c>
      <c r="S40" s="9"/>
      <c r="T40" s="9"/>
      <c r="U40" s="9"/>
      <c r="V40" s="9"/>
      <c r="W40" s="9"/>
      <c r="X40" s="9"/>
      <c r="Y40" s="9"/>
      <c r="Z40" s="9"/>
      <c r="AA40" s="9"/>
      <c r="AB40" s="9"/>
    </row>
    <row r="41" spans="1:28" ht="13.5" hidden="1" customHeight="1" outlineLevel="1" x14ac:dyDescent="0.25">
      <c r="A41" s="9"/>
      <c r="B41" s="9"/>
      <c r="C41" s="243" t="s">
        <v>680</v>
      </c>
      <c r="D41" s="9"/>
      <c r="E41" s="9"/>
      <c r="F41" s="9"/>
      <c r="G41" s="9"/>
      <c r="H41" s="9"/>
      <c r="I41" s="9"/>
      <c r="J41" s="880"/>
      <c r="K41" s="881"/>
      <c r="L41" s="881"/>
      <c r="M41" s="882"/>
      <c r="N41" s="883">
        <f ca="1">IF($G$75="Yes",1/(1+$G$76)^N40,1/(1+$G$76)^N39)</f>
        <v>0.97157646034011214</v>
      </c>
      <c r="O41" s="883">
        <f ca="1">IF($G$75="Yes",1/(1+$G$76)^O40,1/(1+$G$76)^O39)</f>
        <v>0.90742804441229408</v>
      </c>
      <c r="P41" s="883">
        <f ca="1">IF($G$75="Yes",1/(1+$G$76)^P40,1/(1+$G$76)^P39)</f>
        <v>0.83854940549567347</v>
      </c>
      <c r="Q41" s="883">
        <f ca="1">IF($G$75="Yes",1/(1+$G$76)^Q40,1/(1+$G$76)^Q39)</f>
        <v>0.77489902343999106</v>
      </c>
      <c r="R41" s="883">
        <f ca="1">IF($G$75="Yes",1/(1+$G$76)^R40,1/(1+$G$76)^R39)</f>
        <v>0.71608004560364558</v>
      </c>
      <c r="S41" s="9"/>
      <c r="T41" s="9"/>
      <c r="U41" s="9"/>
      <c r="V41" s="9"/>
      <c r="W41" s="9"/>
      <c r="X41" s="9"/>
      <c r="Y41" s="9"/>
      <c r="Z41" s="9"/>
      <c r="AA41" s="9"/>
      <c r="AB41" s="9"/>
    </row>
    <row r="42" spans="1:28" ht="13.5" hidden="1" customHeight="1" outlineLevel="1" x14ac:dyDescent="0.25">
      <c r="A42" s="9"/>
      <c r="B42" s="9"/>
      <c r="C42" s="103"/>
      <c r="D42" s="9"/>
      <c r="E42" s="9"/>
      <c r="F42" s="9"/>
      <c r="G42" s="264"/>
      <c r="H42" s="264"/>
      <c r="I42" s="264"/>
      <c r="J42" s="667"/>
      <c r="K42" s="668"/>
      <c r="L42" s="668"/>
      <c r="M42" s="669"/>
      <c r="N42" s="264"/>
      <c r="O42" s="264"/>
      <c r="P42" s="264"/>
      <c r="Q42" s="264"/>
      <c r="R42" s="264"/>
      <c r="S42" s="9"/>
      <c r="T42" s="9"/>
      <c r="U42" s="9"/>
      <c r="V42" s="9"/>
      <c r="W42" s="9"/>
      <c r="X42" s="9"/>
      <c r="Y42" s="9"/>
      <c r="Z42" s="9"/>
      <c r="AA42" s="9"/>
      <c r="AB42" s="9"/>
    </row>
    <row r="43" spans="1:28" ht="13.5" hidden="1" customHeight="1" outlineLevel="1" x14ac:dyDescent="0.25">
      <c r="A43" s="9"/>
      <c r="B43" s="884"/>
      <c r="C43" s="873" t="s">
        <v>1146</v>
      </c>
      <c r="D43" s="873"/>
      <c r="E43" s="873"/>
      <c r="F43" s="873"/>
      <c r="G43" s="873"/>
      <c r="H43" s="873"/>
      <c r="I43" s="873"/>
      <c r="J43" s="874"/>
      <c r="K43" s="875"/>
      <c r="L43" s="875"/>
      <c r="M43" s="876"/>
      <c r="N43" s="877">
        <f ca="1">N37*N41</f>
        <v>2561.9596840354452</v>
      </c>
      <c r="O43" s="877">
        <f ca="1">O37*O41</f>
        <v>2708.0432025134478</v>
      </c>
      <c r="P43" s="877">
        <f ca="1">P37*P41</f>
        <v>2827.8117208338267</v>
      </c>
      <c r="Q43" s="877">
        <f ca="1">Q37*Q41</f>
        <v>2529.5443938478297</v>
      </c>
      <c r="R43" s="878">
        <f ca="1">R37*R41</f>
        <v>2407.6646071480973</v>
      </c>
      <c r="S43" s="9"/>
      <c r="T43" s="9"/>
      <c r="U43" s="9"/>
      <c r="V43" s="9"/>
      <c r="W43" s="9"/>
      <c r="X43" s="9"/>
      <c r="Y43" s="9"/>
      <c r="Z43" s="9"/>
      <c r="AA43" s="9"/>
      <c r="AB43" s="9"/>
    </row>
    <row r="44" spans="1:28" ht="13.5" hidden="1" customHeight="1" outlineLevel="1" x14ac:dyDescent="0.25">
      <c r="A44" s="9"/>
      <c r="B44" s="9"/>
      <c r="C44" s="885" t="s">
        <v>244</v>
      </c>
      <c r="D44" s="9"/>
      <c r="E44" s="9"/>
      <c r="F44" s="9"/>
      <c r="G44" s="9"/>
      <c r="H44" s="9"/>
      <c r="I44" s="9"/>
      <c r="J44" s="880"/>
      <c r="K44" s="881"/>
      <c r="L44" s="881"/>
      <c r="M44" s="882"/>
      <c r="N44" s="9"/>
      <c r="O44" s="398">
        <f ca="1">O43/N43-1</f>
        <v>5.7020225333093588E-2</v>
      </c>
      <c r="P44" s="398">
        <f ca="1">P43/O43-1</f>
        <v>4.4226959972136548E-2</v>
      </c>
      <c r="Q44" s="398">
        <f ca="1">Q43/P43-1</f>
        <v>-0.10547637411236421</v>
      </c>
      <c r="R44" s="398">
        <f ca="1">R43/Q43-1</f>
        <v>-4.8182505512122775E-2</v>
      </c>
      <c r="S44" s="9"/>
      <c r="T44" s="9"/>
      <c r="U44" s="9"/>
      <c r="V44" s="9"/>
      <c r="W44" s="9"/>
      <c r="X44" s="9"/>
      <c r="Y44" s="9"/>
      <c r="Z44" s="9"/>
      <c r="AA44" s="9"/>
      <c r="AB44" s="9"/>
    </row>
    <row r="45" spans="1:28" ht="13.5" hidden="1" customHeight="1" outlineLevel="1" x14ac:dyDescent="0.25">
      <c r="A45" s="9"/>
      <c r="B45" s="9"/>
      <c r="C45" s="9"/>
      <c r="D45" s="9"/>
      <c r="E45" s="9"/>
      <c r="F45" s="9"/>
      <c r="G45" s="9"/>
      <c r="H45" s="9"/>
      <c r="I45" s="9"/>
      <c r="J45" s="9"/>
      <c r="K45" s="9"/>
    </row>
    <row r="46" spans="1:28" ht="13.5" hidden="1" customHeight="1" outlineLevel="1" x14ac:dyDescent="0.25">
      <c r="A46" s="9"/>
      <c r="B46" s="9"/>
      <c r="C46" s="9"/>
      <c r="D46" s="9"/>
      <c r="E46" s="9"/>
      <c r="F46" s="9"/>
      <c r="G46" s="9"/>
      <c r="H46" s="9"/>
      <c r="I46" s="9"/>
      <c r="J46" s="9"/>
      <c r="K46" s="9"/>
    </row>
    <row r="47" spans="1:28" ht="13.5" hidden="1" customHeight="1" outlineLevel="1" x14ac:dyDescent="0.25">
      <c r="A47" s="9"/>
      <c r="B47" s="9"/>
      <c r="C47" s="84"/>
      <c r="D47" s="9"/>
      <c r="E47" s="9"/>
      <c r="F47" s="9"/>
      <c r="G47" s="9"/>
      <c r="H47" s="9"/>
      <c r="I47" s="398"/>
      <c r="J47" s="398"/>
      <c r="K47" s="398"/>
      <c r="L47" s="398"/>
      <c r="M47" s="9"/>
      <c r="N47" s="9"/>
      <c r="O47" s="9"/>
      <c r="P47" s="9"/>
      <c r="Q47" s="9"/>
      <c r="R47" s="9" t="s">
        <v>681</v>
      </c>
      <c r="S47" s="9"/>
      <c r="T47" s="9"/>
      <c r="U47" s="9"/>
      <c r="V47" s="9"/>
    </row>
    <row r="48" spans="1:28" ht="13.5" hidden="1" customHeight="1" outlineLevel="1" x14ac:dyDescent="0.25">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row>
    <row r="49" spans="1:28" ht="13.5" hidden="1" customHeight="1" outlineLevel="1" x14ac:dyDescent="0.25">
      <c r="A49" s="9"/>
      <c r="B49" s="9"/>
      <c r="C49" s="9"/>
      <c r="D49" s="9"/>
      <c r="E49" s="9"/>
      <c r="F49" s="9"/>
      <c r="G49" s="932" t="s">
        <v>682</v>
      </c>
      <c r="H49" s="933"/>
      <c r="I49" s="933"/>
      <c r="J49" s="933"/>
      <c r="K49" s="934"/>
      <c r="L49" s="9"/>
      <c r="M49" s="9"/>
      <c r="N49" s="891" t="s">
        <v>1142</v>
      </c>
      <c r="O49" s="892"/>
      <c r="P49" s="892"/>
      <c r="Q49" s="892"/>
      <c r="R49" s="893"/>
      <c r="S49" s="9"/>
      <c r="T49" s="9"/>
      <c r="U49" s="9"/>
      <c r="V49" s="9"/>
      <c r="W49" s="9"/>
      <c r="X49" s="932" t="s">
        <v>682</v>
      </c>
      <c r="Y49" s="933"/>
      <c r="Z49" s="933"/>
      <c r="AA49" s="933"/>
      <c r="AB49" s="934"/>
    </row>
    <row r="50" spans="1:28" ht="4.5" hidden="1" customHeight="1" outlineLevel="1" x14ac:dyDescent="0.25">
      <c r="A50" s="9"/>
      <c r="B50" s="9"/>
      <c r="C50" s="9"/>
      <c r="D50" s="9"/>
      <c r="E50" s="9"/>
      <c r="F50" s="9"/>
      <c r="G50" s="137"/>
      <c r="H50" s="96"/>
      <c r="I50" s="96"/>
      <c r="J50" s="96"/>
      <c r="K50" s="223"/>
      <c r="L50" s="9"/>
      <c r="M50" s="9"/>
      <c r="N50" s="137"/>
      <c r="O50" s="96"/>
      <c r="P50" s="96"/>
      <c r="Q50" s="96"/>
      <c r="R50" s="223"/>
      <c r="S50" s="9"/>
      <c r="T50" s="9"/>
      <c r="U50" s="9"/>
      <c r="V50" s="9"/>
      <c r="W50" s="136"/>
      <c r="X50" s="96"/>
      <c r="Y50" s="96"/>
      <c r="Z50" s="96"/>
      <c r="AA50" s="96"/>
      <c r="AB50" s="223"/>
    </row>
    <row r="51" spans="1:28" ht="13.5" hidden="1" customHeight="1" outlineLevel="1" x14ac:dyDescent="0.25">
      <c r="A51" s="9"/>
      <c r="B51" s="9"/>
      <c r="C51" s="9"/>
      <c r="D51" s="9"/>
      <c r="E51" s="9"/>
      <c r="F51" s="136"/>
      <c r="G51" s="9" t="s">
        <v>683</v>
      </c>
      <c r="H51" s="9"/>
      <c r="I51" s="9"/>
      <c r="J51" s="9"/>
      <c r="K51" s="673">
        <f>R31</f>
        <v>21063.726501004181</v>
      </c>
      <c r="L51" s="9"/>
      <c r="M51" s="9"/>
      <c r="N51" s="135" t="s">
        <v>1149</v>
      </c>
      <c r="O51" s="9"/>
      <c r="P51" s="9"/>
      <c r="Q51" s="9"/>
      <c r="R51" s="674">
        <f>R37</f>
        <v>3368.9044034433032</v>
      </c>
      <c r="S51" s="9"/>
      <c r="T51" s="9"/>
      <c r="U51" s="9"/>
      <c r="V51" s="9"/>
      <c r="W51" s="136"/>
      <c r="X51" s="9" t="s">
        <v>1147</v>
      </c>
      <c r="Y51" s="9"/>
      <c r="Z51" s="9"/>
      <c r="AA51" s="9"/>
      <c r="AB51" s="673">
        <f>R31</f>
        <v>21063.726501004181</v>
      </c>
    </row>
    <row r="52" spans="1:28" ht="15" hidden="1" customHeight="1" outlineLevel="1" x14ac:dyDescent="0.25">
      <c r="A52" s="9"/>
      <c r="B52" s="9"/>
      <c r="C52" s="9"/>
      <c r="D52" s="9"/>
      <c r="E52" s="9"/>
      <c r="F52" s="136"/>
      <c r="G52" s="9" t="s">
        <v>684</v>
      </c>
      <c r="H52" s="9"/>
      <c r="I52" s="9"/>
      <c r="J52" s="9"/>
      <c r="K52" s="675">
        <f>IF(Case_Scenario="Bear",Valuation!J76,IF(Case_Scenario="Base",Valuation!J77,IF(Case_Scenario="Bull",Valuation!J78,"Error")))</f>
        <v>18</v>
      </c>
      <c r="L52" s="9"/>
      <c r="M52" s="9"/>
      <c r="N52" s="135" t="s">
        <v>685</v>
      </c>
      <c r="O52" s="9"/>
      <c r="P52" s="9"/>
      <c r="Q52" s="9"/>
      <c r="R52" s="676">
        <f>G78</f>
        <v>0.02</v>
      </c>
      <c r="S52" s="9"/>
      <c r="T52" s="9"/>
      <c r="U52" s="9"/>
      <c r="V52" s="9"/>
      <c r="W52" s="136"/>
      <c r="X52" s="9" t="s">
        <v>684</v>
      </c>
      <c r="Y52" s="9"/>
      <c r="Z52" s="9"/>
      <c r="AA52" s="9"/>
      <c r="AB52" s="886">
        <f>_xlfn.IFS(Case_Scenario="Base",J77,Case_Scenario="Bull",J78,Case_Scenario="Bear",J76)</f>
        <v>18</v>
      </c>
    </row>
    <row r="53" spans="1:28" ht="13.5" hidden="1" customHeight="1" outlineLevel="1" x14ac:dyDescent="0.25">
      <c r="A53" s="9"/>
      <c r="B53" s="9"/>
      <c r="C53" s="9"/>
      <c r="D53" s="9"/>
      <c r="E53" s="9"/>
      <c r="F53" s="136"/>
      <c r="G53" s="9" t="s">
        <v>686</v>
      </c>
      <c r="H53" s="9"/>
      <c r="I53" s="9"/>
      <c r="J53" s="9"/>
      <c r="K53" s="677">
        <f>K51*K52</f>
        <v>379147.07701807527</v>
      </c>
      <c r="L53" s="9"/>
      <c r="M53" s="9"/>
      <c r="N53" s="135" t="s">
        <v>686</v>
      </c>
      <c r="O53" s="9"/>
      <c r="P53" s="9"/>
      <c r="Q53" s="9"/>
      <c r="R53" s="887">
        <f ca="1">(R51*(1+R52))/(Discount_Rate-R52)</f>
        <v>55190.17229870586</v>
      </c>
      <c r="S53" s="9"/>
      <c r="T53" s="9"/>
      <c r="U53" s="9"/>
      <c r="V53" s="9"/>
      <c r="W53" s="136"/>
      <c r="X53" s="9" t="s">
        <v>686</v>
      </c>
      <c r="Y53" s="9"/>
      <c r="Z53" s="9"/>
      <c r="AA53" s="9"/>
      <c r="AB53" s="677">
        <f>AB51*AB52</f>
        <v>379147.07701807527</v>
      </c>
    </row>
    <row r="54" spans="1:28" ht="13.5" hidden="1" customHeight="1" outlineLevel="1" x14ac:dyDescent="0.25">
      <c r="A54" s="9"/>
      <c r="B54" s="9"/>
      <c r="C54" s="9"/>
      <c r="D54" s="9"/>
      <c r="E54" s="9"/>
      <c r="F54" s="136"/>
      <c r="G54" s="9" t="s">
        <v>687</v>
      </c>
      <c r="H54" s="9"/>
      <c r="I54" s="9"/>
      <c r="J54" s="9"/>
      <c r="K54" s="887">
        <f ca="1">R41*K53</f>
        <v>283589.44897910918</v>
      </c>
      <c r="L54" s="9"/>
      <c r="M54" s="9"/>
      <c r="N54" s="135" t="s">
        <v>687</v>
      </c>
      <c r="O54" s="9"/>
      <c r="P54" s="9"/>
      <c r="Q54" s="9"/>
      <c r="R54" s="887">
        <f ca="1">R53*R44</f>
        <v>-2659.2007809974007</v>
      </c>
      <c r="S54" s="9"/>
      <c r="T54" s="9"/>
      <c r="U54" s="9"/>
      <c r="V54" s="9"/>
      <c r="W54" s="136"/>
      <c r="X54" s="9" t="s">
        <v>687</v>
      </c>
      <c r="Y54" s="9"/>
      <c r="Z54" s="9"/>
      <c r="AA54" s="9"/>
      <c r="AB54" s="887">
        <f ca="1">AB53*R41</f>
        <v>283589.44897910918</v>
      </c>
    </row>
    <row r="55" spans="1:28" ht="13.5" hidden="1" customHeight="1" outlineLevel="1" x14ac:dyDescent="0.25">
      <c r="A55" s="9"/>
      <c r="B55" s="9"/>
      <c r="C55" s="9"/>
      <c r="D55" s="9"/>
      <c r="E55" s="9"/>
      <c r="F55" s="136"/>
      <c r="G55" s="9" t="s">
        <v>688</v>
      </c>
      <c r="H55" s="9"/>
      <c r="I55" s="9"/>
      <c r="J55" s="9"/>
      <c r="K55" s="677">
        <f ca="1">SUM(N43:R43)</f>
        <v>13035.023608378646</v>
      </c>
      <c r="L55" s="9"/>
      <c r="M55" s="9"/>
      <c r="N55" s="135" t="s">
        <v>688</v>
      </c>
      <c r="O55" s="9"/>
      <c r="P55" s="9"/>
      <c r="Q55" s="9"/>
      <c r="R55" s="887">
        <f ca="1">SUM(N43:R43)</f>
        <v>13035.023608378646</v>
      </c>
      <c r="S55" s="9"/>
      <c r="T55" s="9"/>
      <c r="U55" s="9"/>
      <c r="V55" s="9"/>
      <c r="W55" s="136"/>
      <c r="X55" s="9" t="s">
        <v>1148</v>
      </c>
      <c r="Y55" s="9"/>
      <c r="Z55" s="9"/>
      <c r="AA55" s="9"/>
      <c r="AB55" s="887">
        <f ca="1">SUM(N43:R43)</f>
        <v>13035.023608378646</v>
      </c>
    </row>
    <row r="56" spans="1:28" ht="13.5" hidden="1" customHeight="1" outlineLevel="1" x14ac:dyDescent="0.25">
      <c r="A56" s="9"/>
      <c r="B56" s="9"/>
      <c r="C56" s="9"/>
      <c r="D56" s="9"/>
      <c r="E56" s="9"/>
      <c r="F56" s="136"/>
      <c r="G56" s="9"/>
      <c r="H56" s="9"/>
      <c r="I56" s="9"/>
      <c r="J56" s="9"/>
      <c r="K56" s="136"/>
      <c r="L56" s="9"/>
      <c r="M56" s="9"/>
      <c r="N56" s="135"/>
      <c r="O56" s="9"/>
      <c r="P56" s="9"/>
      <c r="Q56" s="9"/>
      <c r="R56" s="136"/>
      <c r="S56" s="9"/>
      <c r="T56" s="9"/>
      <c r="U56" s="9"/>
      <c r="V56" s="9"/>
      <c r="W56" s="136"/>
      <c r="X56" s="9"/>
      <c r="Y56" s="9"/>
      <c r="Z56" s="9"/>
      <c r="AA56" s="9"/>
      <c r="AB56" s="136"/>
    </row>
    <row r="57" spans="1:28" ht="13.5" hidden="1" customHeight="1" outlineLevel="1" x14ac:dyDescent="0.25">
      <c r="A57" s="9"/>
      <c r="B57" s="9"/>
      <c r="C57" s="9"/>
      <c r="D57" s="9"/>
      <c r="E57" s="9"/>
      <c r="F57" s="136"/>
      <c r="G57" s="96" t="s">
        <v>13</v>
      </c>
      <c r="H57" s="96"/>
      <c r="I57" s="96"/>
      <c r="J57" s="96"/>
      <c r="K57" s="678">
        <f ca="1">K54+K55</f>
        <v>296624.47258748783</v>
      </c>
      <c r="L57" s="9"/>
      <c r="M57" s="9"/>
      <c r="N57" s="137" t="s">
        <v>13</v>
      </c>
      <c r="O57" s="96"/>
      <c r="P57" s="96"/>
      <c r="Q57" s="96"/>
      <c r="R57" s="894">
        <f ca="1">SUM(R54:R55)</f>
        <v>10375.822827381246</v>
      </c>
      <c r="S57" s="9"/>
      <c r="T57" s="9"/>
      <c r="U57" s="9"/>
      <c r="V57" s="9"/>
      <c r="W57" s="136"/>
      <c r="X57" s="96" t="s">
        <v>13</v>
      </c>
      <c r="Y57" s="96"/>
      <c r="Z57" s="96"/>
      <c r="AA57" s="96"/>
      <c r="AB57" s="678">
        <f ca="1">AB54+AB55</f>
        <v>296624.47258748783</v>
      </c>
    </row>
    <row r="58" spans="1:28" ht="13.5" hidden="1" customHeight="1" outlineLevel="1" x14ac:dyDescent="0.25">
      <c r="A58" s="9"/>
      <c r="B58" s="9"/>
      <c r="C58" s="9"/>
      <c r="D58" s="9"/>
      <c r="E58" s="9"/>
      <c r="F58" s="136"/>
      <c r="G58" s="9"/>
      <c r="H58" s="9"/>
      <c r="I58" s="9"/>
      <c r="J58" s="9"/>
      <c r="K58" s="679"/>
      <c r="L58" s="9"/>
      <c r="M58" s="9"/>
      <c r="N58" s="135"/>
      <c r="O58" s="9"/>
      <c r="P58" s="9"/>
      <c r="Q58" s="9"/>
      <c r="R58" s="677"/>
      <c r="S58" s="9"/>
      <c r="T58" s="9"/>
      <c r="U58" s="9"/>
      <c r="V58" s="9"/>
      <c r="W58" s="136"/>
      <c r="X58" s="9"/>
      <c r="Y58" s="9"/>
      <c r="Z58" s="9"/>
      <c r="AA58" s="9"/>
      <c r="AB58" s="679"/>
    </row>
    <row r="59" spans="1:28" ht="13.5" hidden="1" customHeight="1" outlineLevel="1" x14ac:dyDescent="0.25">
      <c r="A59" s="9"/>
      <c r="B59" s="9"/>
      <c r="C59" s="9"/>
      <c r="D59" s="9"/>
      <c r="E59" s="9"/>
      <c r="F59" s="136"/>
      <c r="G59" s="135" t="s">
        <v>1150</v>
      </c>
      <c r="H59" s="9"/>
      <c r="I59" s="9"/>
      <c r="J59" s="9"/>
      <c r="K59" s="888">
        <f>Diluted_Shares</f>
        <v>686</v>
      </c>
      <c r="L59" s="9"/>
      <c r="M59" s="9"/>
      <c r="N59" s="135" t="s">
        <v>1150</v>
      </c>
      <c r="O59" s="9"/>
      <c r="P59" s="9"/>
      <c r="Q59" s="9"/>
      <c r="R59" s="677">
        <f>AB59</f>
        <v>686</v>
      </c>
      <c r="S59" s="9"/>
      <c r="T59" s="9"/>
      <c r="U59" s="9"/>
      <c r="V59" s="9"/>
      <c r="W59" s="136"/>
      <c r="X59" s="9" t="s">
        <v>689</v>
      </c>
      <c r="Y59" s="9"/>
      <c r="Z59" s="9"/>
      <c r="AA59" s="9"/>
      <c r="AB59" s="888">
        <f>Diluted_Shares</f>
        <v>686</v>
      </c>
    </row>
    <row r="60" spans="1:28" ht="13.5" hidden="1" customHeight="1" outlineLevel="1" x14ac:dyDescent="0.25">
      <c r="A60" s="9"/>
      <c r="B60" s="9"/>
      <c r="C60" s="9"/>
      <c r="D60" s="9"/>
      <c r="E60" s="9"/>
      <c r="F60" s="136"/>
      <c r="G60" s="9"/>
      <c r="H60" s="9"/>
      <c r="I60" s="9"/>
      <c r="J60" s="9"/>
      <c r="K60" s="679"/>
      <c r="L60" s="9"/>
      <c r="M60" s="9"/>
      <c r="N60" s="895"/>
      <c r="O60" s="871"/>
      <c r="P60" s="871"/>
      <c r="Q60" s="871"/>
      <c r="R60" s="896"/>
      <c r="S60" s="9"/>
      <c r="T60" s="9"/>
      <c r="U60" s="9"/>
      <c r="V60" s="9"/>
      <c r="W60" s="136"/>
      <c r="X60" s="9"/>
      <c r="Y60" s="9"/>
      <c r="Z60" s="9"/>
      <c r="AA60" s="9"/>
      <c r="AB60" s="679"/>
    </row>
    <row r="61" spans="1:28" ht="13.5" hidden="1" customHeight="1" outlineLevel="1" x14ac:dyDescent="0.25">
      <c r="A61" s="9"/>
      <c r="B61" s="9"/>
      <c r="C61" s="9"/>
      <c r="D61" s="9"/>
      <c r="E61" s="9"/>
      <c r="F61" s="136"/>
      <c r="G61" s="9"/>
      <c r="H61" s="9"/>
      <c r="I61" s="9"/>
      <c r="J61" s="9"/>
      <c r="K61" s="680"/>
      <c r="L61" s="9"/>
      <c r="M61" s="9"/>
      <c r="N61" s="137" t="s">
        <v>15</v>
      </c>
      <c r="O61" s="96"/>
      <c r="P61" s="96"/>
      <c r="Q61" s="96"/>
      <c r="R61" s="682">
        <f ca="1">R57/R59</f>
        <v>14.937828882006658</v>
      </c>
      <c r="S61" s="9"/>
      <c r="T61" s="9"/>
      <c r="U61" s="9"/>
      <c r="V61" s="9"/>
      <c r="W61" s="136"/>
      <c r="X61" s="96" t="s">
        <v>13</v>
      </c>
      <c r="Y61" s="96"/>
      <c r="Z61" s="96"/>
      <c r="AA61" s="96"/>
      <c r="AB61" s="678">
        <f ca="1">SUM(AB57:AB60)</f>
        <v>297319.07304846105</v>
      </c>
    </row>
    <row r="62" spans="1:28" ht="13.5" hidden="1" customHeight="1" outlineLevel="1" x14ac:dyDescent="0.25">
      <c r="A62" s="9"/>
      <c r="B62" s="9"/>
      <c r="C62" s="9"/>
      <c r="D62" s="9"/>
      <c r="E62" s="9"/>
      <c r="F62" s="136"/>
      <c r="G62" s="137" t="s">
        <v>15</v>
      </c>
      <c r="H62" s="96"/>
      <c r="I62" s="96"/>
      <c r="J62" s="96"/>
      <c r="K62" s="682">
        <f ca="1">K57/K59</f>
        <v>427.04329935495718</v>
      </c>
      <c r="L62" s="9"/>
      <c r="M62" s="9"/>
      <c r="N62" s="902" t="s">
        <v>12</v>
      </c>
      <c r="O62" s="871"/>
      <c r="P62" s="871"/>
      <c r="Q62" s="871"/>
      <c r="R62" s="903">
        <f ca="1">R61/Share_Price-1</f>
        <v>-0.95235750181154988</v>
      </c>
      <c r="S62" s="9"/>
      <c r="T62" s="9"/>
      <c r="U62" s="9"/>
      <c r="V62" s="9"/>
      <c r="W62" s="136"/>
      <c r="X62" s="9"/>
      <c r="Y62" s="9"/>
      <c r="Z62" s="9"/>
      <c r="AA62" s="9"/>
      <c r="AB62" s="136"/>
    </row>
    <row r="63" spans="1:28" ht="13.5" hidden="1" customHeight="1" outlineLevel="1" x14ac:dyDescent="0.25">
      <c r="A63" s="9"/>
      <c r="B63" s="9"/>
      <c r="C63" s="9"/>
      <c r="D63" s="9"/>
      <c r="E63" s="9"/>
      <c r="F63" s="136"/>
      <c r="G63" s="683" t="s">
        <v>12</v>
      </c>
      <c r="H63" s="95"/>
      <c r="I63" s="95"/>
      <c r="J63" s="95"/>
      <c r="K63" s="684">
        <f ca="1">K62/Share_Price-1</f>
        <v>0.3620058026247277</v>
      </c>
      <c r="L63" s="9"/>
      <c r="M63" s="9"/>
      <c r="N63" s="872"/>
      <c r="O63" s="872"/>
      <c r="P63" s="872"/>
      <c r="Q63" s="872"/>
      <c r="R63" s="897"/>
      <c r="S63" s="9"/>
      <c r="T63" s="9"/>
      <c r="U63" s="9"/>
      <c r="V63" s="9"/>
      <c r="W63" s="136"/>
      <c r="X63" s="9" t="s">
        <v>689</v>
      </c>
      <c r="Y63" s="9"/>
      <c r="Z63" s="9"/>
      <c r="AA63" s="9"/>
      <c r="AB63" s="681">
        <f>Diluted_Shares</f>
        <v>686</v>
      </c>
    </row>
    <row r="64" spans="1:28" ht="13.5" hidden="1" customHeight="1" outlineLevel="1" x14ac:dyDescent="0.25">
      <c r="A64" s="9"/>
      <c r="B64" s="9"/>
      <c r="C64" s="9"/>
      <c r="D64" s="9"/>
      <c r="E64" s="9"/>
      <c r="F64" s="9"/>
      <c r="G64" s="9"/>
      <c r="H64" s="9"/>
      <c r="I64" s="9"/>
      <c r="J64" s="9"/>
      <c r="K64" s="9"/>
      <c r="L64" s="9"/>
      <c r="M64" s="9"/>
      <c r="N64" s="872"/>
      <c r="O64" s="872"/>
      <c r="P64" s="872"/>
      <c r="Q64" s="872"/>
      <c r="R64" s="898"/>
      <c r="S64" s="9"/>
      <c r="T64" s="9"/>
      <c r="U64" s="9"/>
      <c r="V64" s="9"/>
      <c r="W64" s="136"/>
      <c r="X64" s="9"/>
      <c r="Y64" s="9"/>
      <c r="Z64" s="9"/>
      <c r="AA64" s="9"/>
      <c r="AB64" s="136"/>
    </row>
    <row r="65" spans="1:28" ht="13.5" hidden="1" customHeight="1" outlineLevel="1" x14ac:dyDescent="0.25">
      <c r="A65" s="9"/>
      <c r="B65" s="9"/>
      <c r="C65" s="9"/>
      <c r="D65" s="9"/>
      <c r="E65" s="9"/>
      <c r="F65" s="9"/>
      <c r="G65" s="9" t="s">
        <v>690</v>
      </c>
      <c r="H65" s="9"/>
      <c r="I65" s="9"/>
      <c r="J65" s="9"/>
      <c r="K65" s="685">
        <f ca="1">R53/K51</f>
        <v>2.508451785841828</v>
      </c>
      <c r="L65" s="9"/>
      <c r="M65" s="9"/>
      <c r="N65" s="9" t="s">
        <v>691</v>
      </c>
      <c r="O65" s="9"/>
      <c r="P65" s="9"/>
      <c r="Q65" s="9"/>
      <c r="R65" s="686">
        <f ca="1">(K53*Discount_Rate-R59)/(R59+K57)</f>
        <v>0.10707494914775899</v>
      </c>
      <c r="S65" s="9"/>
      <c r="T65" s="9"/>
      <c r="U65" s="9"/>
      <c r="V65" s="9"/>
      <c r="W65" s="136"/>
      <c r="X65" s="96" t="s">
        <v>15</v>
      </c>
      <c r="Y65" s="96"/>
      <c r="Z65" s="96"/>
      <c r="AA65" s="96"/>
      <c r="AB65" s="889">
        <f ca="1">AB61/AB63</f>
        <v>428.04329935495718</v>
      </c>
    </row>
    <row r="66" spans="1:28" ht="13.5" hidden="1" customHeight="1" outlineLevel="1" x14ac:dyDescent="0.25">
      <c r="A66" s="9"/>
      <c r="B66" s="9"/>
      <c r="C66" s="9"/>
      <c r="D66" s="9"/>
      <c r="E66" s="9"/>
      <c r="F66" s="9"/>
      <c r="G66" s="9"/>
      <c r="H66" s="9"/>
      <c r="I66" s="9"/>
      <c r="J66" s="9"/>
      <c r="K66" s="9"/>
      <c r="L66" s="9"/>
      <c r="M66" s="9"/>
      <c r="N66" s="872"/>
      <c r="O66" s="872"/>
      <c r="P66" s="872"/>
      <c r="Q66" s="872"/>
      <c r="R66" s="837"/>
      <c r="S66" s="9"/>
      <c r="T66" s="9"/>
      <c r="U66" s="9"/>
      <c r="V66" s="9"/>
      <c r="W66" s="136"/>
      <c r="X66" s="683" t="s">
        <v>12</v>
      </c>
      <c r="Y66" s="95"/>
      <c r="Z66" s="95"/>
      <c r="AA66" s="95"/>
      <c r="AB66" s="890">
        <f ca="1">AB65/Share_Price-1</f>
        <v>0.36519518834903741</v>
      </c>
    </row>
    <row r="67" spans="1:28" ht="13.5" hidden="1" customHeight="1" outlineLevel="1" x14ac:dyDescent="0.25">
      <c r="A67" s="9"/>
      <c r="B67" s="9"/>
      <c r="C67" s="9"/>
      <c r="D67" s="9"/>
      <c r="E67" s="9"/>
      <c r="F67" s="9"/>
      <c r="G67" s="9"/>
      <c r="H67" s="9"/>
      <c r="I67" s="9"/>
      <c r="J67" s="9"/>
      <c r="K67" s="9"/>
      <c r="L67" s="9"/>
      <c r="M67" s="9"/>
      <c r="N67" s="872"/>
      <c r="O67" s="872"/>
      <c r="P67" s="872"/>
      <c r="Q67" s="872"/>
      <c r="R67" s="872"/>
      <c r="S67" s="9"/>
      <c r="T67" s="9"/>
      <c r="U67" s="9"/>
      <c r="V67" s="9"/>
      <c r="W67" s="136"/>
      <c r="X67" s="9"/>
      <c r="Y67" s="9"/>
      <c r="Z67" s="9"/>
      <c r="AA67" s="9"/>
      <c r="AB67" s="9"/>
    </row>
    <row r="68" spans="1:28" ht="13.5" hidden="1" customHeight="1" outlineLevel="1" x14ac:dyDescent="0.25">
      <c r="A68" s="9"/>
      <c r="B68" s="9"/>
      <c r="C68" s="9"/>
      <c r="D68" s="9"/>
      <c r="E68" s="9"/>
      <c r="F68" s="9"/>
      <c r="G68" s="9"/>
      <c r="H68" s="9"/>
      <c r="I68" s="9"/>
      <c r="J68" s="9"/>
      <c r="K68" s="9"/>
      <c r="L68" s="9"/>
      <c r="M68" s="9"/>
      <c r="N68" s="872"/>
      <c r="O68" s="872"/>
      <c r="P68" s="872"/>
      <c r="Q68" s="872"/>
      <c r="R68" s="899"/>
      <c r="S68" s="9"/>
      <c r="T68" s="9"/>
      <c r="U68" s="9"/>
      <c r="V68" s="9"/>
      <c r="W68" s="136"/>
      <c r="X68" s="9" t="s">
        <v>690</v>
      </c>
      <c r="Y68" s="9"/>
      <c r="Z68" s="9"/>
      <c r="AA68" s="9"/>
      <c r="AB68" s="685">
        <f ca="1">R53/AB51</f>
        <v>2.508451785841828</v>
      </c>
    </row>
    <row r="69" spans="1:28" ht="13.5" hidden="1" customHeight="1" outlineLevel="1" x14ac:dyDescent="0.25">
      <c r="A69" s="9"/>
      <c r="B69" s="9"/>
      <c r="C69" s="9"/>
      <c r="D69" s="9"/>
      <c r="E69" s="9"/>
      <c r="F69" s="9"/>
      <c r="G69" s="9"/>
      <c r="H69" s="9"/>
      <c r="I69" s="9"/>
      <c r="J69" s="9"/>
      <c r="K69" s="9"/>
      <c r="L69" s="9"/>
      <c r="M69" s="9"/>
      <c r="N69" s="900"/>
      <c r="O69" s="872"/>
      <c r="P69" s="872"/>
      <c r="Q69" s="872"/>
      <c r="R69" s="901"/>
      <c r="S69" s="9"/>
      <c r="T69" s="9"/>
      <c r="U69" s="9"/>
      <c r="V69" s="9"/>
      <c r="W69" s="9"/>
      <c r="X69" s="9"/>
      <c r="Y69" s="9"/>
      <c r="Z69" s="9"/>
      <c r="AA69" s="9"/>
      <c r="AB69" s="9"/>
    </row>
    <row r="70" spans="1:28" ht="13.5" hidden="1" customHeight="1" outlineLevel="1"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row>
    <row r="71" spans="1:28" ht="13.5" hidden="1" customHeight="1" outlineLevel="1"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row>
    <row r="72" spans="1:28" ht="13.5" hidden="1" customHeight="1" outlineLevel="1"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row>
    <row r="73" spans="1:28" ht="13.5" hidden="1" customHeight="1" outlineLevel="1" x14ac:dyDescent="0.25">
      <c r="A73" s="205" t="s">
        <v>0</v>
      </c>
      <c r="B73" s="9"/>
      <c r="C73" s="995" t="s">
        <v>42</v>
      </c>
      <c r="D73" s="933"/>
      <c r="E73" s="933"/>
      <c r="F73" s="933"/>
      <c r="G73" s="933"/>
      <c r="H73" s="933"/>
      <c r="I73" s="933"/>
      <c r="J73" s="933"/>
      <c r="K73" s="933"/>
      <c r="L73" s="933"/>
      <c r="M73" s="933"/>
      <c r="N73" s="933"/>
      <c r="O73" s="933"/>
      <c r="P73" s="933"/>
      <c r="Q73" s="933"/>
      <c r="R73" s="934"/>
      <c r="S73" s="205" t="s">
        <v>0</v>
      </c>
      <c r="T73" s="9"/>
      <c r="U73" s="9"/>
      <c r="V73" s="9"/>
      <c r="W73" s="9"/>
      <c r="X73" s="9"/>
      <c r="Y73" s="9"/>
      <c r="Z73" s="9"/>
      <c r="AA73" s="9"/>
      <c r="AB73" s="9"/>
    </row>
    <row r="74" spans="1:28" ht="4.5" hidden="1" customHeight="1" outlineLevel="1"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row>
    <row r="75" spans="1:28" ht="13.5" hidden="1" customHeight="1" outlineLevel="1" x14ac:dyDescent="0.25">
      <c r="A75" s="9"/>
      <c r="B75" s="9"/>
      <c r="C75" s="103" t="s">
        <v>679</v>
      </c>
      <c r="D75" s="9"/>
      <c r="E75" s="9"/>
      <c r="F75" s="9"/>
      <c r="G75" s="32" t="s">
        <v>692</v>
      </c>
      <c r="H75" s="9"/>
      <c r="I75" s="997" t="s">
        <v>143</v>
      </c>
      <c r="J75" s="998"/>
      <c r="K75" s="9"/>
      <c r="L75" s="9"/>
      <c r="M75" s="9"/>
      <c r="N75" s="9"/>
      <c r="O75" s="9"/>
      <c r="P75" s="9"/>
      <c r="Q75" s="9"/>
      <c r="R75" s="9"/>
      <c r="S75" s="9"/>
      <c r="T75" s="9"/>
      <c r="U75" s="9"/>
      <c r="V75" s="9"/>
      <c r="W75" s="9"/>
      <c r="X75" s="9"/>
      <c r="Y75" s="9"/>
      <c r="Z75" s="9"/>
      <c r="AA75" s="9"/>
      <c r="AB75" s="9"/>
    </row>
    <row r="76" spans="1:28" ht="13.5" hidden="1" customHeight="1" outlineLevel="1" x14ac:dyDescent="0.25">
      <c r="A76" s="9"/>
      <c r="B76" s="9"/>
      <c r="C76" s="9" t="s">
        <v>693</v>
      </c>
      <c r="D76" s="9"/>
      <c r="E76" s="9"/>
      <c r="F76" s="9"/>
      <c r="G76" s="687">
        <f ca="1">Discount_Rate</f>
        <v>8.2140227475214531E-2</v>
      </c>
      <c r="H76" s="9"/>
      <c r="I76" s="9" t="s">
        <v>694</v>
      </c>
      <c r="J76" s="688">
        <v>15</v>
      </c>
      <c r="K76" s="9"/>
      <c r="L76" s="9"/>
      <c r="M76" s="9"/>
      <c r="N76" s="9"/>
      <c r="O76" s="9"/>
      <c r="P76" s="9"/>
      <c r="Q76" s="9"/>
      <c r="R76" s="9"/>
      <c r="S76" s="9"/>
      <c r="T76" s="9"/>
      <c r="U76" s="9"/>
      <c r="V76" s="9"/>
      <c r="W76" s="9"/>
      <c r="X76" s="9"/>
      <c r="Y76" s="9"/>
      <c r="Z76" s="9"/>
      <c r="AA76" s="9"/>
      <c r="AB76" s="9"/>
    </row>
    <row r="77" spans="1:28" ht="13.5" hidden="1" customHeight="1" outlineLevel="1" x14ac:dyDescent="0.25">
      <c r="A77" s="9"/>
      <c r="B77" s="9"/>
      <c r="C77" s="9" t="s">
        <v>280</v>
      </c>
      <c r="D77" s="9"/>
      <c r="E77" s="9"/>
      <c r="F77" s="9"/>
      <c r="G77" s="689">
        <f>Tax_Rate</f>
        <v>0.21360508205399684</v>
      </c>
      <c r="H77" s="9"/>
      <c r="I77" s="9" t="s">
        <v>26</v>
      </c>
      <c r="J77" s="688">
        <v>18</v>
      </c>
      <c r="K77" s="9"/>
      <c r="L77" s="9"/>
      <c r="M77" s="9"/>
      <c r="N77" s="9"/>
      <c r="O77" s="9"/>
      <c r="P77" s="9"/>
      <c r="Q77" s="9"/>
      <c r="R77" s="9"/>
      <c r="S77" s="9"/>
      <c r="T77" s="9"/>
      <c r="U77" s="9"/>
      <c r="V77" s="9"/>
      <c r="W77" s="9"/>
      <c r="X77" s="9"/>
      <c r="Y77" s="9"/>
      <c r="Z77" s="9"/>
      <c r="AA77" s="9"/>
      <c r="AB77" s="9"/>
    </row>
    <row r="78" spans="1:28" ht="13.5" hidden="1" customHeight="1" outlineLevel="1" x14ac:dyDescent="0.25">
      <c r="A78" s="9"/>
      <c r="B78" s="9"/>
      <c r="C78" s="9" t="s">
        <v>669</v>
      </c>
      <c r="D78" s="9"/>
      <c r="E78" s="9"/>
      <c r="F78" s="9"/>
      <c r="G78" s="690">
        <v>0.02</v>
      </c>
      <c r="H78" s="9"/>
      <c r="I78" s="9" t="s">
        <v>695</v>
      </c>
      <c r="J78" s="688">
        <v>21</v>
      </c>
      <c r="K78" s="9"/>
      <c r="L78" s="9"/>
      <c r="M78" s="9"/>
      <c r="N78" s="9"/>
      <c r="O78" s="9"/>
      <c r="P78" s="9"/>
      <c r="Q78" s="9"/>
      <c r="R78" s="9"/>
      <c r="S78" s="9"/>
      <c r="T78" s="9"/>
      <c r="U78" s="9"/>
      <c r="V78" s="9"/>
      <c r="W78" s="9"/>
      <c r="X78" s="9"/>
      <c r="Y78" s="9"/>
      <c r="Z78" s="9"/>
      <c r="AA78" s="9"/>
      <c r="AB78" s="9"/>
    </row>
    <row r="79" spans="1:28" ht="13.5" hidden="1" customHeight="1" outlineLevel="1" x14ac:dyDescent="0.25">
      <c r="A79" s="9"/>
      <c r="B79" s="9"/>
      <c r="C79" s="9" t="s">
        <v>143</v>
      </c>
      <c r="D79" s="9"/>
      <c r="E79" s="9"/>
      <c r="F79" s="9"/>
      <c r="G79" s="688" t="e">
        <f ca="1">_xludf.IFS(Case_Scenario="Base",Valuation!J77,Case_Scenario="Bull",Valuation!J78,Case_Scenario="Bear",Valuation!J76)</f>
        <v>#NAME?</v>
      </c>
      <c r="H79" s="9"/>
      <c r="I79" s="9"/>
      <c r="J79" s="688"/>
      <c r="K79" s="9"/>
      <c r="L79" s="9"/>
      <c r="M79" s="9"/>
      <c r="N79" s="9"/>
      <c r="O79" s="9"/>
      <c r="P79" s="9"/>
      <c r="Q79" s="9"/>
      <c r="R79" s="9"/>
      <c r="S79" s="9"/>
      <c r="T79" s="9"/>
      <c r="U79" s="9"/>
      <c r="V79" s="9"/>
      <c r="W79" s="9"/>
      <c r="X79" s="9"/>
      <c r="Y79" s="9"/>
      <c r="Z79" s="9"/>
      <c r="AA79" s="9"/>
      <c r="AB79" s="9"/>
    </row>
    <row r="80" spans="1:28" ht="13.5" hidden="1" customHeight="1" outlineLevel="1" x14ac:dyDescent="0.25">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row>
    <row r="81" spans="1:28" ht="4.5" hidden="1" customHeight="1" outlineLevel="1" x14ac:dyDescent="0.25">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row>
    <row r="82" spans="1:28" ht="14.25" hidden="1" customHeight="1" outlineLevel="1" x14ac:dyDescent="0.25">
      <c r="A82" s="205" t="s">
        <v>0</v>
      </c>
      <c r="B82" s="9"/>
      <c r="C82" s="995" t="s">
        <v>696</v>
      </c>
      <c r="D82" s="933"/>
      <c r="E82" s="933"/>
      <c r="F82" s="933"/>
      <c r="G82" s="933"/>
      <c r="H82" s="933"/>
      <c r="I82" s="933"/>
      <c r="J82" s="933"/>
      <c r="K82" s="933"/>
      <c r="L82" s="933"/>
      <c r="M82" s="933"/>
      <c r="N82" s="933"/>
      <c r="O82" s="933"/>
      <c r="P82" s="933"/>
      <c r="Q82" s="933"/>
      <c r="R82" s="934"/>
      <c r="S82" s="205" t="s">
        <v>0</v>
      </c>
      <c r="T82" s="9"/>
      <c r="U82" s="9"/>
      <c r="V82" s="9"/>
      <c r="W82" s="9"/>
      <c r="X82" s="9"/>
      <c r="Y82" s="9"/>
      <c r="Z82" s="9"/>
      <c r="AA82" s="9"/>
      <c r="AB82" s="9"/>
    </row>
    <row r="83" spans="1:28" ht="4.5" hidden="1" customHeight="1" outlineLevel="1" x14ac:dyDescent="0.25">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row>
    <row r="84" spans="1:28" ht="14.25" hidden="1" customHeight="1" outlineLevel="1" x14ac:dyDescent="0.25">
      <c r="A84" s="9"/>
      <c r="B84" s="9"/>
      <c r="C84" s="9" t="s">
        <v>697</v>
      </c>
      <c r="D84" s="9"/>
      <c r="E84" s="685">
        <f>J77</f>
        <v>18</v>
      </c>
      <c r="F84" s="600">
        <f>E84-H90</f>
        <v>0</v>
      </c>
      <c r="G84" s="9"/>
      <c r="H84" s="9" t="s">
        <v>698</v>
      </c>
      <c r="I84" s="9"/>
      <c r="J84" s="691">
        <f>G78</f>
        <v>0.02</v>
      </c>
      <c r="K84" s="600">
        <f>J84-H98</f>
        <v>0</v>
      </c>
      <c r="L84" s="9"/>
      <c r="M84" s="9" t="s">
        <v>699</v>
      </c>
      <c r="N84" s="9"/>
      <c r="O84" s="691">
        <f ca="1">G76</f>
        <v>8.2140227475214531E-2</v>
      </c>
      <c r="P84" s="600">
        <f ca="1">O84-E93</f>
        <v>0</v>
      </c>
      <c r="Q84" s="9"/>
      <c r="R84" s="9"/>
      <c r="S84" s="9"/>
      <c r="T84" s="9"/>
      <c r="U84" s="9"/>
      <c r="V84" s="9"/>
      <c r="W84" s="9"/>
      <c r="X84" s="9"/>
      <c r="Y84" s="9"/>
      <c r="Z84" s="9"/>
      <c r="AA84" s="9"/>
      <c r="AB84" s="9"/>
    </row>
    <row r="85" spans="1:28" ht="14.25" hidden="1" customHeight="1" outlineLevel="1" x14ac:dyDescent="0.25">
      <c r="A85" s="9"/>
      <c r="B85" s="9"/>
      <c r="C85" s="9" t="s">
        <v>700</v>
      </c>
      <c r="D85" s="9"/>
      <c r="E85" s="692">
        <v>1</v>
      </c>
      <c r="F85" s="9"/>
      <c r="G85" s="9"/>
      <c r="H85" s="9" t="s">
        <v>701</v>
      </c>
      <c r="I85" s="9"/>
      <c r="J85" s="693">
        <v>5.0000000000000001E-3</v>
      </c>
      <c r="K85" s="9"/>
      <c r="L85" s="9"/>
      <c r="M85" s="9" t="s">
        <v>702</v>
      </c>
      <c r="N85" s="9"/>
      <c r="O85" s="693">
        <v>5.0000000000000001E-3</v>
      </c>
      <c r="P85" s="9"/>
      <c r="Q85" s="9"/>
      <c r="R85" s="9"/>
      <c r="S85" s="9"/>
      <c r="T85" s="9"/>
      <c r="U85" s="9"/>
      <c r="V85" s="9"/>
      <c r="W85" s="9"/>
      <c r="X85" s="9"/>
      <c r="Y85" s="9"/>
      <c r="Z85" s="9"/>
      <c r="AA85" s="9"/>
      <c r="AB85" s="9"/>
    </row>
    <row r="86" spans="1:28" ht="14.25" hidden="1" customHeight="1" outlineLevel="1" x14ac:dyDescent="0.25">
      <c r="A86" s="9"/>
      <c r="B86" s="9"/>
      <c r="C86" s="9"/>
      <c r="D86" s="9"/>
      <c r="E86" s="32"/>
      <c r="F86" s="9"/>
      <c r="G86" s="9"/>
      <c r="H86" s="9"/>
      <c r="I86" s="9"/>
      <c r="J86" s="9"/>
      <c r="K86" s="9"/>
      <c r="L86" s="9"/>
      <c r="M86" s="9"/>
      <c r="N86" s="9"/>
      <c r="O86" s="9"/>
      <c r="P86" s="9"/>
      <c r="Q86" s="9"/>
      <c r="R86" s="9"/>
      <c r="S86" s="9"/>
      <c r="T86" s="9"/>
      <c r="U86" s="9"/>
      <c r="V86" s="9"/>
      <c r="W86" s="9"/>
      <c r="X86" s="9"/>
      <c r="Y86" s="9"/>
      <c r="Z86" s="9"/>
      <c r="AA86" s="9"/>
      <c r="AB86" s="9"/>
    </row>
    <row r="87" spans="1:28" ht="14.25" hidden="1" customHeight="1" outlineLevel="1" x14ac:dyDescent="0.25">
      <c r="A87" s="9"/>
      <c r="B87" s="9"/>
      <c r="C87" s="9"/>
      <c r="D87" s="996" t="s">
        <v>703</v>
      </c>
      <c r="E87" s="933"/>
      <c r="F87" s="933"/>
      <c r="G87" s="933"/>
      <c r="H87" s="933"/>
      <c r="I87" s="933"/>
      <c r="J87" s="934"/>
      <c r="K87" s="694"/>
      <c r="L87" s="996" t="s">
        <v>704</v>
      </c>
      <c r="M87" s="933"/>
      <c r="N87" s="933"/>
      <c r="O87" s="933"/>
      <c r="P87" s="933"/>
      <c r="Q87" s="933"/>
      <c r="R87" s="934"/>
      <c r="S87" s="9"/>
      <c r="T87" s="9"/>
      <c r="U87" s="9"/>
      <c r="V87" s="9"/>
      <c r="W87" s="9"/>
      <c r="X87" s="9"/>
      <c r="Y87" s="9"/>
      <c r="Z87" s="9"/>
      <c r="AA87" s="9"/>
      <c r="AB87" s="9"/>
    </row>
    <row r="88" spans="1:28" ht="14.25" hidden="1" customHeight="1" outlineLevel="1" x14ac:dyDescent="0.25">
      <c r="A88" s="9"/>
      <c r="B88" s="9"/>
      <c r="C88" s="9"/>
      <c r="D88" s="37"/>
      <c r="E88" s="143"/>
      <c r="F88" s="64"/>
      <c r="G88" s="64"/>
      <c r="H88" s="64"/>
      <c r="I88" s="64"/>
      <c r="J88" s="64"/>
      <c r="K88" s="694"/>
      <c r="L88" s="37"/>
      <c r="M88" s="143"/>
      <c r="N88" s="64"/>
      <c r="O88" s="64"/>
      <c r="P88" s="64"/>
      <c r="Q88" s="64"/>
      <c r="R88" s="64"/>
      <c r="S88" s="9"/>
      <c r="T88" s="9"/>
      <c r="U88" s="9"/>
      <c r="V88" s="9"/>
      <c r="W88" s="9"/>
      <c r="X88" s="9"/>
      <c r="Y88" s="9"/>
      <c r="Z88" s="9"/>
      <c r="AA88" s="9"/>
      <c r="AB88" s="9"/>
    </row>
    <row r="89" spans="1:28" ht="14.25" hidden="1" customHeight="1" outlineLevel="1" x14ac:dyDescent="0.25">
      <c r="A89" s="9"/>
      <c r="B89" s="9"/>
      <c r="C89" s="9"/>
      <c r="D89" s="522"/>
      <c r="E89" s="524"/>
      <c r="F89" s="990" t="s">
        <v>143</v>
      </c>
      <c r="G89" s="991"/>
      <c r="H89" s="991"/>
      <c r="I89" s="991"/>
      <c r="J89" s="991"/>
      <c r="K89" s="9"/>
      <c r="L89" s="522"/>
      <c r="M89" s="524"/>
      <c r="N89" s="990" t="s">
        <v>143</v>
      </c>
      <c r="O89" s="991"/>
      <c r="P89" s="991"/>
      <c r="Q89" s="991"/>
      <c r="R89" s="991"/>
      <c r="S89" s="9"/>
      <c r="T89" s="9"/>
      <c r="U89" s="9"/>
      <c r="V89" s="9"/>
      <c r="W89" s="9"/>
      <c r="X89" s="9"/>
      <c r="Y89" s="9"/>
      <c r="Z89" s="9"/>
      <c r="AA89" s="9"/>
      <c r="AB89" s="9"/>
    </row>
    <row r="90" spans="1:28" ht="14.25" hidden="1" customHeight="1" outlineLevel="1" x14ac:dyDescent="0.25">
      <c r="A90" s="9"/>
      <c r="B90" s="9"/>
      <c r="C90" s="9"/>
      <c r="D90" s="9"/>
      <c r="E90" s="695">
        <f>K68</f>
        <v>0</v>
      </c>
      <c r="F90" s="696">
        <f t="shared" ref="F90:G90" si="6">G90-$E$85</f>
        <v>16</v>
      </c>
      <c r="G90" s="696">
        <f t="shared" si="6"/>
        <v>17</v>
      </c>
      <c r="H90" s="697">
        <f>+E84</f>
        <v>18</v>
      </c>
      <c r="I90" s="696">
        <f t="shared" ref="I90:J90" si="7">H90+$E$85</f>
        <v>19</v>
      </c>
      <c r="J90" s="696">
        <f t="shared" si="7"/>
        <v>20</v>
      </c>
      <c r="K90" s="9"/>
      <c r="L90" s="9"/>
      <c r="M90" s="698">
        <f>$H$65</f>
        <v>0</v>
      </c>
      <c r="N90" s="696">
        <f t="shared" ref="N90:R90" si="8">F90</f>
        <v>16</v>
      </c>
      <c r="O90" s="696">
        <f t="shared" si="8"/>
        <v>17</v>
      </c>
      <c r="P90" s="696">
        <f t="shared" si="8"/>
        <v>18</v>
      </c>
      <c r="Q90" s="696">
        <f t="shared" si="8"/>
        <v>19</v>
      </c>
      <c r="R90" s="696">
        <f t="shared" si="8"/>
        <v>20</v>
      </c>
      <c r="S90" s="9"/>
      <c r="T90" s="9"/>
      <c r="U90" s="9"/>
      <c r="V90" s="9"/>
      <c r="W90" s="9"/>
      <c r="X90" s="9"/>
      <c r="Y90" s="9"/>
      <c r="Z90" s="9"/>
      <c r="AA90" s="9"/>
      <c r="AB90" s="9"/>
    </row>
    <row r="91" spans="1:28" ht="14.25" hidden="1" customHeight="1" outlineLevel="1" x14ac:dyDescent="0.25">
      <c r="A91" s="9"/>
      <c r="B91" s="9"/>
      <c r="C91" s="9"/>
      <c r="D91" s="992" t="s">
        <v>43</v>
      </c>
      <c r="E91" s="699">
        <f t="shared" ref="E91:E92" ca="1" si="9">E92-$O$85</f>
        <v>7.2140227475214522E-2</v>
      </c>
      <c r="F91" s="700">
        <v>236.33583068885625</v>
      </c>
      <c r="G91" s="701">
        <v>255.22340234056509</v>
      </c>
      <c r="H91" s="701">
        <v>274.11097399227401</v>
      </c>
      <c r="I91" s="701">
        <v>292.99854564398288</v>
      </c>
      <c r="J91" s="702">
        <v>311.8861172956918</v>
      </c>
      <c r="K91" s="9"/>
      <c r="L91" s="992" t="s">
        <v>43</v>
      </c>
      <c r="M91" s="699">
        <f t="shared" ref="M91:M95" ca="1" si="10">E91</f>
        <v>7.2140227475214522E-2</v>
      </c>
      <c r="N91" s="703">
        <f t="shared" ref="N91:R95" si="11">F91/Share_Price-1</f>
        <v>-0.24946543018560052</v>
      </c>
      <c r="O91" s="594">
        <f t="shared" si="11"/>
        <v>-0.18948393934210328</v>
      </c>
      <c r="P91" s="594">
        <f t="shared" si="11"/>
        <v>-0.12950244849860582</v>
      </c>
      <c r="Q91" s="594">
        <f t="shared" si="11"/>
        <v>-6.9520957655108462E-2</v>
      </c>
      <c r="R91" s="704">
        <f t="shared" si="11"/>
        <v>-9.5394668116109971E-3</v>
      </c>
      <c r="S91" s="9"/>
      <c r="T91" s="9"/>
      <c r="U91" s="9"/>
      <c r="V91" s="9"/>
      <c r="W91" s="9"/>
      <c r="X91" s="9"/>
      <c r="Y91" s="9"/>
      <c r="Z91" s="9"/>
      <c r="AA91" s="9"/>
      <c r="AB91" s="9"/>
    </row>
    <row r="92" spans="1:28" ht="14.25" hidden="1" customHeight="1" outlineLevel="1" x14ac:dyDescent="0.25">
      <c r="A92" s="9"/>
      <c r="B92" s="9"/>
      <c r="C92" s="9"/>
      <c r="D92" s="993"/>
      <c r="E92" s="699">
        <f t="shared" ca="1" si="9"/>
        <v>7.7140227475214526E-2</v>
      </c>
      <c r="F92" s="705">
        <v>232.22019290427394</v>
      </c>
      <c r="G92" s="706">
        <v>250.78261834058881</v>
      </c>
      <c r="H92" s="706">
        <v>269.34504377690365</v>
      </c>
      <c r="I92" s="706">
        <v>287.90746921321852</v>
      </c>
      <c r="J92" s="707">
        <v>306.46989464953344</v>
      </c>
      <c r="K92" s="9"/>
      <c r="L92" s="993"/>
      <c r="M92" s="699">
        <f t="shared" ca="1" si="10"/>
        <v>7.7140227475214526E-2</v>
      </c>
      <c r="N92" s="708">
        <f t="shared" si="11"/>
        <v>-0.26253551111729823</v>
      </c>
      <c r="O92" s="484">
        <f t="shared" si="11"/>
        <v>-0.20358659106167609</v>
      </c>
      <c r="P92" s="484">
        <f t="shared" si="11"/>
        <v>-0.14463767100605396</v>
      </c>
      <c r="Q92" s="484">
        <f t="shared" si="11"/>
        <v>-8.5688750950431825E-2</v>
      </c>
      <c r="R92" s="605">
        <f t="shared" si="11"/>
        <v>-2.6739830894809469E-2</v>
      </c>
      <c r="S92" s="9"/>
      <c r="T92" s="9"/>
      <c r="U92" s="9"/>
      <c r="V92" s="9"/>
      <c r="W92" s="9"/>
      <c r="X92" s="9"/>
      <c r="Y92" s="9"/>
      <c r="Z92" s="9"/>
      <c r="AA92" s="9"/>
      <c r="AB92" s="9"/>
    </row>
    <row r="93" spans="1:28" ht="14.25" hidden="1" customHeight="1" outlineLevel="1" x14ac:dyDescent="0.25">
      <c r="A93" s="9"/>
      <c r="B93" s="9"/>
      <c r="C93" s="9"/>
      <c r="D93" s="993"/>
      <c r="E93" s="709">
        <f ca="1">+O84</f>
        <v>8.2140227475214531E-2</v>
      </c>
      <c r="F93" s="710">
        <v>228.19143454386773</v>
      </c>
      <c r="G93" s="706">
        <v>246.43576913961923</v>
      </c>
      <c r="H93" s="706">
        <v>264.68010373537061</v>
      </c>
      <c r="I93" s="706">
        <v>282.92443833112208</v>
      </c>
      <c r="J93" s="707">
        <v>301.16877292687354</v>
      </c>
      <c r="K93" s="9"/>
      <c r="L93" s="993"/>
      <c r="M93" s="699">
        <f ca="1">+O84</f>
        <v>8.2140227475214531E-2</v>
      </c>
      <c r="N93" s="708">
        <f t="shared" si="11"/>
        <v>-0.27532968800575519</v>
      </c>
      <c r="O93" s="484">
        <f t="shared" si="11"/>
        <v>-0.21739093289841138</v>
      </c>
      <c r="P93" s="484">
        <f t="shared" si="11"/>
        <v>-0.15945217779106791</v>
      </c>
      <c r="Q93" s="484">
        <f t="shared" si="11"/>
        <v>-0.10151342268372421</v>
      </c>
      <c r="R93" s="605">
        <f t="shared" si="11"/>
        <v>-4.357466757638051E-2</v>
      </c>
      <c r="S93" s="9"/>
      <c r="T93" s="9"/>
      <c r="U93" s="9"/>
      <c r="V93" s="9"/>
      <c r="W93" s="9"/>
      <c r="X93" s="9"/>
      <c r="Y93" s="9"/>
      <c r="Z93" s="9"/>
      <c r="AA93" s="9"/>
      <c r="AB93" s="9"/>
    </row>
    <row r="94" spans="1:28" ht="14.25" hidden="1" customHeight="1" outlineLevel="1" x14ac:dyDescent="0.25">
      <c r="A94" s="9"/>
      <c r="B94" s="9"/>
      <c r="C94" s="9"/>
      <c r="D94" s="993"/>
      <c r="E94" s="699">
        <f t="shared" ref="E94:E95" ca="1" si="12">E93+$O$85</f>
        <v>8.7140227475214535E-2</v>
      </c>
      <c r="F94" s="705">
        <v>224.24731517247491</v>
      </c>
      <c r="G94" s="706">
        <v>242.1804298569011</v>
      </c>
      <c r="H94" s="706">
        <v>260.11354454132726</v>
      </c>
      <c r="I94" s="706">
        <v>278.04665922575344</v>
      </c>
      <c r="J94" s="707">
        <v>295.97977391017963</v>
      </c>
      <c r="K94" s="9"/>
      <c r="L94" s="993"/>
      <c r="M94" s="699">
        <f t="shared" ca="1" si="10"/>
        <v>8.7140227475214535E-2</v>
      </c>
      <c r="N94" s="708">
        <f t="shared" si="11"/>
        <v>-0.28785507582814662</v>
      </c>
      <c r="O94" s="484">
        <f t="shared" si="11"/>
        <v>-0.2309046655755943</v>
      </c>
      <c r="P94" s="484">
        <f t="shared" si="11"/>
        <v>-0.1739542553230421</v>
      </c>
      <c r="Q94" s="484">
        <f t="shared" si="11"/>
        <v>-0.11700384507048989</v>
      </c>
      <c r="R94" s="605">
        <f t="shared" si="11"/>
        <v>-6.0053434817937568E-2</v>
      </c>
      <c r="S94" s="9"/>
      <c r="T94" s="9"/>
      <c r="U94" s="9"/>
      <c r="V94" s="9"/>
      <c r="W94" s="9"/>
      <c r="X94" s="9"/>
      <c r="Y94" s="9"/>
      <c r="Z94" s="9"/>
      <c r="AA94" s="9"/>
      <c r="AB94" s="9"/>
    </row>
    <row r="95" spans="1:28" ht="14.25" hidden="1" customHeight="1" outlineLevel="1" x14ac:dyDescent="0.25">
      <c r="A95" s="9"/>
      <c r="B95" s="9"/>
      <c r="C95" s="9"/>
      <c r="D95" s="994"/>
      <c r="E95" s="699">
        <f t="shared" ca="1" si="12"/>
        <v>9.2140227475214539E-2</v>
      </c>
      <c r="F95" s="711">
        <v>220.38566223253238</v>
      </c>
      <c r="G95" s="712">
        <v>238.01424912332109</v>
      </c>
      <c r="H95" s="712">
        <v>255.64283601410978</v>
      </c>
      <c r="I95" s="712">
        <v>273.27142290489849</v>
      </c>
      <c r="J95" s="713">
        <v>290.90000979568714</v>
      </c>
      <c r="K95" s="9"/>
      <c r="L95" s="994"/>
      <c r="M95" s="699">
        <f t="shared" ca="1" si="10"/>
        <v>9.2140227475214539E-2</v>
      </c>
      <c r="N95" s="714">
        <f t="shared" si="11"/>
        <v>-0.30011857400192954</v>
      </c>
      <c r="O95" s="602">
        <f t="shared" si="11"/>
        <v>-0.24413525636469524</v>
      </c>
      <c r="P95" s="602">
        <f t="shared" si="11"/>
        <v>-0.18815193872746105</v>
      </c>
      <c r="Q95" s="602">
        <f t="shared" si="11"/>
        <v>-0.13216862109022676</v>
      </c>
      <c r="R95" s="715">
        <f t="shared" si="11"/>
        <v>-7.618530345299257E-2</v>
      </c>
      <c r="S95" s="9"/>
      <c r="T95" s="9"/>
      <c r="U95" s="9"/>
      <c r="V95" s="9"/>
      <c r="W95" s="9"/>
      <c r="X95" s="9"/>
      <c r="Y95" s="9"/>
      <c r="Z95" s="9"/>
      <c r="AA95" s="9"/>
      <c r="AB95" s="9"/>
    </row>
    <row r="96" spans="1:28" ht="14.25" hidden="1" customHeight="1" outlineLevel="1" x14ac:dyDescent="0.25">
      <c r="A96" s="9"/>
      <c r="B96" s="9"/>
      <c r="C96" s="9"/>
      <c r="D96" s="9"/>
      <c r="E96" s="9"/>
      <c r="F96" s="9"/>
      <c r="G96" s="9"/>
      <c r="H96" s="9"/>
      <c r="I96" s="9"/>
      <c r="J96" s="9"/>
      <c r="K96" s="9"/>
      <c r="L96" s="9"/>
      <c r="M96" s="9"/>
      <c r="N96" s="64"/>
      <c r="O96" s="64"/>
      <c r="P96" s="64"/>
      <c r="Q96" s="64"/>
      <c r="R96" s="64"/>
      <c r="S96" s="9"/>
      <c r="T96" s="9"/>
      <c r="U96" s="9"/>
      <c r="V96" s="9"/>
      <c r="W96" s="9"/>
      <c r="X96" s="9"/>
      <c r="Y96" s="9"/>
      <c r="Z96" s="9"/>
      <c r="AA96" s="9"/>
      <c r="AB96" s="9"/>
    </row>
    <row r="97" spans="1:28" ht="14.25" hidden="1" customHeight="1" outlineLevel="1" x14ac:dyDescent="0.25">
      <c r="A97" s="9"/>
      <c r="B97" s="9"/>
      <c r="C97" s="9"/>
      <c r="D97" s="522"/>
      <c r="E97" s="524"/>
      <c r="F97" s="990" t="s">
        <v>705</v>
      </c>
      <c r="G97" s="991"/>
      <c r="H97" s="991"/>
      <c r="I97" s="991"/>
      <c r="J97" s="991"/>
      <c r="K97" s="9"/>
      <c r="L97" s="522"/>
      <c r="M97" s="524"/>
      <c r="N97" s="990" t="s">
        <v>705</v>
      </c>
      <c r="O97" s="991"/>
      <c r="P97" s="991"/>
      <c r="Q97" s="991"/>
      <c r="R97" s="991"/>
      <c r="S97" s="9"/>
      <c r="T97" s="9"/>
      <c r="U97" s="9"/>
      <c r="V97" s="9"/>
      <c r="W97" s="9"/>
      <c r="X97" s="9"/>
      <c r="Y97" s="9"/>
      <c r="Z97" s="9"/>
      <c r="AA97" s="9"/>
      <c r="AB97" s="9"/>
    </row>
    <row r="98" spans="1:28" ht="14.25" hidden="1" customHeight="1" outlineLevel="1" x14ac:dyDescent="0.25">
      <c r="A98" s="9"/>
      <c r="B98" s="9"/>
      <c r="C98" s="9"/>
      <c r="D98" s="9"/>
      <c r="E98" s="695">
        <f>$R$68</f>
        <v>0</v>
      </c>
      <c r="F98" s="602">
        <f t="shared" ref="F98:G98" si="13">G98-$J$85</f>
        <v>9.9999999999999985E-3</v>
      </c>
      <c r="G98" s="602">
        <f t="shared" si="13"/>
        <v>1.4999999999999999E-2</v>
      </c>
      <c r="H98" s="716">
        <v>0.02</v>
      </c>
      <c r="I98" s="602">
        <f t="shared" ref="I98:J98" si="14">H98+$J$85</f>
        <v>2.5000000000000001E-2</v>
      </c>
      <c r="J98" s="602">
        <f t="shared" si="14"/>
        <v>3.0000000000000002E-2</v>
      </c>
      <c r="K98" s="9"/>
      <c r="L98" s="9"/>
      <c r="M98" s="698">
        <f>$O$65</f>
        <v>0</v>
      </c>
      <c r="N98" s="602">
        <f t="shared" ref="N98:R98" si="15">F98</f>
        <v>9.9999999999999985E-3</v>
      </c>
      <c r="O98" s="602">
        <f t="shared" si="15"/>
        <v>1.4999999999999999E-2</v>
      </c>
      <c r="P98" s="602">
        <f t="shared" si="15"/>
        <v>0.02</v>
      </c>
      <c r="Q98" s="602">
        <f t="shared" si="15"/>
        <v>2.5000000000000001E-2</v>
      </c>
      <c r="R98" s="602">
        <f t="shared" si="15"/>
        <v>3.0000000000000002E-2</v>
      </c>
      <c r="S98" s="9"/>
      <c r="T98" s="9"/>
      <c r="U98" s="9"/>
      <c r="V98" s="9"/>
      <c r="W98" s="9"/>
      <c r="X98" s="9"/>
      <c r="Y98" s="9"/>
      <c r="Z98" s="9"/>
      <c r="AA98" s="9"/>
      <c r="AB98" s="9"/>
    </row>
    <row r="99" spans="1:28" ht="14.25" hidden="1" customHeight="1" outlineLevel="1" x14ac:dyDescent="0.25">
      <c r="A99" s="9"/>
      <c r="B99" s="9"/>
      <c r="C99" s="9"/>
      <c r="D99" s="992" t="s">
        <v>43</v>
      </c>
      <c r="E99" s="699">
        <f t="shared" ref="E99:E100" ca="1" si="16">E91</f>
        <v>7.2140227475214522E-2</v>
      </c>
      <c r="F99" s="700">
        <v>186.95744698844035</v>
      </c>
      <c r="G99" s="701">
        <v>198.5140915183207</v>
      </c>
      <c r="H99" s="710">
        <v>211.74860199972466</v>
      </c>
      <c r="I99" s="701">
        <v>227.05498523210753</v>
      </c>
      <c r="J99" s="702">
        <v>244.96108856782928</v>
      </c>
      <c r="K99" s="9"/>
      <c r="L99" s="992" t="s">
        <v>43</v>
      </c>
      <c r="M99" s="699">
        <f t="shared" ref="M99:M103" ca="1" si="17">E99</f>
        <v>7.2140227475214522E-2</v>
      </c>
      <c r="N99" s="703">
        <f t="shared" ref="N99:R103" si="18">F99/Share_Price-1</f>
        <v>-0.40627696342074893</v>
      </c>
      <c r="O99" s="594">
        <f t="shared" si="18"/>
        <v>-0.36957638693410177</v>
      </c>
      <c r="P99" s="594">
        <f t="shared" si="18"/>
        <v>-0.32754739115334031</v>
      </c>
      <c r="Q99" s="594">
        <f t="shared" si="18"/>
        <v>-0.27893872389689245</v>
      </c>
      <c r="R99" s="704">
        <f t="shared" si="18"/>
        <v>-0.22207409391270194</v>
      </c>
      <c r="S99" s="9"/>
      <c r="T99" s="9"/>
      <c r="U99" s="9"/>
      <c r="V99" s="9"/>
      <c r="W99" s="9"/>
      <c r="X99" s="9"/>
      <c r="Y99" s="9"/>
      <c r="Z99" s="9"/>
      <c r="AA99" s="9"/>
      <c r="AB99" s="9"/>
    </row>
    <row r="100" spans="1:28" ht="14.25" hidden="1" customHeight="1" outlineLevel="1" x14ac:dyDescent="0.25">
      <c r="A100" s="9"/>
      <c r="B100" s="9"/>
      <c r="C100" s="9"/>
      <c r="D100" s="993"/>
      <c r="E100" s="699">
        <f t="shared" ca="1" si="16"/>
        <v>7.7140227475214526E-2</v>
      </c>
      <c r="F100" s="705">
        <v>183.69184937199219</v>
      </c>
      <c r="G100" s="706">
        <v>195.04954830416227</v>
      </c>
      <c r="H100" s="706">
        <v>208.05622902137139</v>
      </c>
      <c r="I100" s="706">
        <v>223.09911556550063</v>
      </c>
      <c r="J100" s="707">
        <v>240.69696848981826</v>
      </c>
      <c r="K100" s="9"/>
      <c r="L100" s="993"/>
      <c r="M100" s="699">
        <f t="shared" ca="1" si="17"/>
        <v>7.7140227475214526E-2</v>
      </c>
      <c r="N100" s="708">
        <f t="shared" si="18"/>
        <v>-0.41664756145958204</v>
      </c>
      <c r="O100" s="484">
        <f t="shared" si="18"/>
        <v>-0.38057877892545877</v>
      </c>
      <c r="P100" s="484">
        <f t="shared" si="18"/>
        <v>-0.33927330489576868</v>
      </c>
      <c r="Q100" s="484">
        <f t="shared" si="18"/>
        <v>-0.29150142727460182</v>
      </c>
      <c r="R100" s="605">
        <f t="shared" si="18"/>
        <v>-0.2356157118682134</v>
      </c>
      <c r="S100" s="9"/>
      <c r="T100" s="9"/>
      <c r="U100" s="9"/>
      <c r="V100" s="9"/>
      <c r="W100" s="9"/>
      <c r="X100" s="9"/>
      <c r="Y100" s="9"/>
      <c r="Z100" s="9"/>
      <c r="AA100" s="9"/>
      <c r="AB100" s="9"/>
    </row>
    <row r="101" spans="1:28" ht="14.25" hidden="1" customHeight="1" outlineLevel="1" x14ac:dyDescent="0.25">
      <c r="A101" s="9"/>
      <c r="B101" s="9"/>
      <c r="C101" s="9"/>
      <c r="D101" s="993"/>
      <c r="E101" s="717">
        <f ca="1">+O84</f>
        <v>8.2140227475214531E-2</v>
      </c>
      <c r="F101" s="705">
        <v>180.49468608725613</v>
      </c>
      <c r="G101" s="706">
        <v>191.65775635882392</v>
      </c>
      <c r="H101" s="706">
        <v>204.44155100888241</v>
      </c>
      <c r="I101" s="706">
        <v>219.22665850136025</v>
      </c>
      <c r="J101" s="707">
        <v>236.52294976564528</v>
      </c>
      <c r="K101" s="9"/>
      <c r="L101" s="993"/>
      <c r="M101" s="699">
        <f ca="1">+M93</f>
        <v>8.2140227475214531E-2</v>
      </c>
      <c r="N101" s="708">
        <f t="shared" si="18"/>
        <v>-0.4268008317594838</v>
      </c>
      <c r="O101" s="484">
        <f t="shared" si="18"/>
        <v>-0.39135013382824502</v>
      </c>
      <c r="P101" s="484">
        <f t="shared" si="18"/>
        <v>-0.35075248179083995</v>
      </c>
      <c r="Q101" s="484">
        <f t="shared" si="18"/>
        <v>-0.3037992362369073</v>
      </c>
      <c r="R101" s="605">
        <f t="shared" si="18"/>
        <v>-0.24887119385929912</v>
      </c>
      <c r="S101" s="9"/>
      <c r="T101" s="9"/>
      <c r="U101" s="9"/>
      <c r="V101" s="9"/>
      <c r="W101" s="9"/>
      <c r="X101" s="9"/>
      <c r="Y101" s="9"/>
      <c r="Z101" s="9"/>
      <c r="AA101" s="9"/>
      <c r="AB101" s="9"/>
    </row>
    <row r="102" spans="1:28" ht="14.25" hidden="1" customHeight="1" outlineLevel="1" x14ac:dyDescent="0.25">
      <c r="A102" s="9"/>
      <c r="B102" s="9"/>
      <c r="C102" s="9"/>
      <c r="D102" s="993"/>
      <c r="E102" s="699">
        <f t="shared" ref="E102:E103" ca="1" si="19">E94</f>
        <v>8.7140227475214535E-2</v>
      </c>
      <c r="F102" s="705">
        <v>177.36419890109127</v>
      </c>
      <c r="G102" s="706">
        <v>188.33684459335734</v>
      </c>
      <c r="H102" s="706">
        <v>200.90256763238992</v>
      </c>
      <c r="I102" s="706">
        <v>215.43546423613432</v>
      </c>
      <c r="J102" s="707">
        <v>232.43670773064315</v>
      </c>
      <c r="K102" s="9"/>
      <c r="L102" s="993"/>
      <c r="M102" s="699">
        <f t="shared" ca="1" si="17"/>
        <v>8.7140227475214535E-2</v>
      </c>
      <c r="N102" s="708">
        <f t="shared" si="18"/>
        <v>-0.43674235796280836</v>
      </c>
      <c r="O102" s="484">
        <f t="shared" si="18"/>
        <v>-0.40189639368237373</v>
      </c>
      <c r="P102" s="484">
        <f t="shared" si="18"/>
        <v>-0.3619912743104261</v>
      </c>
      <c r="Q102" s="484">
        <f t="shared" si="18"/>
        <v>-0.31583897794107674</v>
      </c>
      <c r="R102" s="605">
        <f t="shared" si="18"/>
        <v>-0.26184792235179533</v>
      </c>
      <c r="S102" s="9"/>
      <c r="T102" s="9"/>
      <c r="U102" s="9"/>
      <c r="V102" s="9"/>
      <c r="W102" s="9"/>
      <c r="X102" s="9"/>
      <c r="Y102" s="9"/>
      <c r="Z102" s="9"/>
      <c r="AA102" s="9"/>
      <c r="AB102" s="9"/>
    </row>
    <row r="103" spans="1:28" ht="14.25" hidden="1" customHeight="1" outlineLevel="1" x14ac:dyDescent="0.25">
      <c r="A103" s="9"/>
      <c r="B103" s="9"/>
      <c r="C103" s="9"/>
      <c r="D103" s="994"/>
      <c r="E103" s="699">
        <f t="shared" ca="1" si="19"/>
        <v>9.2140227475214539E-2</v>
      </c>
      <c r="F103" s="711">
        <v>174.2986827286993</v>
      </c>
      <c r="G103" s="712">
        <v>185.08499851443031</v>
      </c>
      <c r="H103" s="712">
        <v>197.43733910541226</v>
      </c>
      <c r="I103" s="712">
        <v>211.7234480754534</v>
      </c>
      <c r="J103" s="713">
        <v>228.43598817060391</v>
      </c>
      <c r="K103" s="9"/>
      <c r="L103" s="994"/>
      <c r="M103" s="699">
        <f t="shared" ca="1" si="17"/>
        <v>9.2140227475214539E-2</v>
      </c>
      <c r="N103" s="714">
        <f t="shared" si="18"/>
        <v>-0.44647755492807228</v>
      </c>
      <c r="O103" s="602">
        <f t="shared" si="18"/>
        <v>-0.41222332079637236</v>
      </c>
      <c r="P103" s="602">
        <f t="shared" si="18"/>
        <v>-0.3729958426580321</v>
      </c>
      <c r="Q103" s="602">
        <f t="shared" si="18"/>
        <v>-0.3276272727763555</v>
      </c>
      <c r="R103" s="715">
        <f t="shared" si="18"/>
        <v>-0.27455305608115876</v>
      </c>
      <c r="S103" s="9"/>
      <c r="T103" s="9"/>
      <c r="U103" s="9"/>
      <c r="V103" s="9"/>
      <c r="W103" s="9"/>
      <c r="X103" s="9"/>
      <c r="Y103" s="9"/>
      <c r="Z103" s="9"/>
      <c r="AA103" s="9"/>
      <c r="AB103" s="9"/>
    </row>
    <row r="104" spans="1:28" ht="4.5" hidden="1" customHeight="1" outlineLevel="1" x14ac:dyDescent="0.25">
      <c r="A104" s="9"/>
      <c r="B104" s="9"/>
      <c r="C104" s="9"/>
      <c r="D104" s="9"/>
      <c r="E104" s="9"/>
      <c r="F104" s="9"/>
      <c r="G104" s="9"/>
      <c r="H104" s="9"/>
      <c r="I104" s="9"/>
      <c r="J104" s="9"/>
      <c r="K104" s="9"/>
      <c r="L104" s="9"/>
      <c r="M104" s="9"/>
      <c r="N104" s="64"/>
      <c r="O104" s="64"/>
      <c r="P104" s="64"/>
      <c r="Q104" s="64"/>
      <c r="R104" s="64"/>
      <c r="S104" s="9"/>
      <c r="T104" s="9"/>
      <c r="U104" s="9"/>
      <c r="V104" s="9"/>
      <c r="W104" s="9"/>
      <c r="X104" s="9"/>
      <c r="Y104" s="9"/>
      <c r="Z104" s="9"/>
      <c r="AA104" s="9"/>
      <c r="AB104" s="9"/>
    </row>
    <row r="105" spans="1:28" ht="13.5" hidden="1" customHeight="1" outlineLevel="1" x14ac:dyDescent="0.25">
      <c r="A105" s="9"/>
      <c r="B105" s="9"/>
      <c r="C105" s="9"/>
      <c r="D105" s="9"/>
      <c r="E105" s="9"/>
      <c r="F105" s="9"/>
      <c r="G105" s="9"/>
      <c r="H105" s="9"/>
      <c r="I105" s="9"/>
      <c r="J105" s="9"/>
      <c r="K105" s="9"/>
      <c r="L105" s="9"/>
      <c r="M105" s="9"/>
      <c r="N105" s="64"/>
      <c r="O105" s="64"/>
      <c r="P105" s="64"/>
      <c r="Q105" s="64"/>
      <c r="R105" s="64"/>
      <c r="S105" s="9"/>
      <c r="T105" s="9"/>
      <c r="U105" s="9"/>
      <c r="V105" s="9"/>
      <c r="W105" s="9"/>
      <c r="X105" s="9"/>
      <c r="Y105" s="9"/>
      <c r="Z105" s="9"/>
      <c r="AA105" s="9"/>
      <c r="AB105" s="9"/>
    </row>
    <row r="106" spans="1:28" ht="13.5" customHeight="1" collapsed="1" x14ac:dyDescent="0.25">
      <c r="A106" s="205" t="s">
        <v>0</v>
      </c>
      <c r="B106" s="9"/>
      <c r="C106" s="953" t="s">
        <v>706</v>
      </c>
      <c r="D106" s="954"/>
      <c r="E106" s="954"/>
      <c r="F106" s="954"/>
      <c r="G106" s="954"/>
      <c r="H106" s="954"/>
      <c r="I106" s="954"/>
      <c r="J106" s="954"/>
      <c r="K106" s="954"/>
      <c r="L106" s="954"/>
      <c r="M106" s="954"/>
      <c r="N106" s="954"/>
      <c r="O106" s="954"/>
      <c r="P106" s="954"/>
      <c r="Q106" s="954"/>
      <c r="R106" s="955"/>
      <c r="S106" s="205" t="s">
        <v>0</v>
      </c>
      <c r="T106" s="9"/>
      <c r="U106" s="9"/>
      <c r="V106" s="9"/>
      <c r="W106" s="9"/>
      <c r="X106" s="9"/>
      <c r="Y106" s="9"/>
      <c r="Z106" s="9"/>
      <c r="AA106" s="9"/>
      <c r="AB106" s="9"/>
    </row>
    <row r="107" spans="1:28" ht="4.5" customHeight="1"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row>
    <row r="108" spans="1:28" ht="13.5" customHeight="1" x14ac:dyDescent="0.25">
      <c r="A108" s="9"/>
      <c r="B108" s="9"/>
      <c r="C108" s="9"/>
      <c r="D108" s="932" t="s">
        <v>707</v>
      </c>
      <c r="E108" s="933"/>
      <c r="F108" s="934"/>
      <c r="G108" s="9"/>
      <c r="H108" s="932" t="s">
        <v>708</v>
      </c>
      <c r="I108" s="933"/>
      <c r="J108" s="934"/>
      <c r="K108" s="9"/>
      <c r="L108" s="932" t="s">
        <v>135</v>
      </c>
      <c r="M108" s="933"/>
      <c r="N108" s="934"/>
      <c r="O108" s="136"/>
      <c r="P108" s="932" t="s">
        <v>709</v>
      </c>
      <c r="Q108" s="933"/>
      <c r="R108" s="934"/>
      <c r="S108" s="9"/>
      <c r="T108" s="9"/>
      <c r="U108" s="9"/>
      <c r="V108" s="9"/>
      <c r="W108" s="9"/>
      <c r="X108" s="9"/>
      <c r="Y108" s="9"/>
      <c r="Z108" s="9"/>
      <c r="AA108" s="9"/>
      <c r="AB108" s="9"/>
    </row>
    <row r="109" spans="1:28" ht="4.5" customHeight="1" x14ac:dyDescent="0.25">
      <c r="A109" s="9"/>
      <c r="B109" s="9"/>
      <c r="C109" s="9"/>
      <c r="D109" s="137"/>
      <c r="E109" s="96"/>
      <c r="F109" s="223"/>
      <c r="G109" s="9"/>
      <c r="H109" s="137"/>
      <c r="I109" s="96"/>
      <c r="J109" s="223"/>
      <c r="K109" s="9"/>
      <c r="L109" s="137"/>
      <c r="M109" s="96"/>
      <c r="N109" s="223"/>
      <c r="O109" s="136"/>
      <c r="P109" s="137"/>
      <c r="Q109" s="96"/>
      <c r="R109" s="223"/>
      <c r="S109" s="9"/>
      <c r="T109" s="9"/>
      <c r="U109" s="9"/>
      <c r="V109" s="9"/>
      <c r="W109" s="9"/>
      <c r="X109" s="9"/>
      <c r="Y109" s="9"/>
      <c r="Z109" s="9"/>
      <c r="AA109" s="9"/>
      <c r="AB109" s="9"/>
    </row>
    <row r="110" spans="1:28" ht="13.5" customHeight="1" x14ac:dyDescent="0.25">
      <c r="A110" s="9"/>
      <c r="B110" s="9"/>
      <c r="C110" s="9"/>
      <c r="D110" s="135" t="s">
        <v>710</v>
      </c>
      <c r="E110" s="9"/>
      <c r="F110" s="718">
        <f>$D$11</f>
        <v>16.643763590749799</v>
      </c>
      <c r="G110" s="9"/>
      <c r="H110" s="135" t="s">
        <v>711</v>
      </c>
      <c r="I110" s="9"/>
      <c r="J110" s="718">
        <f>IF(G136="LTM",IF(G135="1 Year",'Multiples Data'!E9,IF(G135="2 Year", 'Multiples Data'!E10,IF(G135="3 Year",'Multiples Data'!E11, IF(G135="5 Year", 'Multiples Data'!E12,"N/A")))),IF(G136="NTM", IF(G135="1 Year",'Multiples Data'!F9,IF(G135="2 Year", 'Multiples Data'!F10,IF(G135="3 Year",'Multiples Data'!F11, IF(G135="5 Year", 'Multiples Data'!F12,"N/A"))))))</f>
        <v>19.606736024102197</v>
      </c>
      <c r="K110" s="9"/>
      <c r="L110" s="135" t="s">
        <v>710</v>
      </c>
      <c r="M110" s="9"/>
      <c r="N110" s="718">
        <f>$D$12</f>
        <v>16.6069707406422</v>
      </c>
      <c r="O110" s="136"/>
      <c r="P110" s="135" t="s">
        <v>711</v>
      </c>
      <c r="Q110" s="9"/>
      <c r="R110" s="718">
        <f>IF($G$136="LTM",IF($G$135="1 Year",'Multiples Data'!G9,IF($G$135="2 Year", 'Multiples Data'!G10,IF($G$135="3 Year",'Multiples Data'!G11, IF($G$135="5 Year", 'Multiples Data'!G12,"N/A")))),IF($G$136="NTM", IF($G$135="1 Year",'Multiples Data'!H9,IF($G$135="2 Year", 'Multiples Data'!H10,IF($G$135="3 Year",'Multiples Data'!H11, IF($G$135="5 Year", 'Multiples Data'!H12,"N/A"))))))</f>
        <v>12.4849</v>
      </c>
      <c r="S110" s="9"/>
      <c r="T110" s="9"/>
      <c r="U110" s="9"/>
      <c r="V110" s="9"/>
      <c r="W110" s="9"/>
      <c r="X110" s="9"/>
      <c r="Y110" s="9"/>
      <c r="Z110" s="9"/>
      <c r="AA110" s="9"/>
      <c r="AB110" s="9"/>
    </row>
    <row r="111" spans="1:28" ht="13.5" customHeight="1" x14ac:dyDescent="0.25">
      <c r="A111" s="9"/>
      <c r="B111" s="9"/>
      <c r="C111" s="9"/>
      <c r="D111" s="135" t="s">
        <v>1156</v>
      </c>
      <c r="E111" s="9"/>
      <c r="F111" s="718">
        <f>IF(G136="LTM",IF(G134="1 Year",'Multiples Data'!E9,IF(G134="2 Year", 'Multiples Data'!E10,IF(G134="3 Year",'Multiples Data'!E11, IF(G134="5 Year", 'Multiples Data'!E12,"N/A")))),IF(G136="NTM", IF(G134="1 Year",'Multiples Data'!F9,IF(G134="2 Year", 'Multiples Data'!F10,IF(G134="3 Year",'Multiples Data'!F11, IF(G134="5 Year", 'Multiples Data'!F12,"N/A"))))))</f>
        <v>19.606736024102197</v>
      </c>
      <c r="G111" s="9"/>
      <c r="H111" s="135" t="s">
        <v>713</v>
      </c>
      <c r="I111" s="9"/>
      <c r="J111" s="718">
        <f>IF(G135="1 Year",J136,IF(G135="2 Year",J137,IF(G135="3 Year",J138,IF(G135="5 Year",J139,"N/A"))))</f>
        <v>21.125435024921185</v>
      </c>
      <c r="K111" s="9"/>
      <c r="L111" s="135" t="s">
        <v>712</v>
      </c>
      <c r="M111" s="9"/>
      <c r="N111" s="718">
        <f>IF($G$136="LTM",IF($G$134="1 Year",'Multiples Data'!G9,IF($G$134="2 Year", 'Multiples Data'!G10,IF($G$134="3 Year",'Multiples Data'!G11, IF($G$134="5 Year", 'Multiples Data'!G12,"N/A")))),IF($G$136="NTM", IF($G$134="1 Year",'Multiples Data'!H9,IF($G$134="2 Year", 'Multiples Data'!H10,IF($G$134="3 Year",'Multiples Data'!H11, IF($G$134="5 Year", 'Multiples Data'!H12,"N/A"))))))</f>
        <v>12.4849</v>
      </c>
      <c r="O111" s="136"/>
      <c r="P111" s="135" t="s">
        <v>713</v>
      </c>
      <c r="Q111" s="9"/>
      <c r="R111" s="718">
        <f>IF(G135="1 Year",K136,IF(G135="2 Year",K137,IF(G135="3 Year",K138,IF(G135="5 Year",K139,"N/A"))))</f>
        <v>15.336843031675405</v>
      </c>
      <c r="S111" s="9"/>
      <c r="T111" s="9"/>
      <c r="U111" s="9"/>
      <c r="V111" s="9"/>
      <c r="W111" s="9"/>
      <c r="X111" s="9"/>
      <c r="Y111" s="9"/>
      <c r="Z111" s="9"/>
      <c r="AA111" s="9"/>
      <c r="AB111" s="9"/>
    </row>
    <row r="112" spans="1:28" ht="13.5" customHeight="1" x14ac:dyDescent="0.25">
      <c r="A112" s="9"/>
      <c r="B112" s="9"/>
      <c r="C112" s="9"/>
      <c r="D112" s="246" t="s">
        <v>714</v>
      </c>
      <c r="E112" s="243"/>
      <c r="F112" s="719">
        <f>F110/F111-1</f>
        <v>-0.15112012676205111</v>
      </c>
      <c r="G112" s="9"/>
      <c r="H112" s="246" t="s">
        <v>715</v>
      </c>
      <c r="I112" s="243"/>
      <c r="J112" s="720">
        <f>J110/J111-1</f>
        <v>-7.1889596546883539E-2</v>
      </c>
      <c r="K112" s="9"/>
      <c r="L112" s="246" t="s">
        <v>714</v>
      </c>
      <c r="M112" s="243"/>
      <c r="N112" s="719">
        <f>N110/N111-1</f>
        <v>0.33016449796491765</v>
      </c>
      <c r="O112" s="136"/>
      <c r="P112" s="135" t="s">
        <v>715</v>
      </c>
      <c r="Q112" s="9"/>
      <c r="R112" s="720">
        <f>R110/R111-1</f>
        <v>-0.18595372110057107</v>
      </c>
      <c r="S112" s="9"/>
      <c r="T112" s="9"/>
      <c r="U112" s="9"/>
      <c r="V112" s="9"/>
      <c r="W112" s="9"/>
      <c r="X112" s="9"/>
      <c r="Y112" s="9"/>
      <c r="Z112" s="9"/>
      <c r="AA112" s="9"/>
      <c r="AB112" s="9"/>
    </row>
    <row r="113" spans="1:28" ht="13.5" customHeight="1" x14ac:dyDescent="0.25">
      <c r="A113" s="9"/>
      <c r="B113" s="9"/>
      <c r="C113" s="9"/>
      <c r="D113" s="246" t="s">
        <v>716</v>
      </c>
      <c r="E113" s="243"/>
      <c r="F113" s="721">
        <v>0</v>
      </c>
      <c r="G113" s="9"/>
      <c r="H113" s="135" t="s">
        <v>717</v>
      </c>
      <c r="I113" s="9"/>
      <c r="J113" s="718">
        <f>IF($G$137=$K$212,$E$11,IF($G$137=$M$212,$E$16,IF($G$137=$O$212,$E$21,"N/A")))</f>
        <v>18.669753519179444</v>
      </c>
      <c r="K113" s="9"/>
      <c r="L113" s="246" t="s">
        <v>716</v>
      </c>
      <c r="M113" s="243"/>
      <c r="N113" s="721">
        <v>0</v>
      </c>
      <c r="O113" s="136"/>
      <c r="P113" s="135" t="s">
        <v>717</v>
      </c>
      <c r="Q113" s="9"/>
      <c r="R113" s="718">
        <f>IF($G$137=$K$212,$E$12,IF($G$137=$M$212,$E$17,IF($G$137=$O$212,$E$22,"N/A")))</f>
        <v>13.441634648398686</v>
      </c>
      <c r="S113" s="9"/>
      <c r="T113" s="9"/>
      <c r="U113" s="9"/>
      <c r="V113" s="9"/>
      <c r="W113" s="9"/>
      <c r="X113" s="9"/>
      <c r="Y113" s="9"/>
      <c r="Z113" s="9"/>
      <c r="AA113" s="9"/>
      <c r="AB113" s="9"/>
    </row>
    <row r="114" spans="1:28" ht="13.5" customHeight="1" x14ac:dyDescent="0.25">
      <c r="A114" s="9"/>
      <c r="B114" s="9"/>
      <c r="C114" s="9"/>
      <c r="D114" s="135"/>
      <c r="E114" s="9"/>
      <c r="F114" s="136"/>
      <c r="G114" s="9"/>
      <c r="H114" s="135"/>
      <c r="I114" s="9"/>
      <c r="J114" s="136"/>
      <c r="K114" s="9"/>
      <c r="L114" s="135"/>
      <c r="M114" s="9"/>
      <c r="N114" s="136"/>
      <c r="O114" s="136"/>
      <c r="P114" s="135"/>
      <c r="Q114" s="9"/>
      <c r="R114" s="136"/>
      <c r="S114" s="9"/>
      <c r="T114" s="9"/>
      <c r="U114" s="9"/>
      <c r="V114" s="9"/>
      <c r="W114" s="9"/>
      <c r="X114" s="9"/>
      <c r="Y114" s="9"/>
      <c r="Z114" s="9"/>
      <c r="AA114" s="9"/>
      <c r="AB114" s="9"/>
    </row>
    <row r="115" spans="1:28" ht="13.5" customHeight="1" x14ac:dyDescent="0.25">
      <c r="A115" s="9"/>
      <c r="B115" s="9"/>
      <c r="C115" s="9"/>
      <c r="D115" s="135" t="s">
        <v>718</v>
      </c>
      <c r="E115" s="9"/>
      <c r="F115" s="718">
        <f>F111*(1+F113)</f>
        <v>19.606736024102197</v>
      </c>
      <c r="G115" s="9"/>
      <c r="H115" s="135" t="s">
        <v>718</v>
      </c>
      <c r="I115" s="9"/>
      <c r="J115" s="718">
        <f>J113*(1+J112)</f>
        <v>17.327592471055876</v>
      </c>
      <c r="K115" s="9"/>
      <c r="L115" s="135" t="s">
        <v>718</v>
      </c>
      <c r="M115" s="9"/>
      <c r="N115" s="718">
        <f>N111*(1+N113)</f>
        <v>12.4849</v>
      </c>
      <c r="O115" s="136"/>
      <c r="P115" s="135" t="s">
        <v>718</v>
      </c>
      <c r="Q115" s="9"/>
      <c r="R115" s="718">
        <f>R113*(1+R112)</f>
        <v>10.942112667854584</v>
      </c>
      <c r="S115" s="9"/>
      <c r="T115" s="9"/>
      <c r="U115" s="9"/>
      <c r="V115" s="9"/>
      <c r="W115" s="9"/>
      <c r="X115" s="9"/>
      <c r="Y115" s="9"/>
      <c r="Z115" s="9"/>
      <c r="AA115" s="9"/>
      <c r="AB115" s="9"/>
    </row>
    <row r="116" spans="1:28" ht="13.5" customHeight="1" x14ac:dyDescent="0.25">
      <c r="A116" s="9"/>
      <c r="B116" s="9"/>
      <c r="C116" s="9"/>
      <c r="D116" s="135" t="s">
        <v>719</v>
      </c>
      <c r="E116" s="9"/>
      <c r="F116" s="722">
        <f>NTM_EPS</f>
        <v>18.48177865622484</v>
      </c>
      <c r="G116" s="9"/>
      <c r="H116" s="135" t="s">
        <v>719</v>
      </c>
      <c r="I116" s="9"/>
      <c r="J116" s="722">
        <f>F116</f>
        <v>18.48177865622484</v>
      </c>
      <c r="K116" s="9"/>
      <c r="L116" s="723" t="s">
        <v>720</v>
      </c>
      <c r="M116" s="9"/>
      <c r="N116" s="724">
        <f>NTM_EBITDA</f>
        <v>19100.677636071734</v>
      </c>
      <c r="O116" s="136"/>
      <c r="P116" s="135" t="s">
        <v>720</v>
      </c>
      <c r="Q116" s="9"/>
      <c r="R116" s="724">
        <f>NTM_EBITDA</f>
        <v>19100.677636071734</v>
      </c>
      <c r="S116" s="9"/>
      <c r="T116" s="9"/>
      <c r="U116" s="9"/>
      <c r="V116" s="9"/>
      <c r="W116" s="9"/>
      <c r="X116" s="9"/>
      <c r="Y116" s="9"/>
      <c r="Z116" s="9"/>
      <c r="AA116" s="9"/>
      <c r="AB116" s="9"/>
    </row>
    <row r="117" spans="1:28" ht="13.5" customHeight="1" x14ac:dyDescent="0.25">
      <c r="A117" s="9"/>
      <c r="B117" s="9"/>
      <c r="C117" s="9"/>
      <c r="D117" s="135"/>
      <c r="E117" s="9"/>
      <c r="F117" s="725"/>
      <c r="G117" s="9"/>
      <c r="H117" s="135"/>
      <c r="I117" s="9"/>
      <c r="J117" s="725"/>
      <c r="K117" s="9"/>
      <c r="L117" s="135" t="s">
        <v>721</v>
      </c>
      <c r="M117" s="9"/>
      <c r="N117" s="724">
        <f>N115*N116</f>
        <v>238470.05021859199</v>
      </c>
      <c r="O117" s="136"/>
      <c r="P117" s="135" t="s">
        <v>721</v>
      </c>
      <c r="Q117" s="9"/>
      <c r="R117" s="724">
        <f>R115*R116</f>
        <v>209001.76672626726</v>
      </c>
      <c r="S117" s="9"/>
      <c r="T117" s="9"/>
      <c r="U117" s="9"/>
      <c r="V117" s="9"/>
      <c r="W117" s="9"/>
      <c r="X117" s="9"/>
      <c r="Y117" s="9"/>
      <c r="Z117" s="9"/>
      <c r="AA117" s="9"/>
      <c r="AB117" s="9"/>
    </row>
    <row r="118" spans="1:28" ht="13.5" customHeight="1" x14ac:dyDescent="0.25">
      <c r="A118" s="9"/>
      <c r="B118" s="9"/>
      <c r="C118" s="9"/>
      <c r="D118" s="135" t="s">
        <v>722</v>
      </c>
      <c r="E118" s="9"/>
      <c r="F118" s="724">
        <f>F115*F116</f>
        <v>362.3673553684867</v>
      </c>
      <c r="G118" s="9"/>
      <c r="H118" s="135" t="s">
        <v>722</v>
      </c>
      <c r="I118" s="9"/>
      <c r="J118" s="724">
        <f>J115*J116</f>
        <v>320.24472869532275</v>
      </c>
      <c r="K118" s="9"/>
      <c r="L118" s="135"/>
      <c r="M118" s="9"/>
      <c r="N118" s="136"/>
      <c r="O118" s="136"/>
      <c r="P118" s="135"/>
      <c r="Q118" s="9"/>
      <c r="R118" s="136"/>
      <c r="S118" s="9"/>
      <c r="T118" s="9"/>
      <c r="U118" s="9"/>
      <c r="V118" s="9"/>
      <c r="W118" s="9"/>
      <c r="X118" s="9"/>
      <c r="Y118" s="9"/>
      <c r="Z118" s="9"/>
      <c r="AA118" s="9"/>
      <c r="AB118" s="9"/>
    </row>
    <row r="119" spans="1:28" ht="13.5" customHeight="1" x14ac:dyDescent="0.25">
      <c r="A119" s="9"/>
      <c r="B119" s="9"/>
      <c r="C119" s="9"/>
      <c r="D119" s="247" t="s">
        <v>723</v>
      </c>
      <c r="E119" s="95"/>
      <c r="F119" s="684">
        <f>F118/Share_Price-1</f>
        <v>0.15077441445738748</v>
      </c>
      <c r="G119" s="9"/>
      <c r="H119" s="247" t="s">
        <v>723</v>
      </c>
      <c r="I119" s="95"/>
      <c r="J119" s="684">
        <f>J118/Share_Price-1</f>
        <v>1.7005076996166268E-2</v>
      </c>
      <c r="K119" s="9"/>
      <c r="L119" s="135" t="s">
        <v>724</v>
      </c>
      <c r="M119" s="9"/>
      <c r="N119" s="726">
        <f t="shared" ref="N119:N124" si="20">K58</f>
        <v>0</v>
      </c>
      <c r="O119" s="136"/>
      <c r="P119" s="135" t="s">
        <v>724</v>
      </c>
      <c r="Q119" s="9"/>
      <c r="R119" s="677">
        <f t="shared" ref="R119:R124" si="21">N119</f>
        <v>0</v>
      </c>
      <c r="S119" s="9"/>
      <c r="T119" s="9"/>
      <c r="U119" s="9"/>
      <c r="V119" s="9"/>
      <c r="W119" s="9"/>
      <c r="X119" s="9"/>
      <c r="Y119" s="9"/>
      <c r="Z119" s="9"/>
      <c r="AA119" s="9"/>
      <c r="AB119" s="9"/>
    </row>
    <row r="120" spans="1:28" ht="13.5" customHeight="1" x14ac:dyDescent="0.25">
      <c r="A120" s="9"/>
      <c r="B120" s="9"/>
      <c r="C120" s="9"/>
      <c r="D120" s="9"/>
      <c r="E120" s="9"/>
      <c r="F120" s="9"/>
      <c r="G120" s="9"/>
      <c r="H120" s="9"/>
      <c r="I120" s="9"/>
      <c r="J120" s="9"/>
      <c r="K120" s="9"/>
      <c r="L120" s="135" t="s">
        <v>725</v>
      </c>
      <c r="M120" s="9"/>
      <c r="N120" s="726">
        <f t="shared" si="20"/>
        <v>686</v>
      </c>
      <c r="O120" s="136"/>
      <c r="P120" s="135" t="s">
        <v>725</v>
      </c>
      <c r="Q120" s="9"/>
      <c r="R120" s="677">
        <f t="shared" si="21"/>
        <v>686</v>
      </c>
      <c r="S120" s="9"/>
      <c r="T120" s="9"/>
      <c r="U120" s="9"/>
      <c r="V120" s="9"/>
      <c r="W120" s="9"/>
      <c r="X120" s="9"/>
      <c r="Y120" s="9"/>
      <c r="Z120" s="9"/>
      <c r="AA120" s="9"/>
      <c r="AB120" s="9"/>
    </row>
    <row r="121" spans="1:28" ht="13.5" customHeight="1" x14ac:dyDescent="0.25">
      <c r="A121" s="9"/>
      <c r="B121" s="9"/>
      <c r="C121" s="9"/>
      <c r="D121" s="9"/>
      <c r="E121" s="9"/>
      <c r="F121" s="9"/>
      <c r="G121" s="9"/>
      <c r="H121" s="9"/>
      <c r="I121" s="9"/>
      <c r="J121" s="9"/>
      <c r="K121" s="9"/>
      <c r="L121" s="135" t="s">
        <v>726</v>
      </c>
      <c r="M121" s="9"/>
      <c r="N121" s="726">
        <f t="shared" si="20"/>
        <v>0</v>
      </c>
      <c r="O121" s="136"/>
      <c r="P121" s="135" t="s">
        <v>726</v>
      </c>
      <c r="Q121" s="9"/>
      <c r="R121" s="677">
        <f t="shared" si="21"/>
        <v>0</v>
      </c>
      <c r="S121" s="9"/>
      <c r="T121" s="9"/>
      <c r="U121" s="9"/>
      <c r="V121" s="9"/>
      <c r="W121" s="9"/>
      <c r="X121" s="9"/>
      <c r="Y121" s="9"/>
      <c r="Z121" s="9"/>
      <c r="AA121" s="9"/>
      <c r="AB121" s="9"/>
    </row>
    <row r="122" spans="1:28" ht="13.5" customHeight="1" x14ac:dyDescent="0.25">
      <c r="A122" s="9"/>
      <c r="B122" s="9"/>
      <c r="C122" s="9"/>
      <c r="D122" s="9"/>
      <c r="E122" s="9"/>
      <c r="F122" s="9"/>
      <c r="G122" s="9"/>
      <c r="H122" s="9"/>
      <c r="I122" s="9"/>
      <c r="J122" s="9"/>
      <c r="K122" s="9"/>
      <c r="L122" s="135" t="s">
        <v>727</v>
      </c>
      <c r="M122" s="9"/>
      <c r="N122" s="726">
        <f>K61</f>
        <v>0</v>
      </c>
      <c r="O122" s="136"/>
      <c r="P122" s="135" t="s">
        <v>727</v>
      </c>
      <c r="Q122" s="9"/>
      <c r="R122" s="677">
        <f t="shared" si="21"/>
        <v>0</v>
      </c>
      <c r="S122" s="9"/>
      <c r="T122" s="9"/>
      <c r="U122" s="9"/>
      <c r="V122" s="9"/>
      <c r="W122" s="9"/>
      <c r="X122" s="9"/>
      <c r="Y122" s="9"/>
      <c r="Z122" s="9"/>
      <c r="AA122" s="9"/>
      <c r="AB122" s="9"/>
    </row>
    <row r="123" spans="1:28" ht="13.5" customHeight="1" x14ac:dyDescent="0.25">
      <c r="A123" s="9"/>
      <c r="B123" s="9"/>
      <c r="C123" s="9"/>
      <c r="D123" s="137" t="s">
        <v>719</v>
      </c>
      <c r="E123" s="96"/>
      <c r="F123" s="727">
        <f>Model!Y53</f>
        <v>18.48177865622484</v>
      </c>
      <c r="G123" s="9"/>
      <c r="H123" s="9"/>
      <c r="I123" s="9"/>
      <c r="J123" s="9"/>
      <c r="K123" s="9"/>
      <c r="L123" s="135" t="s">
        <v>728</v>
      </c>
      <c r="M123" s="9"/>
      <c r="N123" s="726">
        <f t="shared" ca="1" si="20"/>
        <v>427.04329935495718</v>
      </c>
      <c r="O123" s="136"/>
      <c r="P123" s="135" t="s">
        <v>728</v>
      </c>
      <c r="Q123" s="9"/>
      <c r="R123" s="677">
        <f t="shared" ca="1" si="21"/>
        <v>427.04329935495718</v>
      </c>
      <c r="S123" s="9"/>
      <c r="T123" s="9"/>
      <c r="U123" s="9"/>
      <c r="V123" s="9"/>
      <c r="W123" s="9"/>
      <c r="X123" s="9"/>
      <c r="Y123" s="9"/>
      <c r="Z123" s="9"/>
      <c r="AA123" s="9"/>
      <c r="AB123" s="9"/>
    </row>
    <row r="124" spans="1:28" ht="13.5" customHeight="1" x14ac:dyDescent="0.25">
      <c r="A124" s="9"/>
      <c r="B124" s="9"/>
      <c r="C124" s="9"/>
      <c r="D124" s="139" t="s">
        <v>720</v>
      </c>
      <c r="E124" s="95"/>
      <c r="F124" s="728">
        <f>IF(Last_FQR="3Q",SUM(Model!X61,Model!Z61:AB61),IF(Last_FQR="2Q",SUM(Model!W61:X61,Model!Z61:AA61),IF(Last_FQR="1Q",SUM(Model!V61:X61,Model!Z61),IF(Last_FQR="4Q",SUM(Model!U61:X61),"Error"))))</f>
        <v>19100.677636071734</v>
      </c>
      <c r="G124" s="9"/>
      <c r="H124" s="9"/>
      <c r="I124" s="9"/>
      <c r="J124" s="9"/>
      <c r="K124" s="9"/>
      <c r="L124" s="135" t="s">
        <v>729</v>
      </c>
      <c r="M124" s="95"/>
      <c r="N124" s="729">
        <f t="shared" ca="1" si="20"/>
        <v>0.3620058026247277</v>
      </c>
      <c r="O124" s="136"/>
      <c r="P124" s="139" t="s">
        <v>729</v>
      </c>
      <c r="Q124" s="95"/>
      <c r="R124" s="729">
        <f t="shared" ca="1" si="21"/>
        <v>0.3620058026247277</v>
      </c>
      <c r="S124" s="9"/>
      <c r="T124" s="9"/>
      <c r="U124" s="9"/>
      <c r="V124" s="9"/>
      <c r="W124" s="9"/>
      <c r="X124" s="9"/>
      <c r="Y124" s="9"/>
      <c r="Z124" s="9"/>
      <c r="AA124" s="9"/>
      <c r="AB124" s="9"/>
    </row>
    <row r="125" spans="1:28" ht="13.5" customHeight="1" x14ac:dyDescent="0.25">
      <c r="A125" s="9"/>
      <c r="B125" s="9"/>
      <c r="C125" s="9"/>
      <c r="D125" s="9"/>
      <c r="E125" s="9"/>
      <c r="F125" s="9"/>
      <c r="G125" s="9"/>
      <c r="H125" s="9"/>
      <c r="I125" s="9"/>
      <c r="J125" s="9"/>
      <c r="K125" s="9"/>
      <c r="L125" s="137"/>
      <c r="M125" s="9"/>
      <c r="N125" s="136"/>
      <c r="O125" s="136"/>
      <c r="P125" s="135"/>
      <c r="Q125" s="9"/>
      <c r="R125" s="136"/>
      <c r="S125" s="9"/>
      <c r="T125" s="9"/>
      <c r="U125" s="9"/>
      <c r="V125" s="9"/>
      <c r="W125" s="9"/>
      <c r="X125" s="9"/>
      <c r="Y125" s="9"/>
      <c r="Z125" s="9"/>
      <c r="AA125" s="9"/>
      <c r="AB125" s="9"/>
    </row>
    <row r="126" spans="1:28" ht="13.5" customHeight="1" x14ac:dyDescent="0.25">
      <c r="A126" s="9"/>
      <c r="B126" s="9"/>
      <c r="C126" s="9"/>
      <c r="D126" s="9"/>
      <c r="E126" s="9"/>
      <c r="F126" s="9"/>
      <c r="G126" s="9"/>
      <c r="H126" s="9"/>
      <c r="I126" s="9"/>
      <c r="J126" s="9"/>
      <c r="K126" s="9"/>
      <c r="L126" s="135" t="s">
        <v>730</v>
      </c>
      <c r="M126" s="9"/>
      <c r="N126" s="724">
        <f ca="1">SUM(N117:N124)</f>
        <v>233189.76478516235</v>
      </c>
      <c r="O126" s="136"/>
      <c r="P126" s="135" t="s">
        <v>730</v>
      </c>
      <c r="Q126" s="9"/>
      <c r="R126" s="724">
        <f ca="1">SUM(R117:R124)</f>
        <v>204512.62689747909</v>
      </c>
      <c r="S126" s="9"/>
      <c r="T126" s="9"/>
      <c r="U126" s="9"/>
      <c r="V126" s="9"/>
      <c r="W126" s="9"/>
      <c r="X126" s="9"/>
      <c r="Y126" s="9"/>
      <c r="Z126" s="9"/>
      <c r="AA126" s="9"/>
      <c r="AB126" s="9"/>
    </row>
    <row r="127" spans="1:28" ht="13.5" customHeight="1" x14ac:dyDescent="0.25">
      <c r="A127" s="9"/>
      <c r="B127" s="9"/>
      <c r="C127" s="9"/>
      <c r="D127" s="9"/>
      <c r="E127" s="9"/>
      <c r="F127" s="9"/>
      <c r="G127" s="9"/>
      <c r="H127" s="9"/>
      <c r="I127" s="9"/>
      <c r="J127" s="9"/>
      <c r="K127" s="9"/>
      <c r="L127" s="135" t="s">
        <v>390</v>
      </c>
      <c r="M127" s="9"/>
      <c r="N127" s="724">
        <f>Diluted_Shares</f>
        <v>686</v>
      </c>
      <c r="O127" s="136"/>
      <c r="P127" s="135" t="s">
        <v>390</v>
      </c>
      <c r="Q127" s="9"/>
      <c r="R127" s="724">
        <f>Diluted_Shares</f>
        <v>686</v>
      </c>
      <c r="S127" s="9"/>
      <c r="T127" s="9"/>
      <c r="U127" s="9"/>
      <c r="V127" s="9"/>
      <c r="W127" s="9"/>
      <c r="X127" s="9"/>
      <c r="Y127" s="9"/>
      <c r="Z127" s="9"/>
      <c r="AA127" s="9"/>
      <c r="AB127" s="9"/>
    </row>
    <row r="128" spans="1:28" ht="13.5" customHeight="1" x14ac:dyDescent="0.25">
      <c r="A128" s="9"/>
      <c r="B128" s="9"/>
      <c r="C128" s="9"/>
      <c r="D128" s="9"/>
      <c r="E128" s="9"/>
      <c r="F128" s="9"/>
      <c r="G128" s="9"/>
      <c r="H128" s="9"/>
      <c r="I128" s="9"/>
      <c r="J128" s="9"/>
      <c r="K128" s="9"/>
      <c r="L128" s="135"/>
      <c r="M128" s="9"/>
      <c r="N128" s="136"/>
      <c r="O128" s="136"/>
      <c r="P128" s="135"/>
      <c r="Q128" s="9"/>
      <c r="R128" s="136"/>
      <c r="S128" s="9"/>
      <c r="T128" s="9"/>
      <c r="U128" s="9"/>
      <c r="V128" s="9"/>
      <c r="W128" s="9"/>
      <c r="X128" s="9"/>
      <c r="Y128" s="9"/>
      <c r="Z128" s="9"/>
      <c r="AA128" s="9"/>
      <c r="AB128" s="9"/>
    </row>
    <row r="129" spans="1:28" ht="13.5" customHeight="1" x14ac:dyDescent="0.25">
      <c r="A129" s="9"/>
      <c r="B129" s="9"/>
      <c r="C129" s="9"/>
      <c r="D129" s="9"/>
      <c r="E129" s="9"/>
      <c r="F129" s="9"/>
      <c r="G129" s="9"/>
      <c r="H129" s="9"/>
      <c r="I129" s="9"/>
      <c r="J129" s="9"/>
      <c r="K129" s="9"/>
      <c r="L129" s="135" t="s">
        <v>722</v>
      </c>
      <c r="M129" s="9"/>
      <c r="N129" s="724">
        <f ca="1">N126/N127</f>
        <v>335.71783764500725</v>
      </c>
      <c r="O129" s="136"/>
      <c r="P129" s="135" t="s">
        <v>722</v>
      </c>
      <c r="Q129" s="9"/>
      <c r="R129" s="724">
        <f ca="1">R126/R127</f>
        <v>294.43203451222189</v>
      </c>
      <c r="S129" s="9"/>
      <c r="T129" s="9"/>
      <c r="U129" s="9"/>
      <c r="V129" s="9"/>
      <c r="W129" s="9"/>
      <c r="X129" s="9"/>
      <c r="Y129" s="9"/>
      <c r="Z129" s="9"/>
      <c r="AA129" s="9"/>
      <c r="AB129" s="9"/>
    </row>
    <row r="130" spans="1:28" ht="13.5" customHeight="1" x14ac:dyDescent="0.25">
      <c r="A130" s="9"/>
      <c r="B130" s="9"/>
      <c r="C130" s="9"/>
      <c r="D130" s="9"/>
      <c r="E130" s="9"/>
      <c r="F130" s="9"/>
      <c r="G130" s="9"/>
      <c r="H130" s="9"/>
      <c r="I130" s="9"/>
      <c r="J130" s="9"/>
      <c r="K130" s="9"/>
      <c r="L130" s="247" t="s">
        <v>723</v>
      </c>
      <c r="M130" s="95"/>
      <c r="N130" s="684">
        <f ca="1">N129/Share_Price-1</f>
        <v>7.0733678781039755E-2</v>
      </c>
      <c r="O130" s="136"/>
      <c r="P130" s="247" t="s">
        <v>723</v>
      </c>
      <c r="Q130" s="95"/>
      <c r="R130" s="684">
        <f ca="1">R129/Share_Price-1</f>
        <v>-6.0942672347318094E-2</v>
      </c>
      <c r="S130" s="9"/>
      <c r="T130" s="9"/>
      <c r="U130" s="9"/>
      <c r="V130" s="9"/>
      <c r="W130" s="9"/>
      <c r="X130" s="9"/>
      <c r="Y130" s="9"/>
      <c r="Z130" s="9"/>
      <c r="AA130" s="9"/>
      <c r="AB130" s="9"/>
    </row>
    <row r="131" spans="1:28" ht="4.5" customHeight="1"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row>
    <row r="132" spans="1:28" ht="13.5" customHeight="1" x14ac:dyDescent="0.25">
      <c r="A132" s="205" t="s">
        <v>0</v>
      </c>
      <c r="B132" s="9"/>
      <c r="C132" s="995" t="s">
        <v>42</v>
      </c>
      <c r="D132" s="933"/>
      <c r="E132" s="933"/>
      <c r="F132" s="933"/>
      <c r="G132" s="933"/>
      <c r="H132" s="933"/>
      <c r="I132" s="933"/>
      <c r="J132" s="933"/>
      <c r="K132" s="933"/>
      <c r="L132" s="933"/>
      <c r="M132" s="933"/>
      <c r="N132" s="933"/>
      <c r="O132" s="933"/>
      <c r="P132" s="933"/>
      <c r="Q132" s="933"/>
      <c r="R132" s="934"/>
      <c r="S132" s="205" t="s">
        <v>0</v>
      </c>
      <c r="T132" s="9"/>
      <c r="U132" s="9"/>
      <c r="V132" s="9"/>
      <c r="W132" s="9"/>
      <c r="X132" s="9"/>
      <c r="Y132" s="9"/>
      <c r="Z132" s="9"/>
      <c r="AA132" s="9"/>
      <c r="AB132" s="9"/>
    </row>
    <row r="133" spans="1:28" ht="4.5" customHeight="1"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row>
    <row r="134" spans="1:28" ht="13.5" customHeight="1" x14ac:dyDescent="0.25">
      <c r="A134" s="9"/>
      <c r="B134" s="9"/>
      <c r="C134" s="9" t="s">
        <v>731</v>
      </c>
      <c r="D134" s="9"/>
      <c r="E134" s="9"/>
      <c r="F134" s="9"/>
      <c r="G134" s="32" t="s">
        <v>735</v>
      </c>
      <c r="H134" s="9"/>
      <c r="I134" s="9"/>
      <c r="J134" s="953" t="s">
        <v>733</v>
      </c>
      <c r="K134" s="955"/>
      <c r="L134" s="9"/>
      <c r="M134" s="9"/>
      <c r="N134" s="9"/>
      <c r="O134" s="9"/>
      <c r="P134" s="9"/>
      <c r="Q134" s="9"/>
      <c r="R134" s="9"/>
      <c r="S134" s="9"/>
      <c r="T134" s="9"/>
      <c r="U134" s="9"/>
      <c r="V134" s="9"/>
      <c r="W134" s="9"/>
      <c r="X134" s="9"/>
      <c r="Y134" s="9"/>
      <c r="Z134" s="9"/>
      <c r="AA134" s="9"/>
      <c r="AB134" s="9"/>
    </row>
    <row r="135" spans="1:28" ht="13.5" customHeight="1" x14ac:dyDescent="0.25">
      <c r="A135" s="9"/>
      <c r="B135" s="9"/>
      <c r="C135" s="9" t="s">
        <v>734</v>
      </c>
      <c r="D135" s="9"/>
      <c r="E135" s="9"/>
      <c r="F135" s="9"/>
      <c r="G135" s="32" t="s">
        <v>735</v>
      </c>
      <c r="H135" s="9"/>
      <c r="I135" s="9"/>
      <c r="J135" s="64" t="s">
        <v>133</v>
      </c>
      <c r="K135" s="64" t="s">
        <v>135</v>
      </c>
      <c r="L135" s="64"/>
      <c r="M135" s="64"/>
      <c r="N135" s="9"/>
      <c r="O135" s="9"/>
      <c r="P135" s="9"/>
      <c r="Q135" s="9"/>
      <c r="R135" s="9"/>
      <c r="S135" s="9"/>
      <c r="T135" s="9"/>
      <c r="U135" s="9"/>
      <c r="V135" s="9"/>
      <c r="W135" s="9"/>
      <c r="X135" s="9"/>
      <c r="Y135" s="9"/>
      <c r="Z135" s="9"/>
      <c r="AA135" s="9"/>
      <c r="AB135" s="9"/>
    </row>
    <row r="136" spans="1:28" ht="13.5" customHeight="1" x14ac:dyDescent="0.25">
      <c r="A136" s="9"/>
      <c r="B136" s="9"/>
      <c r="C136" s="9" t="s">
        <v>674</v>
      </c>
      <c r="D136" s="9"/>
      <c r="E136" s="9"/>
      <c r="F136" s="9"/>
      <c r="G136" s="32" t="s">
        <v>675</v>
      </c>
      <c r="H136" s="37" t="b">
        <f>G136=$D$24</f>
        <v>1</v>
      </c>
      <c r="I136" s="64" t="s">
        <v>735</v>
      </c>
      <c r="J136" s="651">
        <f>IF($G$137=$C$9,IF($G$136="LTM",'Multiples Data'!E31,IF($G$136="NTM",'Multiples Data'!F31,"N/A")),IF($G$137=Valuation!$C$14,IF(Valuation!$G$136="LTM",'Multiples Data'!E53,IF(Valuation!$G$136="NTM",'Multiples Data'!F53,"N/A")),IF($G$137=Valuation!$C$19,IF(Valuation!$G$136="LTM",'Multiples Data'!E75,IF($G$136="NTM",'Multiples Data'!F75,"N/A")))))</f>
        <v>21.125435024921185</v>
      </c>
      <c r="K136" s="651">
        <f>IF($G$137=$C$9,IF($G$136="LTM",'Multiples Data'!G31,IF($G$136="NTM",'Multiples Data'!H31,"N/A")),IF($G$137=Valuation!$C$14,IF(Valuation!$G$136="LTM",'Multiples Data'!G53,IF(Valuation!$G$136="NTM",'Multiples Data'!H53,"N/A")),IF($G$137=Valuation!$C$19,IF(Valuation!$G$136="LTM",'Multiples Data'!G75,IF($G$136="NTM",'Multiples Data'!H75,"N/A")))))</f>
        <v>15.336843031675405</v>
      </c>
      <c r="L136" s="9"/>
      <c r="M136" s="64"/>
      <c r="N136" s="9"/>
      <c r="O136" s="9"/>
      <c r="P136" s="9"/>
      <c r="Q136" s="9"/>
      <c r="R136" s="9"/>
      <c r="S136" s="9"/>
      <c r="T136" s="9"/>
      <c r="U136" s="9"/>
      <c r="V136" s="9"/>
      <c r="W136" s="9"/>
      <c r="X136" s="9"/>
      <c r="Y136" s="9"/>
      <c r="Z136" s="9"/>
      <c r="AA136" s="9"/>
      <c r="AB136" s="9"/>
    </row>
    <row r="137" spans="1:28" ht="13.5" customHeight="1" x14ac:dyDescent="0.25">
      <c r="A137" s="9"/>
      <c r="B137" s="9"/>
      <c r="C137" s="9" t="s">
        <v>736</v>
      </c>
      <c r="D137" s="9"/>
      <c r="E137" s="9"/>
      <c r="F137" s="9"/>
      <c r="G137" s="32" t="s">
        <v>515</v>
      </c>
      <c r="H137" s="9"/>
      <c r="I137" s="64" t="s">
        <v>737</v>
      </c>
      <c r="J137" s="651">
        <f>IF($G$137=$C$9,IF($G$136="LTM",'Multiples Data'!E32,IF($G$136="NTM",'Multiples Data'!F32,"N/A")),IF($G$137=Valuation!$C$14,IF(Valuation!$G$136="LTM",'Multiples Data'!E54,IF(Valuation!$G$136="NTM",'Multiples Data'!F54,"N/A")),IF($G$137=Valuation!$C$19,IF(Valuation!$G$136="LTM",'Multiples Data'!E76,IF($G$136="NTM",'Multiples Data'!F76,"N/A")))))</f>
        <v>20.214142935322705</v>
      </c>
      <c r="K137" s="651">
        <f>IF($G$137=$C$9,IF($G$136="LTM",'Multiples Data'!G32,IF($G$136="NTM",'Multiples Data'!H32,"N/A")),IF($G$137=Valuation!$C$14,IF(Valuation!$G$136="LTM",'Multiples Data'!G54,IF(Valuation!$G$136="NTM",'Multiples Data'!H54,"N/A")),IF($G$137=Valuation!$C$19,IF(Valuation!$G$136="LTM",'Multiples Data'!G76,IF($G$136="NTM",'Multiples Data'!H76,"N/A")))))</f>
        <v>16.716940698822384</v>
      </c>
      <c r="L137" s="9"/>
      <c r="M137" s="64"/>
      <c r="N137" s="9"/>
      <c r="O137" s="9"/>
      <c r="P137" s="9"/>
      <c r="Q137" s="9"/>
      <c r="R137" s="9"/>
      <c r="S137" s="9"/>
      <c r="T137" s="9"/>
      <c r="U137" s="9"/>
      <c r="V137" s="9"/>
      <c r="W137" s="9"/>
      <c r="X137" s="9"/>
      <c r="Y137" s="9"/>
      <c r="Z137" s="9"/>
      <c r="AA137" s="9"/>
      <c r="AB137" s="9"/>
    </row>
    <row r="138" spans="1:28" ht="13.5" customHeight="1" x14ac:dyDescent="0.25">
      <c r="A138" s="9"/>
      <c r="B138" s="9"/>
      <c r="C138" s="9"/>
      <c r="D138" s="9"/>
      <c r="E138" s="9"/>
      <c r="F138" s="9"/>
      <c r="G138" s="32"/>
      <c r="H138" s="9"/>
      <c r="I138" s="64" t="s">
        <v>732</v>
      </c>
      <c r="J138" s="651">
        <f>IF($G$137=$C$9,IF($G$136="LTM",'Multiples Data'!E33,IF($G$136="NTM",'Multiples Data'!F33,"N/A")),IF($G$137=Valuation!$C$14,IF(Valuation!$G$136="LTM",'Multiples Data'!E55,IF(Valuation!$G$136="NTM",'Multiples Data'!F55,"N/A")),IF($G$137=Valuation!$C$19,IF(Valuation!$G$136="LTM",'Multiples Data'!E77,IF($G$136="NTM",'Multiples Data'!F77,"N/A")))))</f>
        <v>19.249811315109351</v>
      </c>
      <c r="K138" s="651">
        <f>IF($G$137=$C$9,IF($G$136="LTM",'Multiples Data'!G33,IF($G$136="NTM",'Multiples Data'!H33,"N/A")),IF($G$137=Valuation!$C$14,IF(Valuation!$G$136="LTM",'Multiples Data'!G55,IF(Valuation!$G$136="NTM",'Multiples Data'!H55,"N/A")),IF($G$137=Valuation!$C$19,IF(Valuation!$G$136="LTM",'Multiples Data'!G77,IF($G$136="NTM",'Multiples Data'!H77,"N/A")))))</f>
        <v>17.01804216419368</v>
      </c>
      <c r="L138" s="9"/>
      <c r="M138" s="64"/>
      <c r="N138" s="9"/>
      <c r="O138" s="9"/>
      <c r="P138" s="9"/>
      <c r="Q138" s="9"/>
      <c r="R138" s="9"/>
      <c r="S138" s="9"/>
      <c r="T138" s="9"/>
      <c r="U138" s="9"/>
      <c r="V138" s="9"/>
      <c r="W138" s="9"/>
      <c r="X138" s="9"/>
      <c r="Y138" s="9"/>
      <c r="Z138" s="9"/>
      <c r="AA138" s="9"/>
      <c r="AB138" s="9"/>
    </row>
    <row r="139" spans="1:28" ht="14.25" customHeight="1" x14ac:dyDescent="0.25">
      <c r="A139" s="9"/>
      <c r="B139" s="9"/>
      <c r="C139" s="9"/>
      <c r="D139" s="9"/>
      <c r="E139" s="9"/>
      <c r="F139" s="9"/>
      <c r="G139" s="9"/>
      <c r="H139" s="9"/>
      <c r="I139" s="64" t="s">
        <v>738</v>
      </c>
      <c r="J139" s="651">
        <f>IF($G$137=$C$9,IF($G$136="LTM",'Multiples Data'!E34,IF($G$136="NTM",'Multiples Data'!F34,"N/A")),IF($G$137=Valuation!$C$14,IF(Valuation!$G$136="LTM",'Multiples Data'!E56,IF(Valuation!$G$136="NTM",'Multiples Data'!F56,"N/A")),IF($G$137=Valuation!$C$19,IF(Valuation!$G$136="LTM",'Multiples Data'!E78,IF($G$136="NTM",'Multiples Data'!F78,"N/A")))))</f>
        <v>20.433814014850444</v>
      </c>
      <c r="K139" s="651">
        <f>IF($G$137=$C$9,IF($G$136="LTM",'Multiples Data'!G34,IF($G$136="NTM",'Multiples Data'!H34,"N/A")),IF($G$137=Valuation!$C$14,IF(Valuation!$G$136="LTM",'Multiples Data'!G56,IF(Valuation!$G$136="NTM",'Multiples Data'!H56,"N/A")),IF($G$137=Valuation!$C$19,IF(Valuation!$G$136="LTM",'Multiples Data'!G78,IF($G$136="NTM",'Multiples Data'!H78,"N/A")))))</f>
        <v>16.861251843597863</v>
      </c>
      <c r="L139" s="9"/>
      <c r="M139" s="9"/>
      <c r="N139" s="9"/>
      <c r="O139" s="9"/>
      <c r="P139" s="9"/>
      <c r="Q139" s="9"/>
      <c r="R139" s="9"/>
      <c r="S139" s="9"/>
      <c r="T139" s="9"/>
      <c r="U139" s="9"/>
      <c r="V139" s="9"/>
      <c r="W139" s="9"/>
      <c r="X139" s="9"/>
      <c r="Y139" s="9"/>
      <c r="Z139" s="9"/>
      <c r="AA139" s="9"/>
      <c r="AB139" s="9"/>
    </row>
    <row r="140" spans="1:28" ht="4.5" customHeight="1"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row>
    <row r="141" spans="1:28" ht="14.25" customHeight="1" x14ac:dyDescent="0.25">
      <c r="A141" s="205" t="s">
        <v>0</v>
      </c>
      <c r="B141" s="9"/>
      <c r="C141" s="995" t="s">
        <v>696</v>
      </c>
      <c r="D141" s="933"/>
      <c r="E141" s="933"/>
      <c r="F141" s="933"/>
      <c r="G141" s="933"/>
      <c r="H141" s="933"/>
      <c r="I141" s="933"/>
      <c r="J141" s="933"/>
      <c r="K141" s="933"/>
      <c r="L141" s="933"/>
      <c r="M141" s="933"/>
      <c r="N141" s="933"/>
      <c r="O141" s="933"/>
      <c r="P141" s="933"/>
      <c r="Q141" s="933"/>
      <c r="R141" s="934"/>
      <c r="S141" s="205" t="s">
        <v>0</v>
      </c>
      <c r="T141" s="9"/>
      <c r="U141" s="9"/>
      <c r="V141" s="9"/>
      <c r="W141" s="9"/>
      <c r="X141" s="9"/>
      <c r="Y141" s="9"/>
      <c r="Z141" s="9"/>
      <c r="AA141" s="9"/>
      <c r="AB141" s="9"/>
    </row>
    <row r="142" spans="1:28" ht="4.5" customHeight="1" x14ac:dyDescent="0.25">
      <c r="A142" s="205"/>
      <c r="B142" s="9"/>
      <c r="C142" s="103"/>
      <c r="D142" s="37"/>
      <c r="E142" s="37"/>
      <c r="F142" s="37"/>
      <c r="G142" s="143"/>
      <c r="H142" s="143"/>
      <c r="I142" s="143"/>
      <c r="J142" s="143"/>
      <c r="K142" s="143"/>
      <c r="L142" s="143"/>
      <c r="M142" s="143"/>
      <c r="N142" s="143"/>
      <c r="O142" s="143"/>
      <c r="P142" s="143"/>
      <c r="Q142" s="143"/>
      <c r="R142" s="143"/>
      <c r="S142" s="205"/>
      <c r="T142" s="9"/>
      <c r="U142" s="9"/>
      <c r="V142" s="9"/>
      <c r="W142" s="9"/>
      <c r="X142" s="9"/>
      <c r="Y142" s="9"/>
      <c r="Z142" s="9"/>
      <c r="AA142" s="9"/>
      <c r="AB142" s="9"/>
    </row>
    <row r="143" spans="1:28" ht="14.25" customHeight="1" x14ac:dyDescent="0.25">
      <c r="A143" s="9"/>
      <c r="B143" s="9"/>
      <c r="C143" s="9" t="s">
        <v>739</v>
      </c>
      <c r="D143" s="9"/>
      <c r="E143" s="685">
        <f>$F$115</f>
        <v>19.606736024102197</v>
      </c>
      <c r="F143" s="600">
        <f>E143-H153</f>
        <v>0</v>
      </c>
      <c r="G143" s="9"/>
      <c r="H143" s="9" t="s">
        <v>740</v>
      </c>
      <c r="I143" s="9"/>
      <c r="J143" s="9"/>
      <c r="K143" s="685">
        <f>N115</f>
        <v>12.4849</v>
      </c>
      <c r="L143" s="600">
        <f>K143-H169</f>
        <v>0</v>
      </c>
      <c r="M143" s="9"/>
      <c r="N143" s="3" t="s">
        <v>719</v>
      </c>
      <c r="O143" s="9"/>
      <c r="P143" s="9"/>
      <c r="Q143" s="730">
        <f>F116</f>
        <v>18.48177865622484</v>
      </c>
      <c r="R143" s="731">
        <f>Q143-E156</f>
        <v>0</v>
      </c>
      <c r="S143" s="9"/>
      <c r="T143" s="9"/>
      <c r="U143" s="9"/>
      <c r="V143" s="9"/>
      <c r="W143" s="9"/>
      <c r="X143" s="9"/>
      <c r="Y143" s="9"/>
      <c r="Z143" s="9"/>
      <c r="AA143" s="9"/>
      <c r="AB143" s="9"/>
    </row>
    <row r="144" spans="1:28" ht="14.25" customHeight="1" x14ac:dyDescent="0.25">
      <c r="A144" s="9"/>
      <c r="B144" s="9"/>
      <c r="C144" s="9" t="s">
        <v>700</v>
      </c>
      <c r="D144" s="9"/>
      <c r="E144" s="692">
        <v>1</v>
      </c>
      <c r="F144" s="9"/>
      <c r="G144" s="9"/>
      <c r="H144" s="9" t="s">
        <v>700</v>
      </c>
      <c r="I144" s="9"/>
      <c r="J144" s="9"/>
      <c r="K144" s="692">
        <v>1</v>
      </c>
      <c r="L144" s="732"/>
      <c r="M144" s="9"/>
      <c r="N144" s="425" t="s">
        <v>741</v>
      </c>
      <c r="O144" s="9"/>
      <c r="P144" s="9"/>
      <c r="Q144" s="9"/>
      <c r="R144" s="731">
        <f>Q143-E164</f>
        <v>0</v>
      </c>
      <c r="S144" s="9"/>
      <c r="T144" s="9"/>
      <c r="U144" s="9"/>
      <c r="V144" s="9"/>
      <c r="W144" s="9"/>
      <c r="X144" s="9"/>
      <c r="Y144" s="9"/>
      <c r="Z144" s="9"/>
      <c r="AA144" s="9"/>
      <c r="AB144" s="9"/>
    </row>
    <row r="145" spans="1:28" ht="14.25" customHeight="1" x14ac:dyDescent="0.25">
      <c r="A145" s="9"/>
      <c r="B145" s="9"/>
      <c r="C145" s="9" t="s">
        <v>742</v>
      </c>
      <c r="D145" s="9"/>
      <c r="E145" s="693">
        <v>0.1</v>
      </c>
      <c r="F145" s="9"/>
      <c r="G145" s="9"/>
      <c r="H145" s="9" t="s">
        <v>743</v>
      </c>
      <c r="I145" s="9"/>
      <c r="J145" s="9"/>
      <c r="K145" s="693">
        <v>0.1</v>
      </c>
      <c r="L145" s="732"/>
      <c r="M145" s="9"/>
      <c r="N145" s="3" t="s">
        <v>720</v>
      </c>
      <c r="O145" s="9"/>
      <c r="P145" s="9"/>
      <c r="Q145" s="733">
        <f>N116</f>
        <v>19100.677636071734</v>
      </c>
      <c r="R145" s="731">
        <f>Q145-E172</f>
        <v>0</v>
      </c>
      <c r="S145" s="9"/>
      <c r="T145" s="9"/>
      <c r="U145" s="9"/>
      <c r="V145" s="9"/>
      <c r="W145" s="9"/>
      <c r="X145" s="9"/>
      <c r="Y145" s="9"/>
      <c r="Z145" s="9"/>
      <c r="AA145" s="9"/>
      <c r="AB145" s="9"/>
    </row>
    <row r="146" spans="1:28" ht="14.25" customHeight="1" x14ac:dyDescent="0.25">
      <c r="A146" s="9"/>
      <c r="B146" s="9"/>
      <c r="C146" s="9" t="s">
        <v>744</v>
      </c>
      <c r="D146" s="9"/>
      <c r="E146" s="685">
        <f>$J$115</f>
        <v>17.327592471055876</v>
      </c>
      <c r="F146" s="600">
        <f>E146-H161</f>
        <v>0</v>
      </c>
      <c r="G146" s="9"/>
      <c r="H146" s="9" t="s">
        <v>745</v>
      </c>
      <c r="I146" s="9"/>
      <c r="J146" s="9"/>
      <c r="K146" s="685">
        <f>R115</f>
        <v>10.942112667854584</v>
      </c>
      <c r="L146" s="600">
        <f>K146-H177</f>
        <v>0</v>
      </c>
      <c r="M146" s="734"/>
      <c r="N146" s="425" t="s">
        <v>741</v>
      </c>
      <c r="O146" s="735"/>
      <c r="P146" s="9"/>
      <c r="Q146" s="9"/>
      <c r="R146" s="731">
        <f>Q145-E180</f>
        <v>0</v>
      </c>
      <c r="S146" s="9"/>
      <c r="T146" s="9"/>
      <c r="U146" s="9"/>
      <c r="V146" s="9"/>
      <c r="W146" s="9"/>
      <c r="X146" s="9"/>
      <c r="Y146" s="9"/>
      <c r="Z146" s="9"/>
      <c r="AA146" s="9"/>
      <c r="AB146" s="9"/>
    </row>
    <row r="147" spans="1:28" ht="14.25" customHeight="1" x14ac:dyDescent="0.25">
      <c r="A147" s="9"/>
      <c r="B147" s="9"/>
      <c r="C147" s="9" t="s">
        <v>700</v>
      </c>
      <c r="D147" s="9"/>
      <c r="E147" s="692">
        <v>1</v>
      </c>
      <c r="F147" s="9"/>
      <c r="G147" s="9"/>
      <c r="H147" s="9" t="s">
        <v>700</v>
      </c>
      <c r="I147" s="9"/>
      <c r="J147" s="9"/>
      <c r="K147" s="692">
        <v>1</v>
      </c>
      <c r="L147" s="732"/>
      <c r="M147" s="9"/>
      <c r="N147" s="9"/>
      <c r="O147" s="735"/>
      <c r="P147" s="9"/>
      <c r="Q147" s="9"/>
      <c r="R147" s="9"/>
      <c r="S147" s="9"/>
      <c r="T147" s="9"/>
      <c r="U147" s="9"/>
      <c r="V147" s="9"/>
      <c r="W147" s="9"/>
      <c r="X147" s="9"/>
      <c r="Y147" s="9"/>
      <c r="Z147" s="9"/>
      <c r="AA147" s="9"/>
      <c r="AB147" s="9"/>
    </row>
    <row r="148" spans="1:28" ht="14.25" customHeight="1" x14ac:dyDescent="0.25">
      <c r="A148" s="9"/>
      <c r="B148" s="9"/>
      <c r="C148" s="9"/>
      <c r="D148" s="9"/>
      <c r="E148" s="32"/>
      <c r="F148" s="9"/>
      <c r="G148" s="9"/>
      <c r="H148" s="9"/>
      <c r="I148" s="9"/>
      <c r="J148" s="9"/>
      <c r="K148" s="9"/>
      <c r="L148" s="9"/>
      <c r="M148" s="9"/>
      <c r="N148" s="9"/>
      <c r="O148" s="9"/>
      <c r="P148" s="9"/>
      <c r="Q148" s="9"/>
      <c r="R148" s="9"/>
      <c r="S148" s="9"/>
      <c r="T148" s="9"/>
      <c r="U148" s="9"/>
      <c r="V148" s="9"/>
      <c r="W148" s="9"/>
      <c r="X148" s="9"/>
      <c r="Y148" s="9"/>
      <c r="Z148" s="9"/>
      <c r="AA148" s="9"/>
      <c r="AB148" s="9"/>
    </row>
    <row r="149" spans="1:28" ht="4.5" customHeight="1"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row>
    <row r="150" spans="1:28" ht="14.25" customHeight="1" x14ac:dyDescent="0.25">
      <c r="A150" s="9"/>
      <c r="B150" s="9"/>
      <c r="C150" s="9"/>
      <c r="D150" s="996" t="s">
        <v>703</v>
      </c>
      <c r="E150" s="933"/>
      <c r="F150" s="933"/>
      <c r="G150" s="933"/>
      <c r="H150" s="933"/>
      <c r="I150" s="933"/>
      <c r="J150" s="934"/>
      <c r="K150" s="694"/>
      <c r="L150" s="996" t="s">
        <v>704</v>
      </c>
      <c r="M150" s="933"/>
      <c r="N150" s="933"/>
      <c r="O150" s="933"/>
      <c r="P150" s="933"/>
      <c r="Q150" s="933"/>
      <c r="R150" s="934"/>
      <c r="S150" s="9"/>
      <c r="T150" s="9"/>
      <c r="U150" s="9"/>
      <c r="V150" s="9"/>
      <c r="W150" s="9"/>
      <c r="X150" s="9"/>
      <c r="Y150" s="9"/>
      <c r="Z150" s="9"/>
      <c r="AA150" s="9"/>
      <c r="AB150" s="9"/>
    </row>
    <row r="151" spans="1:28" ht="4.5" customHeight="1" x14ac:dyDescent="0.25">
      <c r="A151" s="9"/>
      <c r="B151" s="9"/>
      <c r="C151" s="9"/>
      <c r="D151" s="37"/>
      <c r="E151" s="143"/>
      <c r="F151" s="64"/>
      <c r="G151" s="64"/>
      <c r="H151" s="64"/>
      <c r="I151" s="64"/>
      <c r="J151" s="64"/>
      <c r="K151" s="694"/>
      <c r="L151" s="37"/>
      <c r="M151" s="143"/>
      <c r="N151" s="64"/>
      <c r="O151" s="64"/>
      <c r="P151" s="64"/>
      <c r="Q151" s="64"/>
      <c r="R151" s="64"/>
      <c r="S151" s="9"/>
      <c r="T151" s="9"/>
      <c r="U151" s="9"/>
      <c r="V151" s="9"/>
      <c r="W151" s="9"/>
      <c r="X151" s="9"/>
      <c r="Y151" s="9"/>
      <c r="Z151" s="9"/>
      <c r="AA151" s="9"/>
      <c r="AB151" s="9"/>
    </row>
    <row r="152" spans="1:28" ht="14.25" customHeight="1" x14ac:dyDescent="0.25">
      <c r="A152" s="9"/>
      <c r="B152" s="9"/>
      <c r="C152" s="9"/>
      <c r="D152" s="522"/>
      <c r="E152" s="524"/>
      <c r="F152" s="990" t="str">
        <f>G136&amp;" P/E"</f>
        <v>NTM P/E</v>
      </c>
      <c r="G152" s="991"/>
      <c r="H152" s="991"/>
      <c r="I152" s="991"/>
      <c r="J152" s="991"/>
      <c r="K152" s="9"/>
      <c r="L152" s="522"/>
      <c r="M152" s="524"/>
      <c r="N152" s="990" t="str">
        <f t="shared" ref="N152:N153" si="22">F152</f>
        <v>NTM P/E</v>
      </c>
      <c r="O152" s="991"/>
      <c r="P152" s="991"/>
      <c r="Q152" s="991"/>
      <c r="R152" s="991"/>
      <c r="S152" s="9"/>
      <c r="T152" s="9"/>
      <c r="U152" s="9"/>
      <c r="V152" s="9"/>
      <c r="W152" s="9"/>
      <c r="X152" s="9"/>
      <c r="Y152" s="9"/>
      <c r="Z152" s="9"/>
      <c r="AA152" s="9"/>
      <c r="AB152" s="9"/>
    </row>
    <row r="153" spans="1:28" ht="14.25" customHeight="1" x14ac:dyDescent="0.25">
      <c r="A153" s="9"/>
      <c r="B153" s="9"/>
      <c r="C153" s="9"/>
      <c r="D153" s="9"/>
      <c r="E153" s="695">
        <f>$J$118</f>
        <v>320.24472869532275</v>
      </c>
      <c r="F153" s="696">
        <f t="shared" ref="F153" si="23">G153-$E$85</f>
        <v>17.606736024102197</v>
      </c>
      <c r="G153" s="696">
        <f t="shared" ref="G153" si="24">H153-$E$85</f>
        <v>18.606736024102197</v>
      </c>
      <c r="H153" s="697">
        <f>+E143</f>
        <v>19.606736024102197</v>
      </c>
      <c r="I153" s="696">
        <f t="shared" ref="I153" si="25">H153+$E$85</f>
        <v>20.606736024102197</v>
      </c>
      <c r="J153" s="696">
        <f t="shared" ref="J153" si="26">I153+$E$85</f>
        <v>21.606736024102197</v>
      </c>
      <c r="K153" s="9"/>
      <c r="L153" s="9"/>
      <c r="M153" s="698">
        <f>$H$65</f>
        <v>0</v>
      </c>
      <c r="N153" s="696">
        <f t="shared" si="22"/>
        <v>17.606736024102197</v>
      </c>
      <c r="O153" s="696">
        <f t="shared" ref="O153:R153" si="27">G153</f>
        <v>18.606736024102197</v>
      </c>
      <c r="P153" s="696">
        <f>H153</f>
        <v>19.606736024102197</v>
      </c>
      <c r="Q153" s="696">
        <f t="shared" si="27"/>
        <v>20.606736024102197</v>
      </c>
      <c r="R153" s="696">
        <f t="shared" si="27"/>
        <v>21.606736024102197</v>
      </c>
      <c r="S153" s="9"/>
      <c r="T153" s="9"/>
      <c r="U153" s="9"/>
      <c r="V153" s="9"/>
      <c r="W153" s="9"/>
      <c r="X153" s="9"/>
      <c r="Y153" s="9"/>
      <c r="Z153" s="9"/>
      <c r="AA153" s="9"/>
      <c r="AB153" s="9"/>
    </row>
    <row r="154" spans="1:28" ht="14.25" customHeight="1" x14ac:dyDescent="0.25">
      <c r="A154" s="9"/>
      <c r="B154" s="9"/>
      <c r="C154" s="9"/>
      <c r="D154" s="992" t="s">
        <v>373</v>
      </c>
      <c r="E154" s="736">
        <f>$E$164*(1-(2*$E$145))</f>
        <v>14.785422924979873</v>
      </c>
      <c r="F154" s="700">
        <f>+E154*$F$153</f>
        <v>260.32303844482959</v>
      </c>
      <c r="G154" s="701">
        <f>+E154*$G$153</f>
        <v>275.1084613698095</v>
      </c>
      <c r="H154" s="701">
        <f>+E154*$H$153</f>
        <v>289.89388429478936</v>
      </c>
      <c r="I154" s="701">
        <f>+E154*$I$153</f>
        <v>304.67930721976921</v>
      </c>
      <c r="J154" s="702">
        <f>+E154*$J$153</f>
        <v>319.46473014474907</v>
      </c>
      <c r="K154" s="9"/>
      <c r="L154" s="992" t="s">
        <v>373</v>
      </c>
      <c r="M154" s="736">
        <f t="shared" ref="M154:M158" si="28">E154</f>
        <v>14.785422924979873</v>
      </c>
      <c r="N154" s="703">
        <f t="shared" ref="N154:R158" si="29">F154/Share_Price-1</f>
        <v>-0.17328896298761598</v>
      </c>
      <c r="O154" s="594">
        <f t="shared" si="29"/>
        <v>-0.12633471571085297</v>
      </c>
      <c r="P154" s="594">
        <f t="shared" si="29"/>
        <v>-7.9380468434090079E-2</v>
      </c>
      <c r="Q154" s="594">
        <f t="shared" si="29"/>
        <v>-3.2426221157327184E-2</v>
      </c>
      <c r="R154" s="704">
        <f t="shared" si="29"/>
        <v>1.45280261194356E-2</v>
      </c>
      <c r="S154" s="9"/>
      <c r="T154" s="9"/>
      <c r="U154" s="9"/>
      <c r="V154" s="9"/>
      <c r="W154" s="9"/>
      <c r="X154" s="9"/>
      <c r="Y154" s="9"/>
      <c r="Z154" s="9"/>
      <c r="AA154" s="9"/>
      <c r="AB154" s="9"/>
    </row>
    <row r="155" spans="1:28" ht="14.25" customHeight="1" x14ac:dyDescent="0.25">
      <c r="A155" s="9"/>
      <c r="B155" s="9"/>
      <c r="C155" s="9"/>
      <c r="D155" s="993"/>
      <c r="E155" s="736">
        <f>$E$164*(1-$E$145)</f>
        <v>16.633600790602358</v>
      </c>
      <c r="F155" s="705">
        <f>+E155*$F$153</f>
        <v>292.86341825043331</v>
      </c>
      <c r="G155" s="706">
        <f t="shared" ref="G155:G158" si="30">+E155*$G$153</f>
        <v>309.49701904103568</v>
      </c>
      <c r="H155" s="706">
        <f t="shared" ref="H155:H158" si="31">+E155*$H$153</f>
        <v>326.13061983163806</v>
      </c>
      <c r="I155" s="706">
        <f t="shared" ref="I155:I158" si="32">+E155*$I$153</f>
        <v>342.76422062224043</v>
      </c>
      <c r="J155" s="707">
        <f t="shared" ref="J155:J158" si="33">+E155*$J$153</f>
        <v>359.39782141284275</v>
      </c>
      <c r="K155" s="9"/>
      <c r="L155" s="993"/>
      <c r="M155" s="736">
        <f t="shared" si="28"/>
        <v>16.633600790602358</v>
      </c>
      <c r="N155" s="708">
        <f t="shared" si="29"/>
        <v>-6.9950083361067894E-2</v>
      </c>
      <c r="O155" s="484">
        <f t="shared" si="29"/>
        <v>-1.7126555174709623E-2</v>
      </c>
      <c r="P155" s="484">
        <f t="shared" si="29"/>
        <v>3.5696973011648758E-2</v>
      </c>
      <c r="Q155" s="484">
        <f t="shared" si="29"/>
        <v>8.8520501198007029E-2</v>
      </c>
      <c r="R155" s="605">
        <f t="shared" si="29"/>
        <v>0.1413440293843653</v>
      </c>
      <c r="S155" s="9"/>
      <c r="T155" s="9"/>
      <c r="U155" s="9"/>
      <c r="V155" s="9"/>
      <c r="W155" s="9"/>
      <c r="X155" s="9"/>
      <c r="Y155" s="9"/>
      <c r="Z155" s="9"/>
      <c r="AA155" s="9"/>
      <c r="AB155" s="9"/>
    </row>
    <row r="156" spans="1:28" ht="14.25" customHeight="1" x14ac:dyDescent="0.25">
      <c r="A156" s="9"/>
      <c r="B156" s="9"/>
      <c r="C156" s="9"/>
      <c r="D156" s="993"/>
      <c r="E156" s="737">
        <f>+Q143</f>
        <v>18.48177865622484</v>
      </c>
      <c r="F156" s="705">
        <f t="shared" ref="F156:F158" si="34">+E156*$F$153</f>
        <v>325.40379805603698</v>
      </c>
      <c r="G156" s="706">
        <f t="shared" si="30"/>
        <v>343.88557671226181</v>
      </c>
      <c r="H156" s="706">
        <f t="shared" si="31"/>
        <v>362.3673553684867</v>
      </c>
      <c r="I156" s="706">
        <f t="shared" si="32"/>
        <v>380.84913402471153</v>
      </c>
      <c r="J156" s="707">
        <f t="shared" si="33"/>
        <v>399.33091268093636</v>
      </c>
      <c r="K156" s="9"/>
      <c r="L156" s="993"/>
      <c r="M156" s="736">
        <f>+Q143</f>
        <v>18.48177865622484</v>
      </c>
      <c r="N156" s="708">
        <f>F156/Share_Price-1</f>
        <v>3.338879626547997E-2</v>
      </c>
      <c r="O156" s="484">
        <f>G156/Share_Price-1</f>
        <v>9.2081605361433505E-2</v>
      </c>
      <c r="P156" s="484">
        <f>H156/Share_Price-1</f>
        <v>0.15077441445738748</v>
      </c>
      <c r="Q156" s="484">
        <f t="shared" si="29"/>
        <v>0.20946722355334102</v>
      </c>
      <c r="R156" s="605">
        <f t="shared" si="29"/>
        <v>0.26816003264929456</v>
      </c>
      <c r="S156" s="9"/>
      <c r="T156" s="9"/>
      <c r="U156" s="9"/>
      <c r="V156" s="9"/>
      <c r="W156" s="9"/>
      <c r="X156" s="9"/>
      <c r="Y156" s="9"/>
      <c r="Z156" s="9"/>
      <c r="AA156" s="9"/>
      <c r="AB156" s="9"/>
    </row>
    <row r="157" spans="1:28" ht="14.25" customHeight="1" x14ac:dyDescent="0.25">
      <c r="A157" s="9"/>
      <c r="B157" s="9"/>
      <c r="C157" s="9"/>
      <c r="D157" s="993"/>
      <c r="E157" s="736">
        <f>$E$164*(1+$E$145)</f>
        <v>20.329956521847325</v>
      </c>
      <c r="F157" s="705">
        <f t="shared" si="34"/>
        <v>357.9441778616407</v>
      </c>
      <c r="G157" s="706">
        <f t="shared" si="30"/>
        <v>378.27413438348805</v>
      </c>
      <c r="H157" s="706">
        <f t="shared" si="31"/>
        <v>398.60409090533534</v>
      </c>
      <c r="I157" s="706">
        <f t="shared" si="32"/>
        <v>418.93404742718269</v>
      </c>
      <c r="J157" s="707">
        <f t="shared" si="33"/>
        <v>439.26400394903004</v>
      </c>
      <c r="K157" s="9"/>
      <c r="L157" s="993"/>
      <c r="M157" s="736">
        <f t="shared" si="28"/>
        <v>20.329956521847325</v>
      </c>
      <c r="N157" s="708">
        <f t="shared" si="29"/>
        <v>0.13672767589202794</v>
      </c>
      <c r="O157" s="484">
        <f t="shared" si="29"/>
        <v>0.20128976589757719</v>
      </c>
      <c r="P157" s="484">
        <f t="shared" si="29"/>
        <v>0.26585185590312599</v>
      </c>
      <c r="Q157" s="484">
        <f t="shared" si="29"/>
        <v>0.33041394590867501</v>
      </c>
      <c r="R157" s="605">
        <f t="shared" si="29"/>
        <v>0.39497603591422425</v>
      </c>
      <c r="S157" s="9"/>
      <c r="T157" s="9"/>
      <c r="U157" s="9"/>
      <c r="V157" s="9"/>
      <c r="W157" s="9"/>
      <c r="X157" s="9"/>
      <c r="Y157" s="9"/>
      <c r="Z157" s="9"/>
      <c r="AA157" s="9"/>
      <c r="AB157" s="9"/>
    </row>
    <row r="158" spans="1:28" ht="14.25" customHeight="1" x14ac:dyDescent="0.25">
      <c r="A158" s="9"/>
      <c r="B158" s="9"/>
      <c r="C158" s="9"/>
      <c r="D158" s="994"/>
      <c r="E158" s="736">
        <f>$E$164*(1+(2*$E$145))</f>
        <v>22.178134387469807</v>
      </c>
      <c r="F158" s="711">
        <f t="shared" si="34"/>
        <v>390.48455766724436</v>
      </c>
      <c r="G158" s="712">
        <f t="shared" si="30"/>
        <v>412.66269205471417</v>
      </c>
      <c r="H158" s="712">
        <f t="shared" si="31"/>
        <v>434.84082644218398</v>
      </c>
      <c r="I158" s="712">
        <f t="shared" si="32"/>
        <v>457.01896082965379</v>
      </c>
      <c r="J158" s="713">
        <f t="shared" si="33"/>
        <v>479.1970952171236</v>
      </c>
      <c r="K158" s="9"/>
      <c r="L158" s="994"/>
      <c r="M158" s="736">
        <f t="shared" si="28"/>
        <v>22.178134387469807</v>
      </c>
      <c r="N158" s="714">
        <f t="shared" si="29"/>
        <v>0.24006655551857592</v>
      </c>
      <c r="O158" s="602">
        <f t="shared" si="29"/>
        <v>0.31049792643372021</v>
      </c>
      <c r="P158" s="602">
        <f t="shared" si="29"/>
        <v>0.38092929734886471</v>
      </c>
      <c r="Q158" s="602">
        <f t="shared" si="29"/>
        <v>0.451360668264009</v>
      </c>
      <c r="R158" s="715">
        <f t="shared" si="29"/>
        <v>0.52179203917915351</v>
      </c>
      <c r="S158" s="9"/>
      <c r="T158" s="9"/>
      <c r="U158" s="9"/>
      <c r="V158" s="9"/>
      <c r="W158" s="9"/>
      <c r="X158" s="9"/>
      <c r="Y158" s="9"/>
      <c r="Z158" s="9"/>
      <c r="AA158" s="9"/>
      <c r="AB158" s="9"/>
    </row>
    <row r="159" spans="1:28" ht="14.25" customHeight="1"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row>
    <row r="160" spans="1:28" ht="14.25" customHeight="1" x14ac:dyDescent="0.25">
      <c r="A160" s="9"/>
      <c r="B160" s="9"/>
      <c r="C160" s="9"/>
      <c r="D160" s="522"/>
      <c r="E160" s="524"/>
      <c r="F160" s="990" t="str">
        <f>G136&amp;" P/E Spread to Comps"</f>
        <v>NTM P/E Spread to Comps</v>
      </c>
      <c r="G160" s="991"/>
      <c r="H160" s="991"/>
      <c r="I160" s="991"/>
      <c r="J160" s="991"/>
      <c r="K160" s="9"/>
      <c r="L160" s="522"/>
      <c r="M160" s="524"/>
      <c r="N160" s="990" t="str">
        <f t="shared" ref="N160:N161" si="35">F160</f>
        <v>NTM P/E Spread to Comps</v>
      </c>
      <c r="O160" s="991"/>
      <c r="P160" s="991"/>
      <c r="Q160" s="991"/>
      <c r="R160" s="991"/>
      <c r="S160" s="9"/>
      <c r="T160" s="9"/>
      <c r="U160" s="9"/>
      <c r="V160" s="9"/>
      <c r="W160" s="9"/>
      <c r="X160" s="9"/>
      <c r="Y160" s="9"/>
      <c r="Z160" s="9"/>
      <c r="AA160" s="9"/>
      <c r="AB160" s="9"/>
    </row>
    <row r="161" spans="1:28" ht="14.25" customHeight="1" x14ac:dyDescent="0.25">
      <c r="A161" s="9"/>
      <c r="B161" s="9"/>
      <c r="C161" s="9"/>
      <c r="D161" s="9"/>
      <c r="E161" s="695">
        <f>$J$118</f>
        <v>320.24472869532275</v>
      </c>
      <c r="F161" s="696">
        <f t="shared" ref="F161:G161" si="36">G161-$E$85</f>
        <v>15.327592471055876</v>
      </c>
      <c r="G161" s="696">
        <f t="shared" si="36"/>
        <v>16.327592471055876</v>
      </c>
      <c r="H161" s="697">
        <f>+E146</f>
        <v>17.327592471055876</v>
      </c>
      <c r="I161" s="696">
        <f t="shared" ref="I161:J161" si="37">H161+$E$85</f>
        <v>18.327592471055876</v>
      </c>
      <c r="J161" s="696">
        <f t="shared" si="37"/>
        <v>19.327592471055876</v>
      </c>
      <c r="K161" s="9"/>
      <c r="L161" s="9"/>
      <c r="M161" s="695">
        <f>$H$65</f>
        <v>0</v>
      </c>
      <c r="N161" s="696">
        <f t="shared" si="35"/>
        <v>15.327592471055876</v>
      </c>
      <c r="O161" s="696">
        <f t="shared" ref="O161:R161" si="38">G161</f>
        <v>16.327592471055876</v>
      </c>
      <c r="P161" s="696">
        <f t="shared" si="38"/>
        <v>17.327592471055876</v>
      </c>
      <c r="Q161" s="696">
        <f t="shared" si="38"/>
        <v>18.327592471055876</v>
      </c>
      <c r="R161" s="696">
        <f t="shared" si="38"/>
        <v>19.327592471055876</v>
      </c>
      <c r="S161" s="9"/>
      <c r="T161" s="9"/>
      <c r="U161" s="9"/>
      <c r="V161" s="9"/>
      <c r="W161" s="9"/>
      <c r="X161" s="9"/>
      <c r="Y161" s="9"/>
      <c r="Z161" s="9"/>
      <c r="AA161" s="9"/>
      <c r="AB161" s="9"/>
    </row>
    <row r="162" spans="1:28" ht="14.25" customHeight="1" x14ac:dyDescent="0.25">
      <c r="A162" s="9"/>
      <c r="B162" s="9"/>
      <c r="C162" s="9"/>
      <c r="D162" s="992" t="s">
        <v>373</v>
      </c>
      <c r="E162" s="736">
        <f>$E$164*(1-(2*$E$145))</f>
        <v>14.785422924979873</v>
      </c>
      <c r="F162" s="700">
        <f>+E162*F$161</f>
        <v>226.62493710629846</v>
      </c>
      <c r="G162" s="701">
        <f>+E162*$G$161</f>
        <v>241.41036003127832</v>
      </c>
      <c r="H162" s="701">
        <f>+E162*$H$161</f>
        <v>256.1957829562582</v>
      </c>
      <c r="I162" s="701">
        <f>+E162*$I$161</f>
        <v>270.98120588123805</v>
      </c>
      <c r="J162" s="702">
        <f>+E162*$J$161</f>
        <v>285.76662880621797</v>
      </c>
      <c r="K162" s="9"/>
      <c r="L162" s="992" t="s">
        <v>373</v>
      </c>
      <c r="M162" s="736">
        <f t="shared" ref="M162:M166" si="39">E162</f>
        <v>14.785422924979873</v>
      </c>
      <c r="N162" s="703">
        <f t="shared" ref="N162:R166" si="40">F162/Share_Price-1</f>
        <v>-0.28030443295659291</v>
      </c>
      <c r="O162" s="594">
        <f t="shared" si="40"/>
        <v>-0.23335018567983001</v>
      </c>
      <c r="P162" s="594">
        <f t="shared" si="40"/>
        <v>-0.18639593840306712</v>
      </c>
      <c r="Q162" s="594">
        <f t="shared" si="40"/>
        <v>-0.13944169112630422</v>
      </c>
      <c r="R162" s="704">
        <f t="shared" si="40"/>
        <v>-9.2487443849541218E-2</v>
      </c>
      <c r="S162" s="9"/>
      <c r="T162" s="9"/>
      <c r="U162" s="9"/>
      <c r="V162" s="9"/>
      <c r="W162" s="9"/>
      <c r="X162" s="9"/>
      <c r="Y162" s="9"/>
      <c r="Z162" s="9"/>
      <c r="AA162" s="9"/>
      <c r="AB162" s="9"/>
    </row>
    <row r="163" spans="1:28" ht="14.25" customHeight="1" x14ac:dyDescent="0.25">
      <c r="A163" s="9"/>
      <c r="B163" s="9"/>
      <c r="C163" s="9"/>
      <c r="D163" s="993"/>
      <c r="E163" s="736">
        <f>$E$164*(1-$E$145)</f>
        <v>16.633600790602358</v>
      </c>
      <c r="F163" s="705">
        <f t="shared" ref="F163:F166" si="41">+E163*F$161</f>
        <v>254.95305424458579</v>
      </c>
      <c r="G163" s="706">
        <f t="shared" ref="G163:G166" si="42">+E163*$G$161</f>
        <v>271.58665503518813</v>
      </c>
      <c r="H163" s="706">
        <f t="shared" ref="H163:H166" si="43">+E163*$H$161</f>
        <v>288.2202558257905</v>
      </c>
      <c r="I163" s="706">
        <f t="shared" ref="I163:I166" si="44">+E163*$I$161</f>
        <v>304.85385661639287</v>
      </c>
      <c r="J163" s="707">
        <f t="shared" ref="J163:J166" si="45">+E163*$J$161</f>
        <v>321.48745740699519</v>
      </c>
      <c r="K163" s="9"/>
      <c r="L163" s="993"/>
      <c r="M163" s="736">
        <f t="shared" si="39"/>
        <v>16.633600790602358</v>
      </c>
      <c r="N163" s="708">
        <f t="shared" si="40"/>
        <v>-0.19034248707616697</v>
      </c>
      <c r="O163" s="484">
        <f t="shared" si="40"/>
        <v>-0.1375189588898087</v>
      </c>
      <c r="P163" s="484">
        <f t="shared" si="40"/>
        <v>-8.4695430703450314E-2</v>
      </c>
      <c r="Q163" s="484">
        <f t="shared" si="40"/>
        <v>-3.1871902517092043E-2</v>
      </c>
      <c r="R163" s="605">
        <f t="shared" si="40"/>
        <v>2.0951625669266116E-2</v>
      </c>
      <c r="S163" s="9"/>
      <c r="T163" s="9"/>
      <c r="U163" s="9"/>
      <c r="V163" s="9"/>
      <c r="W163" s="9"/>
      <c r="X163" s="9"/>
      <c r="Y163" s="9"/>
      <c r="Z163" s="9"/>
      <c r="AA163" s="9"/>
      <c r="AB163" s="9"/>
    </row>
    <row r="164" spans="1:28" ht="14.25" customHeight="1" x14ac:dyDescent="0.25">
      <c r="A164" s="9"/>
      <c r="B164" s="9"/>
      <c r="C164" s="9"/>
      <c r="D164" s="993"/>
      <c r="E164" s="737">
        <f>+E156</f>
        <v>18.48177865622484</v>
      </c>
      <c r="F164" s="705">
        <f t="shared" si="41"/>
        <v>283.28117138287303</v>
      </c>
      <c r="G164" s="706">
        <f t="shared" si="42"/>
        <v>301.76295003909786</v>
      </c>
      <c r="H164" s="706">
        <f t="shared" si="43"/>
        <v>320.24472869532275</v>
      </c>
      <c r="I164" s="706">
        <f t="shared" si="44"/>
        <v>338.72650735154758</v>
      </c>
      <c r="J164" s="707">
        <f t="shared" si="45"/>
        <v>357.20828600777241</v>
      </c>
      <c r="K164" s="9"/>
      <c r="L164" s="993"/>
      <c r="M164" s="736">
        <f>+M156</f>
        <v>18.48177865622484</v>
      </c>
      <c r="N164" s="708">
        <f t="shared" si="40"/>
        <v>-0.10038054119574125</v>
      </c>
      <c r="O164" s="484">
        <f t="shared" si="40"/>
        <v>-4.16877320997876E-2</v>
      </c>
      <c r="P164" s="484">
        <f t="shared" si="40"/>
        <v>1.7005076996166268E-2</v>
      </c>
      <c r="Q164" s="484">
        <f t="shared" si="40"/>
        <v>7.5697886092119804E-2</v>
      </c>
      <c r="R164" s="605">
        <f t="shared" si="40"/>
        <v>0.13439069518807334</v>
      </c>
      <c r="S164" s="9"/>
      <c r="T164" s="9"/>
      <c r="U164" s="9"/>
      <c r="V164" s="9"/>
      <c r="W164" s="9"/>
      <c r="X164" s="9"/>
      <c r="Y164" s="9"/>
      <c r="Z164" s="9"/>
      <c r="AA164" s="9"/>
      <c r="AB164" s="9"/>
    </row>
    <row r="165" spans="1:28" ht="14.25" customHeight="1" x14ac:dyDescent="0.25">
      <c r="A165" s="9"/>
      <c r="B165" s="9"/>
      <c r="C165" s="9"/>
      <c r="D165" s="993"/>
      <c r="E165" s="736">
        <f>$E$164*(1+$E$145)</f>
        <v>20.329956521847325</v>
      </c>
      <c r="F165" s="705">
        <f t="shared" si="41"/>
        <v>311.60928852116035</v>
      </c>
      <c r="G165" s="706">
        <f t="shared" si="42"/>
        <v>331.9392450430077</v>
      </c>
      <c r="H165" s="706">
        <f t="shared" si="43"/>
        <v>352.26920156485505</v>
      </c>
      <c r="I165" s="706">
        <f t="shared" si="44"/>
        <v>372.59915808670235</v>
      </c>
      <c r="J165" s="707">
        <f t="shared" si="45"/>
        <v>392.9291146085497</v>
      </c>
      <c r="K165" s="9"/>
      <c r="L165" s="993"/>
      <c r="M165" s="736">
        <f t="shared" si="39"/>
        <v>20.329956521847325</v>
      </c>
      <c r="N165" s="708">
        <f t="shared" si="40"/>
        <v>-1.0418595315315304E-2</v>
      </c>
      <c r="O165" s="484">
        <f t="shared" si="40"/>
        <v>5.4143494690233718E-2</v>
      </c>
      <c r="P165" s="484">
        <f t="shared" si="40"/>
        <v>0.11870558469578296</v>
      </c>
      <c r="Q165" s="484">
        <f t="shared" si="40"/>
        <v>0.18326767470133176</v>
      </c>
      <c r="R165" s="605">
        <f t="shared" si="40"/>
        <v>0.24782976470688078</v>
      </c>
      <c r="S165" s="9"/>
      <c r="T165" s="9"/>
      <c r="U165" s="9"/>
      <c r="V165" s="9"/>
      <c r="W165" s="9"/>
      <c r="X165" s="9"/>
      <c r="Y165" s="9"/>
      <c r="Z165" s="9"/>
      <c r="AA165" s="9"/>
      <c r="AB165" s="9"/>
    </row>
    <row r="166" spans="1:28" ht="14.25" customHeight="1" x14ac:dyDescent="0.25">
      <c r="A166" s="9"/>
      <c r="B166" s="9"/>
      <c r="C166" s="9"/>
      <c r="D166" s="994"/>
      <c r="E166" s="736">
        <f>$E$164*(1+(2*$E$145))</f>
        <v>22.178134387469807</v>
      </c>
      <c r="F166" s="711">
        <f t="shared" si="41"/>
        <v>339.93740565944762</v>
      </c>
      <c r="G166" s="712">
        <f t="shared" si="42"/>
        <v>362.11554004691743</v>
      </c>
      <c r="H166" s="712">
        <f t="shared" si="43"/>
        <v>384.29367443438724</v>
      </c>
      <c r="I166" s="712">
        <f t="shared" si="44"/>
        <v>406.47180882185705</v>
      </c>
      <c r="J166" s="713">
        <f t="shared" si="45"/>
        <v>428.64994320932686</v>
      </c>
      <c r="K166" s="9"/>
      <c r="L166" s="994"/>
      <c r="M166" s="736">
        <f t="shared" si="39"/>
        <v>22.178134387469807</v>
      </c>
      <c r="N166" s="714">
        <f t="shared" si="40"/>
        <v>7.9543350565110416E-2</v>
      </c>
      <c r="O166" s="602">
        <f t="shared" si="40"/>
        <v>0.14997472148025492</v>
      </c>
      <c r="P166" s="602">
        <f t="shared" si="40"/>
        <v>0.22040609239539921</v>
      </c>
      <c r="Q166" s="602">
        <f t="shared" si="40"/>
        <v>0.2908374633105435</v>
      </c>
      <c r="R166" s="715">
        <f t="shared" si="40"/>
        <v>0.36126883422568801</v>
      </c>
      <c r="S166" s="9"/>
      <c r="T166" s="9"/>
      <c r="U166" s="9"/>
      <c r="V166" s="9"/>
      <c r="W166" s="9"/>
      <c r="X166" s="9"/>
      <c r="Y166" s="9"/>
      <c r="Z166" s="9"/>
      <c r="AA166" s="9"/>
      <c r="AB166" s="9"/>
    </row>
    <row r="167" spans="1:28" ht="14.25" customHeight="1"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row>
    <row r="168" spans="1:28" ht="14.25" customHeight="1" x14ac:dyDescent="0.25">
      <c r="A168" s="9"/>
      <c r="B168" s="9"/>
      <c r="C168" s="9"/>
      <c r="D168" s="522"/>
      <c r="E168" s="524"/>
      <c r="F168" s="990" t="str">
        <f>G136&amp;" EV/EBITDA"</f>
        <v>NTM EV/EBITDA</v>
      </c>
      <c r="G168" s="991"/>
      <c r="H168" s="991"/>
      <c r="I168" s="991"/>
      <c r="J168" s="991"/>
      <c r="K168" s="9"/>
      <c r="L168" s="522"/>
      <c r="M168" s="524"/>
      <c r="N168" s="990" t="str">
        <f t="shared" ref="N168:N169" si="46">F168</f>
        <v>NTM EV/EBITDA</v>
      </c>
      <c r="O168" s="991"/>
      <c r="P168" s="991"/>
      <c r="Q168" s="991"/>
      <c r="R168" s="991"/>
      <c r="S168" s="9"/>
      <c r="T168" s="9"/>
      <c r="U168" s="9"/>
      <c r="V168" s="9"/>
      <c r="W168" s="9"/>
      <c r="X168" s="9"/>
      <c r="Y168" s="9"/>
      <c r="Z168" s="9"/>
      <c r="AA168" s="9"/>
      <c r="AB168" s="9"/>
    </row>
    <row r="169" spans="1:28" ht="14.25" customHeight="1" x14ac:dyDescent="0.25">
      <c r="A169" s="9"/>
      <c r="B169" s="9"/>
      <c r="C169" s="9"/>
      <c r="D169" s="9"/>
      <c r="E169" s="695">
        <f ca="1">$N$129</f>
        <v>335.71783764500725</v>
      </c>
      <c r="F169" s="696">
        <f t="shared" ref="F169:G169" si="47">G169-$E$85</f>
        <v>10.4849</v>
      </c>
      <c r="G169" s="696">
        <f t="shared" si="47"/>
        <v>11.4849</v>
      </c>
      <c r="H169" s="697">
        <f>+K143</f>
        <v>12.4849</v>
      </c>
      <c r="I169" s="696">
        <f t="shared" ref="I169:J169" si="48">H169+$E$85</f>
        <v>13.4849</v>
      </c>
      <c r="J169" s="696">
        <f t="shared" si="48"/>
        <v>14.4849</v>
      </c>
      <c r="K169" s="9"/>
      <c r="L169" s="9"/>
      <c r="M169" s="695">
        <f>$H$65</f>
        <v>0</v>
      </c>
      <c r="N169" s="696">
        <f t="shared" si="46"/>
        <v>10.4849</v>
      </c>
      <c r="O169" s="696">
        <f t="shared" ref="O169:R169" si="49">G169</f>
        <v>11.4849</v>
      </c>
      <c r="P169" s="696">
        <f t="shared" si="49"/>
        <v>12.4849</v>
      </c>
      <c r="Q169" s="696">
        <f t="shared" si="49"/>
        <v>13.4849</v>
      </c>
      <c r="R169" s="696">
        <f t="shared" si="49"/>
        <v>14.4849</v>
      </c>
      <c r="S169" s="9"/>
      <c r="T169" s="9"/>
      <c r="U169" s="9"/>
      <c r="V169" s="9"/>
      <c r="W169" s="9"/>
      <c r="X169" s="9"/>
      <c r="Y169" s="9"/>
      <c r="Z169" s="9"/>
      <c r="AA169" s="9"/>
      <c r="AB169" s="9"/>
    </row>
    <row r="170" spans="1:28" ht="14.25" customHeight="1" x14ac:dyDescent="0.25">
      <c r="A170" s="9"/>
      <c r="B170" s="9"/>
      <c r="C170" s="9"/>
      <c r="D170" s="992" t="s">
        <v>277</v>
      </c>
      <c r="E170" s="674">
        <f>$E$172*(1-(2*$K$145))</f>
        <v>15280.542108857388</v>
      </c>
      <c r="F170" s="700">
        <v>155.53010888594085</v>
      </c>
      <c r="G170" s="701">
        <v>172.99692288561477</v>
      </c>
      <c r="H170" s="701">
        <v>190.46373688528865</v>
      </c>
      <c r="I170" s="701">
        <v>207.93055088496263</v>
      </c>
      <c r="J170" s="702">
        <v>225.39736488463652</v>
      </c>
      <c r="K170" s="9"/>
      <c r="L170" s="992" t="s">
        <v>277</v>
      </c>
      <c r="M170" s="674">
        <f t="shared" ref="M170:M174" si="50">E170</f>
        <v>15280.542108857388</v>
      </c>
      <c r="N170" s="703">
        <f t="shared" ref="N170:R174" si="51">F170/Share_Price-1</f>
        <v>-0.50608114298345175</v>
      </c>
      <c r="O170" s="594">
        <f t="shared" si="51"/>
        <v>-0.45061156948262959</v>
      </c>
      <c r="P170" s="594">
        <f t="shared" si="51"/>
        <v>-0.39514199598180744</v>
      </c>
      <c r="Q170" s="594">
        <f t="shared" si="51"/>
        <v>-0.33967242248098495</v>
      </c>
      <c r="R170" s="704">
        <f t="shared" si="51"/>
        <v>-0.28420284898016279</v>
      </c>
      <c r="S170" s="9"/>
      <c r="T170" s="9"/>
      <c r="U170" s="9"/>
      <c r="V170" s="9"/>
      <c r="W170" s="9"/>
      <c r="X170" s="9"/>
      <c r="Y170" s="9"/>
      <c r="Z170" s="9"/>
      <c r="AA170" s="9"/>
      <c r="AB170" s="9"/>
    </row>
    <row r="171" spans="1:28" ht="14.25" customHeight="1" x14ac:dyDescent="0.25">
      <c r="A171" s="9"/>
      <c r="B171" s="9"/>
      <c r="C171" s="9"/>
      <c r="D171" s="993"/>
      <c r="E171" s="674">
        <f>$E$172*(1-$K$145)</f>
        <v>17190.60987246456</v>
      </c>
      <c r="F171" s="705">
        <v>178.32397365275278</v>
      </c>
      <c r="G171" s="706">
        <v>197.97413940238593</v>
      </c>
      <c r="H171" s="706">
        <v>217.6243051520191</v>
      </c>
      <c r="I171" s="706">
        <v>237.27447090165225</v>
      </c>
      <c r="J171" s="707">
        <v>256.92463665128543</v>
      </c>
      <c r="K171" s="9"/>
      <c r="L171" s="993"/>
      <c r="M171" s="674">
        <f t="shared" si="50"/>
        <v>17190.60987246456</v>
      </c>
      <c r="N171" s="708">
        <f t="shared" si="51"/>
        <v>-0.433694389619382</v>
      </c>
      <c r="O171" s="484">
        <f t="shared" si="51"/>
        <v>-0.37129111943095705</v>
      </c>
      <c r="P171" s="484">
        <f t="shared" si="51"/>
        <v>-0.30888784924253199</v>
      </c>
      <c r="Q171" s="484">
        <f t="shared" si="51"/>
        <v>-0.24648457905410692</v>
      </c>
      <c r="R171" s="605">
        <f t="shared" si="51"/>
        <v>-0.18408130886568186</v>
      </c>
      <c r="S171" s="9"/>
      <c r="T171" s="9"/>
      <c r="U171" s="9"/>
      <c r="V171" s="9"/>
      <c r="W171" s="9"/>
      <c r="X171" s="9"/>
      <c r="Y171" s="9"/>
      <c r="Z171" s="9"/>
      <c r="AA171" s="9"/>
      <c r="AB171" s="9"/>
    </row>
    <row r="172" spans="1:28" ht="14.25" customHeight="1" x14ac:dyDescent="0.25">
      <c r="A172" s="9"/>
      <c r="B172" s="9"/>
      <c r="C172" s="9"/>
      <c r="D172" s="993"/>
      <c r="E172" s="738">
        <f>+Q145</f>
        <v>19100.677636071734</v>
      </c>
      <c r="F172" s="705">
        <v>201.11783841956475</v>
      </c>
      <c r="G172" s="706">
        <v>222.95135591915715</v>
      </c>
      <c r="H172" s="706">
        <v>244.78487341874956</v>
      </c>
      <c r="I172" s="706">
        <v>266.61839091834196</v>
      </c>
      <c r="J172" s="707">
        <v>288.45190841793436</v>
      </c>
      <c r="K172" s="9"/>
      <c r="L172" s="993"/>
      <c r="M172" s="674">
        <f t="shared" si="50"/>
        <v>19100.677636071734</v>
      </c>
      <c r="N172" s="708">
        <f t="shared" si="51"/>
        <v>-0.36130763625531215</v>
      </c>
      <c r="O172" s="484">
        <f t="shared" si="51"/>
        <v>-0.29197066937928429</v>
      </c>
      <c r="P172" s="484">
        <f t="shared" si="51"/>
        <v>-0.22263370250325654</v>
      </c>
      <c r="Q172" s="484">
        <f t="shared" si="51"/>
        <v>-0.15329673562722868</v>
      </c>
      <c r="R172" s="605">
        <f t="shared" si="51"/>
        <v>-8.3959768751200814E-2</v>
      </c>
      <c r="S172" s="9"/>
      <c r="T172" s="9"/>
      <c r="U172" s="9"/>
      <c r="V172" s="9"/>
      <c r="W172" s="9"/>
      <c r="X172" s="9"/>
      <c r="Y172" s="9"/>
      <c r="Z172" s="9"/>
      <c r="AA172" s="9"/>
      <c r="AB172" s="9"/>
    </row>
    <row r="173" spans="1:28" ht="14.25" customHeight="1" x14ac:dyDescent="0.25">
      <c r="A173" s="9"/>
      <c r="B173" s="9"/>
      <c r="C173" s="9"/>
      <c r="D173" s="993"/>
      <c r="E173" s="674">
        <f>$E$172*(1+$K$145)</f>
        <v>21010.745399678908</v>
      </c>
      <c r="F173" s="705">
        <v>223.91170318637674</v>
      </c>
      <c r="G173" s="706">
        <v>247.92857243592837</v>
      </c>
      <c r="H173" s="706">
        <v>271.94544168548003</v>
      </c>
      <c r="I173" s="706">
        <v>295.96231093503167</v>
      </c>
      <c r="J173" s="707">
        <v>319.9791801845833</v>
      </c>
      <c r="K173" s="9"/>
      <c r="L173" s="993"/>
      <c r="M173" s="674">
        <f t="shared" si="50"/>
        <v>21010.745399678908</v>
      </c>
      <c r="N173" s="708">
        <f t="shared" si="51"/>
        <v>-0.28892088289124218</v>
      </c>
      <c r="O173" s="484">
        <f t="shared" si="51"/>
        <v>-0.21265021932761163</v>
      </c>
      <c r="P173" s="484">
        <f t="shared" si="51"/>
        <v>-0.13637955576398098</v>
      </c>
      <c r="Q173" s="484">
        <f t="shared" si="51"/>
        <v>-6.0108892200350317E-2</v>
      </c>
      <c r="R173" s="605">
        <f t="shared" si="51"/>
        <v>1.6161771363280231E-2</v>
      </c>
      <c r="S173" s="9"/>
      <c r="T173" s="9"/>
      <c r="U173" s="9"/>
      <c r="V173" s="9"/>
      <c r="W173" s="9"/>
      <c r="X173" s="9"/>
      <c r="Y173" s="9"/>
      <c r="Z173" s="9"/>
      <c r="AA173" s="9"/>
      <c r="AB173" s="9"/>
    </row>
    <row r="174" spans="1:28" ht="14.25" customHeight="1" x14ac:dyDescent="0.25">
      <c r="A174" s="9"/>
      <c r="B174" s="9"/>
      <c r="C174" s="9"/>
      <c r="D174" s="994"/>
      <c r="E174" s="674">
        <f>$E$172*(1+(2*$K$145))</f>
        <v>22920.813163286079</v>
      </c>
      <c r="F174" s="711">
        <v>246.70556795318871</v>
      </c>
      <c r="G174" s="712">
        <v>272.90578895269954</v>
      </c>
      <c r="H174" s="712">
        <v>299.10600995221046</v>
      </c>
      <c r="I174" s="712">
        <v>325.30623095172132</v>
      </c>
      <c r="J174" s="713">
        <v>351.50645195123218</v>
      </c>
      <c r="K174" s="9"/>
      <c r="L174" s="994"/>
      <c r="M174" s="674">
        <f t="shared" si="50"/>
        <v>22920.813163286079</v>
      </c>
      <c r="N174" s="714">
        <f t="shared" si="51"/>
        <v>-0.21653412952717233</v>
      </c>
      <c r="O174" s="602">
        <f t="shared" si="51"/>
        <v>-0.13332976927593909</v>
      </c>
      <c r="P174" s="602">
        <f t="shared" si="51"/>
        <v>-5.0125409024705525E-2</v>
      </c>
      <c r="Q174" s="602">
        <f t="shared" si="51"/>
        <v>3.3078951226527709E-2</v>
      </c>
      <c r="R174" s="715">
        <f t="shared" si="51"/>
        <v>0.11628331147776105</v>
      </c>
      <c r="S174" s="9"/>
      <c r="T174" s="9"/>
      <c r="U174" s="9"/>
      <c r="V174" s="9"/>
      <c r="W174" s="9"/>
      <c r="X174" s="9"/>
      <c r="Y174" s="9"/>
      <c r="Z174" s="9"/>
      <c r="AA174" s="9"/>
      <c r="AB174" s="9"/>
    </row>
    <row r="175" spans="1:28" ht="14.25" customHeight="1"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row>
    <row r="176" spans="1:28" ht="14.25" customHeight="1" x14ac:dyDescent="0.25">
      <c r="A176" s="9"/>
      <c r="B176" s="9"/>
      <c r="C176" s="9"/>
      <c r="D176" s="522"/>
      <c r="E176" s="524"/>
      <c r="F176" s="990" t="str">
        <f>G136&amp;" EV/EBITDA Spread to Comps"</f>
        <v>NTM EV/EBITDA Spread to Comps</v>
      </c>
      <c r="G176" s="991"/>
      <c r="H176" s="991"/>
      <c r="I176" s="991"/>
      <c r="J176" s="991"/>
      <c r="K176" s="9"/>
      <c r="L176" s="522"/>
      <c r="M176" s="524"/>
      <c r="N176" s="990" t="str">
        <f t="shared" ref="N176:N177" si="52">F176</f>
        <v>NTM EV/EBITDA Spread to Comps</v>
      </c>
      <c r="O176" s="991"/>
      <c r="P176" s="991"/>
      <c r="Q176" s="991"/>
      <c r="R176" s="991"/>
      <c r="S176" s="9"/>
      <c r="T176" s="9"/>
      <c r="U176" s="9"/>
      <c r="V176" s="9"/>
      <c r="W176" s="9"/>
      <c r="X176" s="9"/>
      <c r="Y176" s="9"/>
      <c r="Z176" s="9"/>
      <c r="AA176" s="9"/>
      <c r="AB176" s="9"/>
    </row>
    <row r="177" spans="1:28" ht="14.25" customHeight="1" x14ac:dyDescent="0.25">
      <c r="A177" s="9"/>
      <c r="B177" s="9"/>
      <c r="C177" s="9"/>
      <c r="D177" s="9"/>
      <c r="E177" s="695">
        <f ca="1">$R$129</f>
        <v>294.43203451222189</v>
      </c>
      <c r="F177" s="696">
        <f t="shared" ref="F177:G177" si="53">G177-$E$85</f>
        <v>8.9421126678545839</v>
      </c>
      <c r="G177" s="696">
        <f t="shared" si="53"/>
        <v>9.9421126678545839</v>
      </c>
      <c r="H177" s="697">
        <f>+K146</f>
        <v>10.942112667854584</v>
      </c>
      <c r="I177" s="696">
        <f t="shared" ref="I177:J177" si="54">H177+$E$85</f>
        <v>11.942112667854584</v>
      </c>
      <c r="J177" s="696">
        <f t="shared" si="54"/>
        <v>12.942112667854584</v>
      </c>
      <c r="K177" s="9"/>
      <c r="L177" s="9"/>
      <c r="M177" s="695">
        <f>$H$65</f>
        <v>0</v>
      </c>
      <c r="N177" s="696">
        <f t="shared" si="52"/>
        <v>8.9421126678545839</v>
      </c>
      <c r="O177" s="696">
        <f t="shared" ref="O177:R177" si="55">G177</f>
        <v>9.9421126678545839</v>
      </c>
      <c r="P177" s="696">
        <f t="shared" si="55"/>
        <v>10.942112667854584</v>
      </c>
      <c r="Q177" s="696">
        <f t="shared" si="55"/>
        <v>11.942112667854584</v>
      </c>
      <c r="R177" s="696">
        <f t="shared" si="55"/>
        <v>12.942112667854584</v>
      </c>
      <c r="S177" s="9"/>
      <c r="T177" s="9"/>
      <c r="U177" s="9"/>
      <c r="V177" s="9"/>
      <c r="W177" s="9"/>
      <c r="X177" s="9"/>
      <c r="Y177" s="9"/>
      <c r="Z177" s="9"/>
      <c r="AA177" s="9"/>
      <c r="AB177" s="9"/>
    </row>
    <row r="178" spans="1:28" ht="14.25" customHeight="1" x14ac:dyDescent="0.25">
      <c r="A178" s="9"/>
      <c r="B178" s="9"/>
      <c r="C178" s="9"/>
      <c r="D178" s="992" t="s">
        <v>277</v>
      </c>
      <c r="E178" s="674">
        <f>$E$180*(1-(2*$K$145))</f>
        <v>15280.542108857388</v>
      </c>
      <c r="F178" s="700">
        <v>165.53841173923499</v>
      </c>
      <c r="G178" s="701">
        <v>183.0052257389089</v>
      </c>
      <c r="H178" s="701">
        <v>200.47203973858285</v>
      </c>
      <c r="I178" s="701">
        <v>217.93885373825677</v>
      </c>
      <c r="J178" s="702">
        <v>235.40566773793071</v>
      </c>
      <c r="K178" s="9"/>
      <c r="L178" s="992" t="s">
        <v>277</v>
      </c>
      <c r="M178" s="674">
        <f t="shared" ref="M178:M182" si="56">E178</f>
        <v>15280.542108857388</v>
      </c>
      <c r="N178" s="703">
        <f t="shared" ref="N178:R182" si="57">F178/Share_Price-1</f>
        <v>-0.47429765397683321</v>
      </c>
      <c r="O178" s="594">
        <f t="shared" si="57"/>
        <v>-0.41882808047601094</v>
      </c>
      <c r="P178" s="594">
        <f t="shared" si="57"/>
        <v>-0.36335850697518857</v>
      </c>
      <c r="Q178" s="594">
        <f t="shared" si="57"/>
        <v>-0.30788893347436641</v>
      </c>
      <c r="R178" s="704">
        <f t="shared" si="57"/>
        <v>-0.25241935997354403</v>
      </c>
      <c r="S178" s="9"/>
      <c r="T178" s="9"/>
      <c r="U178" s="9"/>
      <c r="V178" s="9"/>
      <c r="W178" s="9"/>
      <c r="X178" s="9"/>
      <c r="Y178" s="9"/>
      <c r="Z178" s="9"/>
      <c r="AA178" s="9"/>
      <c r="AB178" s="9"/>
    </row>
    <row r="179" spans="1:28" ht="14.25" customHeight="1" x14ac:dyDescent="0.25">
      <c r="A179" s="9"/>
      <c r="B179" s="9"/>
      <c r="C179" s="9"/>
      <c r="D179" s="993"/>
      <c r="E179" s="674">
        <f>$E$180*(1-$K$145)</f>
        <v>17190.60987246456</v>
      </c>
      <c r="F179" s="705">
        <v>189.58331436270871</v>
      </c>
      <c r="G179" s="706">
        <v>209.23348011234188</v>
      </c>
      <c r="H179" s="706">
        <v>228.88364586197503</v>
      </c>
      <c r="I179" s="706">
        <v>248.53381161160817</v>
      </c>
      <c r="J179" s="707">
        <v>268.18397736124132</v>
      </c>
      <c r="K179" s="9"/>
      <c r="L179" s="993"/>
      <c r="M179" s="674">
        <f t="shared" si="56"/>
        <v>17190.60987246456</v>
      </c>
      <c r="N179" s="708">
        <f t="shared" si="57"/>
        <v>-0.39793796448693608</v>
      </c>
      <c r="O179" s="484">
        <f t="shared" si="57"/>
        <v>-0.3355346942985109</v>
      </c>
      <c r="P179" s="484">
        <f t="shared" si="57"/>
        <v>-0.27313142411008595</v>
      </c>
      <c r="Q179" s="484">
        <f t="shared" si="57"/>
        <v>-0.210728153921661</v>
      </c>
      <c r="R179" s="605">
        <f t="shared" si="57"/>
        <v>-0.14832488373323593</v>
      </c>
      <c r="S179" s="9"/>
      <c r="T179" s="9"/>
      <c r="U179" s="9"/>
      <c r="V179" s="9"/>
      <c r="W179" s="9"/>
      <c r="X179" s="9"/>
      <c r="Y179" s="9"/>
      <c r="Z179" s="9"/>
      <c r="AA179" s="9"/>
      <c r="AB179" s="9"/>
    </row>
    <row r="180" spans="1:28" ht="14.25" customHeight="1" x14ac:dyDescent="0.25">
      <c r="A180" s="9"/>
      <c r="B180" s="9"/>
      <c r="C180" s="9"/>
      <c r="D180" s="993"/>
      <c r="E180" s="738">
        <f>+E172</f>
        <v>19100.677636071734</v>
      </c>
      <c r="F180" s="705">
        <v>213.62821698618245</v>
      </c>
      <c r="G180" s="706">
        <v>235.46173448577485</v>
      </c>
      <c r="H180" s="706">
        <v>257.29525198536726</v>
      </c>
      <c r="I180" s="706">
        <v>279.12876948495966</v>
      </c>
      <c r="J180" s="707">
        <v>300.96228698455207</v>
      </c>
      <c r="K180" s="9"/>
      <c r="L180" s="993"/>
      <c r="M180" s="674">
        <f t="shared" si="56"/>
        <v>19100.677636071734</v>
      </c>
      <c r="N180" s="708">
        <f t="shared" si="57"/>
        <v>-0.32157827499703873</v>
      </c>
      <c r="O180" s="484">
        <f t="shared" si="57"/>
        <v>-0.25224130812101098</v>
      </c>
      <c r="P180" s="484">
        <f t="shared" si="57"/>
        <v>-0.18290434124498312</v>
      </c>
      <c r="Q180" s="484">
        <f t="shared" si="57"/>
        <v>-0.11356737436895525</v>
      </c>
      <c r="R180" s="605">
        <f t="shared" si="57"/>
        <v>-4.4230407492927393E-2</v>
      </c>
      <c r="S180" s="9"/>
      <c r="T180" s="9"/>
      <c r="U180" s="9"/>
      <c r="V180" s="9"/>
      <c r="W180" s="9"/>
      <c r="X180" s="9"/>
      <c r="Y180" s="9"/>
      <c r="Z180" s="9"/>
      <c r="AA180" s="9"/>
      <c r="AB180" s="9"/>
    </row>
    <row r="181" spans="1:28" ht="14.25" customHeight="1" x14ac:dyDescent="0.25">
      <c r="A181" s="9"/>
      <c r="B181" s="9"/>
      <c r="C181" s="9"/>
      <c r="D181" s="993"/>
      <c r="E181" s="674">
        <f>$E$180*(1+$K$145)</f>
        <v>21010.745399678908</v>
      </c>
      <c r="F181" s="705">
        <v>237.6731196096562</v>
      </c>
      <c r="G181" s="706">
        <v>261.68998885920786</v>
      </c>
      <c r="H181" s="706">
        <v>285.70685810875949</v>
      </c>
      <c r="I181" s="706">
        <v>309.72372735831112</v>
      </c>
      <c r="J181" s="707">
        <v>333.74059660786276</v>
      </c>
      <c r="K181" s="9"/>
      <c r="L181" s="993"/>
      <c r="M181" s="674">
        <f t="shared" si="56"/>
        <v>21010.745399678908</v>
      </c>
      <c r="N181" s="708">
        <f t="shared" si="57"/>
        <v>-0.24521858550714148</v>
      </c>
      <c r="O181" s="484">
        <f t="shared" si="57"/>
        <v>-0.16894792194351083</v>
      </c>
      <c r="P181" s="484">
        <f t="shared" si="57"/>
        <v>-9.2677258379880278E-2</v>
      </c>
      <c r="Q181" s="484">
        <f t="shared" si="57"/>
        <v>-1.6406594816249731E-2</v>
      </c>
      <c r="R181" s="605">
        <f t="shared" si="57"/>
        <v>5.9864068747380816E-2</v>
      </c>
      <c r="S181" s="9"/>
      <c r="T181" s="9"/>
      <c r="U181" s="9"/>
      <c r="V181" s="9"/>
      <c r="W181" s="9"/>
      <c r="X181" s="9"/>
      <c r="Y181" s="9"/>
      <c r="Z181" s="9"/>
      <c r="AA181" s="9"/>
      <c r="AB181" s="9"/>
    </row>
    <row r="182" spans="1:28" ht="14.25" customHeight="1" x14ac:dyDescent="0.25">
      <c r="A182" s="9"/>
      <c r="B182" s="9"/>
      <c r="C182" s="9"/>
      <c r="D182" s="994"/>
      <c r="E182" s="674">
        <f>$E$180*(1+(2*$K$145))</f>
        <v>22920.813163286079</v>
      </c>
      <c r="F182" s="711">
        <v>261.71802223312994</v>
      </c>
      <c r="G182" s="712">
        <v>287.9182432326408</v>
      </c>
      <c r="H182" s="712">
        <v>314.11846423215167</v>
      </c>
      <c r="I182" s="712">
        <v>340.31868523166253</v>
      </c>
      <c r="J182" s="713">
        <v>366.51890623117345</v>
      </c>
      <c r="K182" s="9"/>
      <c r="L182" s="994"/>
      <c r="M182" s="674">
        <f t="shared" si="56"/>
        <v>22920.813163286079</v>
      </c>
      <c r="N182" s="714">
        <f t="shared" si="57"/>
        <v>-0.16885889601724424</v>
      </c>
      <c r="O182" s="602">
        <f t="shared" si="57"/>
        <v>-8.5654535766010897E-2</v>
      </c>
      <c r="P182" s="602">
        <f t="shared" si="57"/>
        <v>-2.4501755147775528E-3</v>
      </c>
      <c r="Q182" s="602">
        <f t="shared" si="57"/>
        <v>8.0754184736455681E-2</v>
      </c>
      <c r="R182" s="715">
        <f t="shared" si="57"/>
        <v>0.16395854498768925</v>
      </c>
      <c r="S182" s="9"/>
      <c r="T182" s="9"/>
      <c r="U182" s="9"/>
      <c r="V182" s="9"/>
      <c r="W182" s="9"/>
      <c r="X182" s="9"/>
      <c r="Y182" s="9"/>
      <c r="Z182" s="9"/>
      <c r="AA182" s="9"/>
      <c r="AB182" s="9"/>
    </row>
    <row r="183" spans="1:28" ht="4.5" customHeight="1"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row>
    <row r="184" spans="1:28" ht="13.5" customHeight="1" x14ac:dyDescent="0.25">
      <c r="A184" s="205" t="s">
        <v>0</v>
      </c>
      <c r="B184" s="9"/>
      <c r="C184" s="953" t="s">
        <v>746</v>
      </c>
      <c r="D184" s="954"/>
      <c r="E184" s="954"/>
      <c r="F184" s="954"/>
      <c r="G184" s="954"/>
      <c r="H184" s="954"/>
      <c r="I184" s="954"/>
      <c r="J184" s="954"/>
      <c r="K184" s="954"/>
      <c r="L184" s="954"/>
      <c r="M184" s="954"/>
      <c r="N184" s="954"/>
      <c r="O184" s="954"/>
      <c r="P184" s="954"/>
      <c r="Q184" s="954"/>
      <c r="R184" s="955"/>
      <c r="S184" s="205" t="s">
        <v>0</v>
      </c>
      <c r="T184" s="9"/>
      <c r="U184" s="9"/>
      <c r="V184" s="9"/>
      <c r="W184" s="9"/>
      <c r="X184" s="9"/>
      <c r="Y184" s="9"/>
      <c r="Z184" s="9"/>
      <c r="AA184" s="9"/>
      <c r="AB184" s="9"/>
    </row>
    <row r="185" spans="1:28" ht="4.5" customHeight="1"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row>
    <row r="186" spans="1:28" ht="13.5" hidden="1" customHeight="1" outlineLevel="1" x14ac:dyDescent="0.25">
      <c r="A186" s="9"/>
      <c r="B186" s="9"/>
      <c r="C186" s="9"/>
      <c r="D186" s="932" t="s">
        <v>707</v>
      </c>
      <c r="E186" s="933"/>
      <c r="F186" s="934"/>
      <c r="G186" s="9"/>
      <c r="H186" s="932" t="s">
        <v>708</v>
      </c>
      <c r="I186" s="933"/>
      <c r="J186" s="934"/>
      <c r="K186" s="9"/>
      <c r="L186" s="932" t="s">
        <v>135</v>
      </c>
      <c r="M186" s="933"/>
      <c r="N186" s="934"/>
      <c r="O186" s="9"/>
      <c r="P186" s="932" t="s">
        <v>709</v>
      </c>
      <c r="Q186" s="933"/>
      <c r="R186" s="1003"/>
      <c r="S186" s="135"/>
      <c r="T186" s="9"/>
      <c r="U186" s="9"/>
      <c r="V186" s="9"/>
      <c r="W186" s="9"/>
      <c r="X186" s="9"/>
      <c r="Y186" s="9"/>
      <c r="Z186" s="9"/>
      <c r="AA186" s="9"/>
      <c r="AB186" s="9"/>
    </row>
    <row r="187" spans="1:28" ht="4.5" hidden="1" customHeight="1" outlineLevel="1" x14ac:dyDescent="0.25">
      <c r="A187" s="9"/>
      <c r="B187" s="9"/>
      <c r="C187" s="9"/>
      <c r="D187" s="137"/>
      <c r="E187" s="96"/>
      <c r="F187" s="223"/>
      <c r="G187" s="9"/>
      <c r="H187" s="137"/>
      <c r="I187" s="96"/>
      <c r="J187" s="223"/>
      <c r="K187" s="9"/>
      <c r="L187" s="137"/>
      <c r="M187" s="96"/>
      <c r="N187" s="223"/>
      <c r="O187" s="9"/>
      <c r="P187" s="137"/>
      <c r="Q187" s="96"/>
      <c r="R187" s="96"/>
      <c r="S187" s="135"/>
      <c r="T187" s="9"/>
      <c r="U187" s="9"/>
      <c r="V187" s="9"/>
      <c r="W187" s="9"/>
      <c r="X187" s="9"/>
      <c r="Y187" s="9"/>
      <c r="Z187" s="9"/>
      <c r="AA187" s="9"/>
      <c r="AB187" s="9"/>
    </row>
    <row r="188" spans="1:28" ht="13.5" hidden="1" customHeight="1" outlineLevel="1" x14ac:dyDescent="0.25">
      <c r="A188" s="9"/>
      <c r="B188" s="9"/>
      <c r="C188" s="9"/>
      <c r="D188" s="135" t="s">
        <v>710</v>
      </c>
      <c r="E188" s="9"/>
      <c r="F188" s="718">
        <f>$D$11</f>
        <v>16.643763590749799</v>
      </c>
      <c r="G188" s="9"/>
      <c r="H188" s="723" t="s">
        <v>747</v>
      </c>
      <c r="I188" s="9"/>
      <c r="J188" s="718">
        <f t="array" ref="J188">INDEX(Company_Cyclical_Multiples_Data,MATCH(CONCATENATE($G$212," ",$G$213),'Multiples Data'!$C$14:$C$26,0),MATCH(CONCATENATE(Valuation!$G$214," P/E"),'Multiples Data'!$C$14:$H$14,0))</f>
        <v>14.081006819180594</v>
      </c>
      <c r="K188" s="9"/>
      <c r="L188" s="135" t="s">
        <v>710</v>
      </c>
      <c r="M188" s="9"/>
      <c r="N188" s="718">
        <f>$D$12</f>
        <v>16.6069707406422</v>
      </c>
      <c r="O188" s="9"/>
      <c r="P188" s="723" t="s">
        <v>747</v>
      </c>
      <c r="Q188" s="9"/>
      <c r="R188" s="718">
        <f t="array" ref="R188">INDEX(Company_Cyclical_Multiples_Data,MATCH(CONCATENATE($G$212," ",$G$213),'Multiples Data'!$C$14:$C$26,0),MATCH(CONCATENATE(Valuation!$G$214," EV/EBITDA"),'Multiples Data'!$C$14:$H$14,0))</f>
        <v>15.750372824209</v>
      </c>
      <c r="S188" s="135"/>
      <c r="T188" s="9"/>
      <c r="U188" s="9"/>
      <c r="V188" s="9"/>
      <c r="W188" s="9"/>
      <c r="X188" s="9"/>
      <c r="Y188" s="9"/>
      <c r="Z188" s="9"/>
      <c r="AA188" s="9"/>
      <c r="AB188" s="9"/>
    </row>
    <row r="189" spans="1:28" ht="13.5" hidden="1" customHeight="1" outlineLevel="1" x14ac:dyDescent="0.25">
      <c r="A189" s="9"/>
      <c r="B189" s="9"/>
      <c r="C189" s="9"/>
      <c r="D189" s="723" t="s">
        <v>748</v>
      </c>
      <c r="E189" s="9"/>
      <c r="F189" s="718">
        <f t="array" ref="F189">INDEX(Company_Cyclical_Multiples_Data,MATCH(CONCATENATE($G$212," ",$G$213),'Multiples Data'!$C$14:$C$26,0),MATCH(CONCATENATE(Valuation!$G$214," P/E"),'Multiples Data'!$C$14:$H$14,0))</f>
        <v>14.081006819180594</v>
      </c>
      <c r="G189" s="9"/>
      <c r="H189" s="723" t="s">
        <v>749</v>
      </c>
      <c r="I189" s="9"/>
      <c r="J189" s="718">
        <f t="array" ref="J189">INDEX($J$212:$O$214,2,MATCH($G$215,$J$212:$O$212,0))</f>
        <v>15.381394850229956</v>
      </c>
      <c r="K189" s="9"/>
      <c r="L189" s="135" t="s">
        <v>748</v>
      </c>
      <c r="M189" s="9"/>
      <c r="N189" s="718">
        <f t="array" ref="N189">INDEX(Company_Cyclical_Multiples_Data,MATCH(CONCATENATE($G$212," ",$G$213),'Multiples Data'!$C$14:$C$26,0),MATCH(CONCATENATE(Valuation!$G$214," EV/EBITDA"),'Multiples Data'!$C$14:$H$14,0))</f>
        <v>15.750372824209</v>
      </c>
      <c r="O189" s="9"/>
      <c r="P189" s="723" t="s">
        <v>749</v>
      </c>
      <c r="Q189" s="9"/>
      <c r="R189" s="718">
        <f t="array" ref="R189">INDEX($J$212:$O$214,3,MATCH($G$215,$J$212:$O$212,0))</f>
        <v>15.729106107607194</v>
      </c>
      <c r="S189" s="135"/>
      <c r="T189" s="9"/>
      <c r="U189" s="9"/>
      <c r="V189" s="9"/>
      <c r="W189" s="9"/>
      <c r="X189" s="9"/>
      <c r="Y189" s="9"/>
      <c r="Z189" s="9"/>
      <c r="AA189" s="9"/>
      <c r="AB189" s="9"/>
    </row>
    <row r="190" spans="1:28" ht="13.5" hidden="1" customHeight="1" outlineLevel="1" x14ac:dyDescent="0.25">
      <c r="A190" s="9"/>
      <c r="B190" s="9"/>
      <c r="C190" s="9"/>
      <c r="D190" s="246" t="s">
        <v>714</v>
      </c>
      <c r="E190" s="243"/>
      <c r="F190" s="719">
        <f>F188/F189-1</f>
        <v>0.18200096090276152</v>
      </c>
      <c r="G190" s="9"/>
      <c r="H190" s="246" t="s">
        <v>715</v>
      </c>
      <c r="I190" s="9"/>
      <c r="J190" s="720">
        <f>J188/J189-1</f>
        <v>-8.4542919787922943E-2</v>
      </c>
      <c r="K190" s="9"/>
      <c r="L190" s="246" t="s">
        <v>714</v>
      </c>
      <c r="M190" s="243"/>
      <c r="N190" s="719">
        <f>N188/N189-1</f>
        <v>5.4385881908558531E-2</v>
      </c>
      <c r="O190" s="9"/>
      <c r="P190" s="246" t="s">
        <v>715</v>
      </c>
      <c r="Q190" s="9"/>
      <c r="R190" s="719">
        <f>R188/R189-1</f>
        <v>1.3520613604049991E-3</v>
      </c>
      <c r="S190" s="135"/>
      <c r="T190" s="9"/>
      <c r="U190" s="9"/>
      <c r="V190" s="9"/>
      <c r="W190" s="9"/>
      <c r="X190" s="9"/>
      <c r="Y190" s="9"/>
      <c r="Z190" s="9"/>
      <c r="AA190" s="9"/>
      <c r="AB190" s="9"/>
    </row>
    <row r="191" spans="1:28" ht="13.5" hidden="1" customHeight="1" outlineLevel="1" x14ac:dyDescent="0.25">
      <c r="A191" s="9"/>
      <c r="B191" s="9"/>
      <c r="C191" s="9"/>
      <c r="D191" s="246" t="s">
        <v>716</v>
      </c>
      <c r="E191" s="243"/>
      <c r="F191" s="721">
        <v>0</v>
      </c>
      <c r="G191" s="9"/>
      <c r="H191" s="135" t="s">
        <v>717</v>
      </c>
      <c r="I191" s="9"/>
      <c r="J191" s="718">
        <f>IF($G$215=$K$212,$E$11,IF($G$215=$M$212,$E$16,IF($G$215=$O$212,$E$21,"N/A")))</f>
        <v>18.669753519179444</v>
      </c>
      <c r="K191" s="9"/>
      <c r="L191" s="246" t="s">
        <v>716</v>
      </c>
      <c r="M191" s="243"/>
      <c r="N191" s="721">
        <v>0</v>
      </c>
      <c r="O191" s="9"/>
      <c r="P191" s="135" t="s">
        <v>717</v>
      </c>
      <c r="Q191" s="9"/>
      <c r="R191" s="718">
        <f>IF($G$215=$K$212,$E$12,IF($G$215=$M$212,$E$17,IF($G$215=$O$212,$E$22,"N/A")))</f>
        <v>13.441634648398686</v>
      </c>
      <c r="S191" s="135"/>
      <c r="T191" s="9"/>
      <c r="U191" s="9"/>
      <c r="V191" s="9"/>
      <c r="W191" s="9"/>
      <c r="X191" s="9"/>
      <c r="Y191" s="9"/>
      <c r="Z191" s="9"/>
      <c r="AA191" s="9"/>
      <c r="AB191" s="9"/>
    </row>
    <row r="192" spans="1:28" ht="13.5" hidden="1" customHeight="1" outlineLevel="1" x14ac:dyDescent="0.25">
      <c r="A192" s="9"/>
      <c r="B192" s="9"/>
      <c r="C192" s="9"/>
      <c r="D192" s="135"/>
      <c r="E192" s="9"/>
      <c r="F192" s="136"/>
      <c r="G192" s="9"/>
      <c r="H192" s="135"/>
      <c r="I192" s="9"/>
      <c r="J192" s="136"/>
      <c r="K192" s="9"/>
      <c r="L192" s="135"/>
      <c r="M192" s="9"/>
      <c r="N192" s="136"/>
      <c r="O192" s="9"/>
      <c r="P192" s="135"/>
      <c r="Q192" s="9"/>
      <c r="R192" s="136"/>
      <c r="S192" s="135"/>
      <c r="T192" s="9"/>
      <c r="U192" s="9"/>
      <c r="V192" s="9"/>
      <c r="W192" s="9"/>
      <c r="X192" s="9"/>
      <c r="Y192" s="9"/>
      <c r="Z192" s="9"/>
      <c r="AA192" s="9"/>
      <c r="AB192" s="9"/>
    </row>
    <row r="193" spans="1:28" ht="13.5" hidden="1" customHeight="1" outlineLevel="1" x14ac:dyDescent="0.25">
      <c r="A193" s="9"/>
      <c r="B193" s="9"/>
      <c r="C193" s="9"/>
      <c r="D193" s="135" t="s">
        <v>718</v>
      </c>
      <c r="E193" s="9"/>
      <c r="F193" s="718">
        <f>F189*(1+F191)</f>
        <v>14.081006819180594</v>
      </c>
      <c r="G193" s="9"/>
      <c r="H193" s="135" t="s">
        <v>718</v>
      </c>
      <c r="I193" s="9"/>
      <c r="J193" s="718">
        <f>J191*(1+J190)</f>
        <v>17.091358044947164</v>
      </c>
      <c r="K193" s="9"/>
      <c r="L193" s="135" t="s">
        <v>718</v>
      </c>
      <c r="M193" s="9"/>
      <c r="N193" s="718">
        <f>N189*(1+N191)</f>
        <v>15.750372824209</v>
      </c>
      <c r="O193" s="9"/>
      <c r="P193" s="135" t="s">
        <v>718</v>
      </c>
      <c r="Q193" s="9"/>
      <c r="R193" s="718">
        <f>R191*(1+R190)</f>
        <v>13.459808563227467</v>
      </c>
      <c r="S193" s="135"/>
      <c r="T193" s="9"/>
      <c r="U193" s="9"/>
      <c r="V193" s="9"/>
      <c r="W193" s="9"/>
      <c r="X193" s="9"/>
      <c r="Y193" s="9"/>
      <c r="Z193" s="9"/>
      <c r="AA193" s="9"/>
      <c r="AB193" s="9"/>
    </row>
    <row r="194" spans="1:28" ht="13.5" hidden="1" customHeight="1" outlineLevel="1" x14ac:dyDescent="0.25">
      <c r="A194" s="9"/>
      <c r="B194" s="9"/>
      <c r="C194" s="9"/>
      <c r="D194" s="135" t="s">
        <v>719</v>
      </c>
      <c r="E194" s="9"/>
      <c r="F194" s="722">
        <f>SUM(NTM_EPS)</f>
        <v>18.48177865622484</v>
      </c>
      <c r="G194" s="9"/>
      <c r="H194" s="135" t="s">
        <v>719</v>
      </c>
      <c r="I194" s="9"/>
      <c r="J194" s="722">
        <f>SUM(NTM_EPS)</f>
        <v>18.48177865622484</v>
      </c>
      <c r="K194" s="9"/>
      <c r="L194" s="723" t="s">
        <v>720</v>
      </c>
      <c r="M194" s="9"/>
      <c r="N194" s="724">
        <f>SUM(NTM_EBITDA)</f>
        <v>19100.677636071734</v>
      </c>
      <c r="O194" s="9"/>
      <c r="P194" s="135" t="s">
        <v>720</v>
      </c>
      <c r="Q194" s="9"/>
      <c r="R194" s="724">
        <f>SUM(NTM_EBITDA)</f>
        <v>19100.677636071734</v>
      </c>
      <c r="S194" s="135"/>
      <c r="T194" s="9"/>
      <c r="U194" s="9"/>
      <c r="V194" s="9"/>
      <c r="W194" s="9"/>
      <c r="X194" s="9"/>
      <c r="Y194" s="9"/>
      <c r="Z194" s="9"/>
      <c r="AA194" s="9"/>
      <c r="AB194" s="9"/>
    </row>
    <row r="195" spans="1:28" ht="13.5" hidden="1" customHeight="1" outlineLevel="1" x14ac:dyDescent="0.25">
      <c r="A195" s="9"/>
      <c r="B195" s="9"/>
      <c r="C195" s="9"/>
      <c r="D195" s="135"/>
      <c r="E195" s="9"/>
      <c r="F195" s="725"/>
      <c r="G195" s="9"/>
      <c r="H195" s="135"/>
      <c r="I195" s="9"/>
      <c r="J195" s="725"/>
      <c r="K195" s="9"/>
      <c r="L195" s="135" t="s">
        <v>721</v>
      </c>
      <c r="M195" s="9"/>
      <c r="N195" s="724">
        <f>N193*N194</f>
        <v>300842.79396316083</v>
      </c>
      <c r="O195" s="9"/>
      <c r="P195" s="135" t="s">
        <v>721</v>
      </c>
      <c r="Q195" s="9"/>
      <c r="R195" s="724">
        <f>R193*R194</f>
        <v>257091.4644094457</v>
      </c>
      <c r="S195" s="135"/>
      <c r="T195" s="9"/>
      <c r="U195" s="9"/>
      <c r="V195" s="9"/>
      <c r="W195" s="9"/>
      <c r="X195" s="9"/>
      <c r="Y195" s="9"/>
      <c r="Z195" s="9"/>
      <c r="AA195" s="9"/>
      <c r="AB195" s="9"/>
    </row>
    <row r="196" spans="1:28" ht="13.5" hidden="1" customHeight="1" outlineLevel="1" x14ac:dyDescent="0.25">
      <c r="A196" s="9"/>
      <c r="B196" s="9"/>
      <c r="C196" s="9"/>
      <c r="D196" s="135" t="s">
        <v>722</v>
      </c>
      <c r="E196" s="9"/>
      <c r="F196" s="722">
        <f>F193*F194</f>
        <v>260.24205128888832</v>
      </c>
      <c r="G196" s="9"/>
      <c r="H196" s="135" t="s">
        <v>722</v>
      </c>
      <c r="I196" s="9"/>
      <c r="J196" s="722">
        <f>J193*J194</f>
        <v>315.8786963210012</v>
      </c>
      <c r="K196" s="9"/>
      <c r="L196" s="135"/>
      <c r="M196" s="9"/>
      <c r="N196" s="136"/>
      <c r="O196" s="9"/>
      <c r="P196" s="135"/>
      <c r="Q196" s="9"/>
      <c r="R196" s="9"/>
      <c r="S196" s="135"/>
      <c r="T196" s="9"/>
      <c r="U196" s="9"/>
      <c r="V196" s="9"/>
      <c r="W196" s="9"/>
      <c r="X196" s="9"/>
      <c r="Y196" s="9"/>
      <c r="Z196" s="9"/>
      <c r="AA196" s="9"/>
      <c r="AB196" s="9"/>
    </row>
    <row r="197" spans="1:28" ht="13.5" hidden="1" customHeight="1" outlineLevel="1" x14ac:dyDescent="0.25">
      <c r="A197" s="9"/>
      <c r="B197" s="9"/>
      <c r="C197" s="9"/>
      <c r="D197" s="247" t="s">
        <v>723</v>
      </c>
      <c r="E197" s="95"/>
      <c r="F197" s="684">
        <f>F196/Share_Price-1</f>
        <v>-0.17354615488301206</v>
      </c>
      <c r="G197" s="9"/>
      <c r="H197" s="247" t="s">
        <v>723</v>
      </c>
      <c r="I197" s="95"/>
      <c r="J197" s="684">
        <f>J196/Share_Price-1</f>
        <v>3.1398149226753436E-3</v>
      </c>
      <c r="K197" s="9"/>
      <c r="L197" s="135" t="s">
        <v>724</v>
      </c>
      <c r="M197" s="9"/>
      <c r="N197" s="677">
        <f t="shared" ref="N197:N202" si="58">N119</f>
        <v>0</v>
      </c>
      <c r="O197" s="9"/>
      <c r="P197" s="135" t="s">
        <v>724</v>
      </c>
      <c r="Q197" s="9"/>
      <c r="R197" s="677">
        <f t="shared" ref="R197:R202" si="59">N197</f>
        <v>0</v>
      </c>
      <c r="S197" s="135"/>
      <c r="T197" s="9"/>
      <c r="U197" s="9"/>
      <c r="V197" s="9"/>
      <c r="W197" s="9"/>
      <c r="X197" s="9"/>
      <c r="Y197" s="9"/>
      <c r="Z197" s="9"/>
      <c r="AA197" s="9"/>
      <c r="AB197" s="9"/>
    </row>
    <row r="198" spans="1:28" ht="13.5" hidden="1" customHeight="1" outlineLevel="1" x14ac:dyDescent="0.25">
      <c r="A198" s="9"/>
      <c r="B198" s="9"/>
      <c r="C198" s="9"/>
      <c r="D198" s="9"/>
      <c r="E198" s="9"/>
      <c r="F198" s="9"/>
      <c r="G198" s="9"/>
      <c r="H198" s="9"/>
      <c r="I198" s="9"/>
      <c r="J198" s="9"/>
      <c r="K198" s="9"/>
      <c r="L198" s="135" t="s">
        <v>725</v>
      </c>
      <c r="M198" s="9"/>
      <c r="N198" s="677">
        <f t="shared" si="58"/>
        <v>686</v>
      </c>
      <c r="O198" s="9"/>
      <c r="P198" s="135" t="s">
        <v>725</v>
      </c>
      <c r="Q198" s="9"/>
      <c r="R198" s="677">
        <f t="shared" si="59"/>
        <v>686</v>
      </c>
      <c r="S198" s="135"/>
      <c r="T198" s="9"/>
      <c r="U198" s="9"/>
      <c r="V198" s="9"/>
      <c r="W198" s="9"/>
      <c r="X198" s="9"/>
      <c r="Y198" s="9"/>
      <c r="Z198" s="9"/>
      <c r="AA198" s="9"/>
      <c r="AB198" s="9"/>
    </row>
    <row r="199" spans="1:28" ht="13.5" hidden="1" customHeight="1" outlineLevel="1" x14ac:dyDescent="0.25">
      <c r="A199" s="9"/>
      <c r="B199" s="9"/>
      <c r="C199" s="9"/>
      <c r="D199" s="9"/>
      <c r="E199" s="9"/>
      <c r="F199" s="9"/>
      <c r="G199" s="9"/>
      <c r="H199" s="9"/>
      <c r="I199" s="9"/>
      <c r="J199" s="9"/>
      <c r="K199" s="9"/>
      <c r="L199" s="135" t="s">
        <v>726</v>
      </c>
      <c r="M199" s="9"/>
      <c r="N199" s="677">
        <f t="shared" si="58"/>
        <v>0</v>
      </c>
      <c r="O199" s="9"/>
      <c r="P199" s="135" t="s">
        <v>726</v>
      </c>
      <c r="Q199" s="9"/>
      <c r="R199" s="677">
        <f t="shared" si="59"/>
        <v>0</v>
      </c>
      <c r="S199" s="135"/>
      <c r="T199" s="9"/>
      <c r="U199" s="9"/>
      <c r="V199" s="9"/>
      <c r="W199" s="9"/>
      <c r="X199" s="9"/>
      <c r="Y199" s="9"/>
      <c r="Z199" s="9"/>
      <c r="AA199" s="9"/>
      <c r="AB199" s="9"/>
    </row>
    <row r="200" spans="1:28" ht="13.5" hidden="1" customHeight="1" outlineLevel="1" x14ac:dyDescent="0.25">
      <c r="A200" s="9"/>
      <c r="B200" s="9"/>
      <c r="C200" s="9"/>
      <c r="D200" s="9"/>
      <c r="E200" s="9"/>
      <c r="F200" s="9"/>
      <c r="G200" s="9"/>
      <c r="H200" s="9"/>
      <c r="I200" s="9"/>
      <c r="J200" s="9"/>
      <c r="K200" s="9"/>
      <c r="L200" s="135" t="s">
        <v>727</v>
      </c>
      <c r="M200" s="9"/>
      <c r="N200" s="677">
        <f t="shared" si="58"/>
        <v>0</v>
      </c>
      <c r="O200" s="9"/>
      <c r="P200" s="135" t="s">
        <v>727</v>
      </c>
      <c r="Q200" s="9"/>
      <c r="R200" s="677">
        <f t="shared" si="59"/>
        <v>0</v>
      </c>
      <c r="S200" s="135"/>
      <c r="T200" s="9"/>
      <c r="U200" s="9"/>
      <c r="V200" s="9"/>
      <c r="W200" s="9"/>
      <c r="X200" s="9"/>
      <c r="Y200" s="9"/>
      <c r="Z200" s="9"/>
      <c r="AA200" s="9"/>
      <c r="AB200" s="9"/>
    </row>
    <row r="201" spans="1:28" ht="13.5" hidden="1" customHeight="1" outlineLevel="1" x14ac:dyDescent="0.25">
      <c r="A201" s="9"/>
      <c r="B201" s="645"/>
      <c r="C201" s="581"/>
      <c r="D201" s="9"/>
      <c r="E201" s="9"/>
      <c r="F201" s="9"/>
      <c r="G201" s="9"/>
      <c r="H201" s="9"/>
      <c r="I201" s="9"/>
      <c r="J201" s="9"/>
      <c r="K201" s="9"/>
      <c r="L201" s="135" t="s">
        <v>728</v>
      </c>
      <c r="M201" s="9"/>
      <c r="N201" s="677">
        <f t="shared" ca="1" si="58"/>
        <v>427.04329935495718</v>
      </c>
      <c r="O201" s="9"/>
      <c r="P201" s="135" t="s">
        <v>728</v>
      </c>
      <c r="Q201" s="9"/>
      <c r="R201" s="677">
        <f t="shared" ca="1" si="59"/>
        <v>427.04329935495718</v>
      </c>
      <c r="S201" s="135"/>
      <c r="T201" s="9"/>
      <c r="U201" s="9"/>
      <c r="V201" s="9"/>
      <c r="W201" s="9"/>
      <c r="X201" s="9"/>
      <c r="Y201" s="9"/>
      <c r="Z201" s="9"/>
      <c r="AA201" s="9"/>
      <c r="AB201" s="9"/>
    </row>
    <row r="202" spans="1:28" ht="13.5" hidden="1" customHeight="1" outlineLevel="1" x14ac:dyDescent="0.25">
      <c r="A202" s="9"/>
      <c r="B202" s="645"/>
      <c r="C202" s="9"/>
      <c r="D202" s="64"/>
      <c r="E202" s="64"/>
      <c r="F202" s="280"/>
      <c r="G202" s="280"/>
      <c r="H202" s="280"/>
      <c r="I202" s="280"/>
      <c r="J202" s="280"/>
      <c r="K202" s="9"/>
      <c r="L202" s="135" t="s">
        <v>729</v>
      </c>
      <c r="M202" s="95"/>
      <c r="N202" s="729">
        <f t="shared" ca="1" si="58"/>
        <v>0.3620058026247277</v>
      </c>
      <c r="O202" s="9"/>
      <c r="P202" s="139" t="s">
        <v>729</v>
      </c>
      <c r="Q202" s="95"/>
      <c r="R202" s="729">
        <f t="shared" ca="1" si="59"/>
        <v>0.3620058026247277</v>
      </c>
      <c r="S202" s="135"/>
      <c r="T202" s="9"/>
      <c r="U202" s="9"/>
      <c r="V202" s="9"/>
      <c r="W202" s="9"/>
      <c r="X202" s="9"/>
      <c r="Y202" s="9"/>
      <c r="Z202" s="9"/>
      <c r="AA202" s="9"/>
      <c r="AB202" s="9"/>
    </row>
    <row r="203" spans="1:28" ht="13.5" hidden="1" customHeight="1" outlineLevel="1" x14ac:dyDescent="0.25">
      <c r="A203" s="9"/>
      <c r="B203" s="645"/>
      <c r="C203" s="64"/>
      <c r="D203" s="651"/>
      <c r="E203" s="651"/>
      <c r="F203" s="651"/>
      <c r="G203" s="651"/>
      <c r="H203" s="651"/>
      <c r="I203" s="651"/>
      <c r="J203" s="651"/>
      <c r="K203" s="9"/>
      <c r="L203" s="137"/>
      <c r="M203" s="9"/>
      <c r="N203" s="136"/>
      <c r="O203" s="9"/>
      <c r="P203" s="135"/>
      <c r="Q203" s="9"/>
      <c r="R203" s="9"/>
      <c r="S203" s="135"/>
      <c r="T203" s="9"/>
      <c r="U203" s="9"/>
      <c r="V203" s="9"/>
      <c r="W203" s="9"/>
      <c r="X203" s="9"/>
      <c r="Y203" s="9"/>
      <c r="Z203" s="9"/>
      <c r="AA203" s="9"/>
      <c r="AB203" s="9"/>
    </row>
    <row r="204" spans="1:28" ht="13.5" hidden="1" customHeight="1" outlineLevel="1" x14ac:dyDescent="0.25">
      <c r="A204" s="9"/>
      <c r="B204" s="9"/>
      <c r="C204" s="64"/>
      <c r="D204" s="651"/>
      <c r="E204" s="651"/>
      <c r="F204" s="651"/>
      <c r="G204" s="651"/>
      <c r="H204" s="651"/>
      <c r="I204" s="651"/>
      <c r="J204" s="651"/>
      <c r="K204" s="9"/>
      <c r="L204" s="135" t="s">
        <v>730</v>
      </c>
      <c r="M204" s="9"/>
      <c r="N204" s="724">
        <f ca="1">SUM(N195:N202)</f>
        <v>293887.96504721732</v>
      </c>
      <c r="O204" s="9"/>
      <c r="P204" s="135" t="s">
        <v>730</v>
      </c>
      <c r="Q204" s="9"/>
      <c r="R204" s="724">
        <f ca="1">SUM(R195:R202)</f>
        <v>251311.2431723871</v>
      </c>
      <c r="S204" s="135"/>
      <c r="T204" s="9"/>
      <c r="U204" s="9"/>
      <c r="V204" s="9"/>
      <c r="W204" s="9"/>
      <c r="X204" s="9"/>
      <c r="Y204" s="9"/>
      <c r="Z204" s="9"/>
      <c r="AA204" s="9"/>
      <c r="AB204" s="9"/>
    </row>
    <row r="205" spans="1:28" ht="13.5" hidden="1" customHeight="1" outlineLevel="1" x14ac:dyDescent="0.25">
      <c r="A205" s="9"/>
      <c r="B205" s="9"/>
      <c r="C205" s="9"/>
      <c r="D205" s="9"/>
      <c r="E205" s="9"/>
      <c r="F205" s="9"/>
      <c r="G205" s="9"/>
      <c r="H205" s="9"/>
      <c r="I205" s="9"/>
      <c r="J205" s="9"/>
      <c r="K205" s="9"/>
      <c r="L205" s="135" t="s">
        <v>390</v>
      </c>
      <c r="M205" s="9"/>
      <c r="N205" s="739">
        <f>Diluted_Shares</f>
        <v>686</v>
      </c>
      <c r="O205" s="9"/>
      <c r="P205" s="135" t="s">
        <v>390</v>
      </c>
      <c r="Q205" s="9"/>
      <c r="R205" s="740">
        <f>N205</f>
        <v>686</v>
      </c>
      <c r="S205" s="135"/>
      <c r="T205" s="9"/>
      <c r="U205" s="9"/>
      <c r="V205" s="9"/>
      <c r="W205" s="9"/>
      <c r="X205" s="9"/>
      <c r="Y205" s="9"/>
      <c r="Z205" s="9"/>
      <c r="AA205" s="9"/>
      <c r="AB205" s="9"/>
    </row>
    <row r="206" spans="1:28" ht="13.5" hidden="1" customHeight="1" outlineLevel="1" x14ac:dyDescent="0.25">
      <c r="A206" s="9"/>
      <c r="B206" s="9"/>
      <c r="C206" s="581"/>
      <c r="D206" s="9"/>
      <c r="E206" s="9"/>
      <c r="F206" s="9"/>
      <c r="G206" s="9"/>
      <c r="H206" s="9"/>
      <c r="I206" s="9"/>
      <c r="J206" s="9"/>
      <c r="K206" s="9"/>
      <c r="L206" s="135"/>
      <c r="M206" s="9"/>
      <c r="N206" s="136"/>
      <c r="O206" s="9"/>
      <c r="P206" s="135"/>
      <c r="Q206" s="9"/>
      <c r="R206" s="136"/>
      <c r="S206" s="135"/>
      <c r="T206" s="9"/>
      <c r="U206" s="9"/>
      <c r="V206" s="9"/>
      <c r="W206" s="9"/>
      <c r="X206" s="9"/>
      <c r="Y206" s="9"/>
      <c r="Z206" s="9"/>
      <c r="AA206" s="9"/>
      <c r="AB206" s="9"/>
    </row>
    <row r="207" spans="1:28" ht="13.5" hidden="1" customHeight="1" outlineLevel="1" x14ac:dyDescent="0.25">
      <c r="A207" s="9"/>
      <c r="B207" s="9"/>
      <c r="C207" s="9"/>
      <c r="D207" s="64"/>
      <c r="E207" s="64"/>
      <c r="F207" s="64"/>
      <c r="G207" s="64"/>
      <c r="H207" s="64"/>
      <c r="I207" s="64"/>
      <c r="J207" s="64"/>
      <c r="K207" s="9"/>
      <c r="L207" s="135" t="s">
        <v>722</v>
      </c>
      <c r="M207" s="9"/>
      <c r="N207" s="724">
        <f ca="1">N204/N205</f>
        <v>423.10361360174556</v>
      </c>
      <c r="O207" s="9"/>
      <c r="P207" s="135" t="s">
        <v>722</v>
      </c>
      <c r="Q207" s="9"/>
      <c r="R207" s="724">
        <f ca="1">R204/R205</f>
        <v>361.80690525350514</v>
      </c>
      <c r="S207" s="135"/>
      <c r="T207" s="9"/>
      <c r="U207" s="9"/>
      <c r="V207" s="9"/>
      <c r="W207" s="9"/>
      <c r="X207" s="9"/>
      <c r="Y207" s="9"/>
      <c r="Z207" s="9"/>
      <c r="AA207" s="9"/>
      <c r="AB207" s="9"/>
    </row>
    <row r="208" spans="1:28" ht="13.5" hidden="1" customHeight="1" outlineLevel="1" x14ac:dyDescent="0.25">
      <c r="A208" s="9"/>
      <c r="B208" s="9"/>
      <c r="C208" s="64"/>
      <c r="D208" s="651"/>
      <c r="E208" s="651"/>
      <c r="F208" s="651"/>
      <c r="G208" s="651"/>
      <c r="H208" s="651"/>
      <c r="I208" s="651"/>
      <c r="J208" s="651"/>
      <c r="K208" s="9"/>
      <c r="L208" s="247" t="s">
        <v>723</v>
      </c>
      <c r="M208" s="95"/>
      <c r="N208" s="684">
        <f ca="1">N207/Share_Price-1</f>
        <v>0.34944062512516916</v>
      </c>
      <c r="O208" s="9"/>
      <c r="P208" s="247" t="s">
        <v>723</v>
      </c>
      <c r="Q208" s="95"/>
      <c r="R208" s="684">
        <f ca="1">R207/Share_Price-1</f>
        <v>0.15394177857212821</v>
      </c>
      <c r="S208" s="135"/>
      <c r="T208" s="9"/>
      <c r="U208" s="9"/>
      <c r="V208" s="9"/>
      <c r="W208" s="9"/>
      <c r="X208" s="9"/>
      <c r="Y208" s="9"/>
      <c r="Z208" s="9"/>
      <c r="AA208" s="9"/>
      <c r="AB208" s="9"/>
    </row>
    <row r="209" spans="1:28" ht="4.5" hidden="1" customHeight="1" outlineLevel="1"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row>
    <row r="210" spans="1:28" ht="13.5" hidden="1" customHeight="1" outlineLevel="1" x14ac:dyDescent="0.25">
      <c r="A210" s="205" t="s">
        <v>0</v>
      </c>
      <c r="B210" s="9"/>
      <c r="C210" s="995" t="s">
        <v>42</v>
      </c>
      <c r="D210" s="933"/>
      <c r="E210" s="933"/>
      <c r="F210" s="933"/>
      <c r="G210" s="933"/>
      <c r="H210" s="933"/>
      <c r="I210" s="933"/>
      <c r="J210" s="933"/>
      <c r="K210" s="933"/>
      <c r="L210" s="933"/>
      <c r="M210" s="933"/>
      <c r="N210" s="933"/>
      <c r="O210" s="933"/>
      <c r="P210" s="933"/>
      <c r="Q210" s="933"/>
      <c r="R210" s="934"/>
      <c r="S210" s="205" t="s">
        <v>0</v>
      </c>
      <c r="T210" s="9"/>
      <c r="U210" s="9"/>
      <c r="V210" s="9"/>
      <c r="W210" s="9"/>
      <c r="X210" s="9"/>
      <c r="Y210" s="9"/>
      <c r="Z210" s="9"/>
      <c r="AA210" s="9"/>
      <c r="AB210" s="9"/>
    </row>
    <row r="211" spans="1:28" ht="4.5" hidden="1" customHeight="1" outlineLevel="1"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row>
    <row r="212" spans="1:28" ht="13.5" hidden="1" customHeight="1" outlineLevel="1" x14ac:dyDescent="0.25">
      <c r="A212" s="9"/>
      <c r="B212" s="9"/>
      <c r="C212" s="9" t="s">
        <v>750</v>
      </c>
      <c r="D212" s="9"/>
      <c r="E212" s="9"/>
      <c r="F212" s="9"/>
      <c r="G212" s="32" t="s">
        <v>751</v>
      </c>
      <c r="H212" s="37"/>
      <c r="I212" s="9"/>
      <c r="J212" s="9"/>
      <c r="K212" s="953" t="str">
        <f>$C$9</f>
        <v>Primary Peer Group</v>
      </c>
      <c r="L212" s="955"/>
      <c r="M212" s="953" t="str">
        <f>$C$14</f>
        <v>Defense Peer Group</v>
      </c>
      <c r="N212" s="955"/>
      <c r="O212" s="953" t="str">
        <f>$C$19</f>
        <v>Cap. Goods Peer Group</v>
      </c>
      <c r="P212" s="955"/>
      <c r="Q212" s="9"/>
      <c r="R212" s="9"/>
      <c r="S212" s="9"/>
      <c r="T212" s="9"/>
      <c r="U212" s="9"/>
      <c r="V212" s="9"/>
      <c r="W212" s="9"/>
      <c r="X212" s="9"/>
      <c r="Y212" s="9"/>
      <c r="Z212" s="9"/>
      <c r="AA212" s="9"/>
      <c r="AB212" s="9"/>
    </row>
    <row r="213" spans="1:28" ht="13.5" hidden="1" customHeight="1" outlineLevel="1" x14ac:dyDescent="0.25">
      <c r="A213" s="9"/>
      <c r="B213" s="9"/>
      <c r="C213" s="9" t="s">
        <v>752</v>
      </c>
      <c r="D213" s="9"/>
      <c r="E213" s="9"/>
      <c r="F213" s="9"/>
      <c r="G213" s="32" t="s">
        <v>753</v>
      </c>
      <c r="H213" s="9"/>
      <c r="I213" s="9"/>
      <c r="J213" s="64" t="s">
        <v>133</v>
      </c>
      <c r="K213" s="1002">
        <f t="array" ref="K213">INDEX(Primary_Peer_Cyclical_Valuation_Data,MATCH(CONCATENATE(Cycle_Toggle," ",Cycle_Period_Toggle),'Multiples Data'!$C$36:$C$48,0),MATCH(CONCATENATE(Cyclical_LTM_NTM_Toggle," P/E"),'Multiples Data'!$C$36:$H$36,0))</f>
        <v>15.381394850229956</v>
      </c>
      <c r="L213" s="944"/>
      <c r="M213" s="1002">
        <f t="array" ref="M213">INDEX(PeerGroup2_Cyclical_Valuation_Data,MATCH(CONCATENATE(Cycle_Toggle," ",Cycle_Period_Toggle),'Multiples Data'!$C$58:$C$70,0),MATCH(CONCATENATE(Cyclical_LTM_NTM_Toggle," P/E"),'Multiples Data'!$C$58:$H$58,0))</f>
        <v>9.4357996494058476</v>
      </c>
      <c r="N213" s="944"/>
      <c r="O213" s="1002">
        <f t="array" ref="O213">INDEX(PeerGroup3_Cyclical_Valuation_Data,MATCH(CONCATENATE(Cycle_Toggle," ",Cycle_Period_Toggle),'Multiples Data'!$C$80:$C$92,0),MATCH(CONCATENATE(Cyclical_LTM_NTM_Toggle," P/E"),'Multiples Data'!$C$80:$H$80,0))</f>
        <v>14.603483940485029</v>
      </c>
      <c r="P213" s="944"/>
      <c r="Q213" s="9"/>
      <c r="R213" s="9"/>
      <c r="S213" s="9"/>
      <c r="T213" s="9"/>
      <c r="U213" s="9"/>
      <c r="V213" s="9"/>
      <c r="W213" s="9"/>
      <c r="X213" s="9"/>
      <c r="Y213" s="9"/>
      <c r="Z213" s="9"/>
      <c r="AA213" s="9"/>
      <c r="AB213" s="9"/>
    </row>
    <row r="214" spans="1:28" ht="13.5" hidden="1" customHeight="1" outlineLevel="1" x14ac:dyDescent="0.25">
      <c r="A214" s="9"/>
      <c r="B214" s="9"/>
      <c r="C214" s="9" t="s">
        <v>754</v>
      </c>
      <c r="D214" s="9"/>
      <c r="E214" s="9"/>
      <c r="F214" s="9"/>
      <c r="G214" s="32" t="s">
        <v>675</v>
      </c>
      <c r="H214" s="37" t="b">
        <f>G214=$D$24</f>
        <v>1</v>
      </c>
      <c r="I214" s="9"/>
      <c r="J214" s="64" t="s">
        <v>135</v>
      </c>
      <c r="K214" s="1002">
        <f t="array" ref="K214">INDEX(Primary_Peer_Cyclical_Valuation_Data,MATCH(CONCATENATE(Cycle_Toggle," ",Cycle_Period_Toggle),'Multiples Data'!$C$36:$C$48,0),MATCH(CONCATENATE(Cyclical_LTM_NTM_Toggle," EV/EBITDA"),'Multiples Data'!$C$36:$H$36,0))</f>
        <v>15.729106107607194</v>
      </c>
      <c r="L214" s="944"/>
      <c r="M214" s="1002">
        <f t="array" ref="M214">INDEX(PeerGroup2_Cyclical_Valuation_Data,MATCH(CONCATENATE(Cycle_Toggle," ",Cycle_Period_Toggle),'Multiples Data'!$C$58:$C$70,0),MATCH(CONCATENATE(Cyclical_LTM_NTM_Toggle," EV/EBITDA"),'Multiples Data'!$C$58:$H$58,0))</f>
        <v>5.4314602700251715</v>
      </c>
      <c r="N214" s="944"/>
      <c r="O214" s="1002">
        <f t="array" ref="O214">INDEX(PeerGroup3_Cyclical_Valuation_Data,MATCH(CONCATENATE(Cycle_Toggle," ",Cycle_Period_Toggle),'Multiples Data'!$C$80:$C$92,0),MATCH(CONCATENATE(Cyclical_LTM_NTM_Toggle," EV/EBITDA"),'Multiples Data'!$C$80:$H$80,0))</f>
        <v>7.7150307167356171</v>
      </c>
      <c r="P214" s="944"/>
      <c r="Q214" s="9"/>
      <c r="R214" s="9"/>
      <c r="S214" s="9"/>
      <c r="T214" s="9"/>
      <c r="U214" s="9"/>
      <c r="V214" s="9"/>
      <c r="W214" s="9"/>
      <c r="X214" s="9"/>
      <c r="Y214" s="9"/>
      <c r="Z214" s="9"/>
      <c r="AA214" s="9"/>
      <c r="AB214" s="9"/>
    </row>
    <row r="215" spans="1:28" ht="13.5" hidden="1" customHeight="1" outlineLevel="1" x14ac:dyDescent="0.25">
      <c r="A215" s="9"/>
      <c r="B215" s="9"/>
      <c r="C215" s="9" t="s">
        <v>736</v>
      </c>
      <c r="D215" s="9"/>
      <c r="E215" s="9"/>
      <c r="F215" s="9"/>
      <c r="G215" s="32" t="s">
        <v>515</v>
      </c>
      <c r="H215" s="9"/>
      <c r="I215" s="9"/>
      <c r="J215" s="9"/>
      <c r="K215" s="9"/>
      <c r="L215" s="9"/>
      <c r="M215" s="9"/>
      <c r="N215" s="9"/>
      <c r="O215" s="9"/>
      <c r="P215" s="9"/>
      <c r="Q215" s="9"/>
      <c r="R215" s="9"/>
      <c r="S215" s="9"/>
      <c r="T215" s="9"/>
      <c r="U215" s="9"/>
      <c r="V215" s="9"/>
      <c r="W215" s="9"/>
      <c r="X215" s="9"/>
      <c r="Y215" s="9"/>
      <c r="Z215" s="9"/>
      <c r="AA215" s="9"/>
      <c r="AB215" s="9"/>
    </row>
    <row r="216" spans="1:28" ht="4.5" hidden="1" customHeight="1" outlineLevel="1" x14ac:dyDescent="0.25">
      <c r="A216" s="9"/>
      <c r="B216" s="9"/>
      <c r="C216" s="9"/>
      <c r="D216" s="9"/>
      <c r="E216" s="9"/>
      <c r="F216" s="9"/>
      <c r="G216" s="32"/>
      <c r="H216" s="9"/>
      <c r="I216" s="9"/>
      <c r="J216" s="9"/>
      <c r="K216" s="9"/>
      <c r="L216" s="9"/>
      <c r="M216" s="9"/>
      <c r="N216" s="9"/>
      <c r="O216" s="9"/>
      <c r="P216" s="9"/>
      <c r="Q216" s="9"/>
      <c r="R216" s="9"/>
      <c r="S216" s="9"/>
      <c r="T216" s="9"/>
      <c r="U216" s="9"/>
      <c r="V216" s="9"/>
      <c r="W216" s="9"/>
      <c r="X216" s="9"/>
      <c r="Y216" s="9"/>
      <c r="Z216" s="9"/>
      <c r="AA216" s="9"/>
      <c r="AB216" s="9"/>
    </row>
    <row r="217" spans="1:28" ht="13.5" hidden="1" customHeight="1" outlineLevel="1" x14ac:dyDescent="0.25">
      <c r="A217" s="205" t="s">
        <v>0</v>
      </c>
      <c r="B217" s="9"/>
      <c r="C217" s="995" t="s">
        <v>696</v>
      </c>
      <c r="D217" s="933"/>
      <c r="E217" s="933"/>
      <c r="F217" s="933"/>
      <c r="G217" s="933"/>
      <c r="H217" s="933"/>
      <c r="I217" s="933"/>
      <c r="J217" s="933"/>
      <c r="K217" s="933"/>
      <c r="L217" s="933"/>
      <c r="M217" s="933"/>
      <c r="N217" s="933"/>
      <c r="O217" s="933"/>
      <c r="P217" s="933"/>
      <c r="Q217" s="933"/>
      <c r="R217" s="934"/>
      <c r="S217" s="205" t="s">
        <v>0</v>
      </c>
      <c r="T217" s="9"/>
      <c r="U217" s="9"/>
      <c r="V217" s="9"/>
      <c r="W217" s="9"/>
      <c r="X217" s="9"/>
      <c r="Y217" s="9"/>
      <c r="Z217" s="9"/>
      <c r="AA217" s="9"/>
      <c r="AB217" s="9"/>
    </row>
    <row r="218" spans="1:28" ht="4.5" hidden="1" customHeight="1" outlineLevel="1"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row>
    <row r="219" spans="1:28" ht="13.5" hidden="1" customHeight="1" outlineLevel="1" x14ac:dyDescent="0.25">
      <c r="A219" s="9"/>
      <c r="B219" s="9"/>
      <c r="C219" s="9" t="s">
        <v>739</v>
      </c>
      <c r="D219" s="9"/>
      <c r="E219" s="685">
        <f>$F$193</f>
        <v>14.081006819180594</v>
      </c>
      <c r="F219" s="600">
        <f>E219-H229</f>
        <v>0</v>
      </c>
      <c r="G219" s="9"/>
      <c r="H219" s="9" t="s">
        <v>740</v>
      </c>
      <c r="I219" s="9"/>
      <c r="J219" s="9"/>
      <c r="K219" s="685">
        <f>$N$193</f>
        <v>15.750372824209</v>
      </c>
      <c r="L219" s="600">
        <f>K219-H245</f>
        <v>0</v>
      </c>
      <c r="M219" s="9"/>
      <c r="N219" s="3" t="s">
        <v>719</v>
      </c>
      <c r="O219" s="9"/>
      <c r="P219" s="9"/>
      <c r="Q219" s="730">
        <f>F194</f>
        <v>18.48177865622484</v>
      </c>
      <c r="R219" s="731">
        <f>Q219-E232</f>
        <v>0</v>
      </c>
      <c r="S219" s="9"/>
      <c r="T219" s="9"/>
      <c r="U219" s="9"/>
      <c r="V219" s="9"/>
      <c r="W219" s="9"/>
      <c r="X219" s="9"/>
      <c r="Y219" s="9"/>
      <c r="Z219" s="9"/>
      <c r="AA219" s="9"/>
      <c r="AB219" s="9"/>
    </row>
    <row r="220" spans="1:28" ht="13.5" hidden="1" customHeight="1" outlineLevel="1" x14ac:dyDescent="0.25">
      <c r="A220" s="9"/>
      <c r="B220" s="9"/>
      <c r="C220" s="9" t="s">
        <v>700</v>
      </c>
      <c r="D220" s="9"/>
      <c r="E220" s="692">
        <v>1</v>
      </c>
      <c r="F220" s="732"/>
      <c r="G220" s="9"/>
      <c r="H220" s="9" t="s">
        <v>700</v>
      </c>
      <c r="I220" s="9"/>
      <c r="J220" s="9"/>
      <c r="K220" s="692">
        <v>1</v>
      </c>
      <c r="L220" s="732"/>
      <c r="M220" s="9"/>
      <c r="N220" s="425" t="s">
        <v>741</v>
      </c>
      <c r="O220" s="9"/>
      <c r="P220" s="9"/>
      <c r="Q220" s="9"/>
      <c r="R220" s="731">
        <f>Q219-E240</f>
        <v>0</v>
      </c>
      <c r="S220" s="9"/>
      <c r="T220" s="9"/>
      <c r="U220" s="9"/>
      <c r="V220" s="9"/>
      <c r="W220" s="9"/>
      <c r="X220" s="9"/>
      <c r="Y220" s="9"/>
      <c r="Z220" s="9"/>
      <c r="AA220" s="9"/>
      <c r="AB220" s="9"/>
    </row>
    <row r="221" spans="1:28" ht="13.5" hidden="1" customHeight="1" outlineLevel="1" x14ac:dyDescent="0.25">
      <c r="A221" s="9"/>
      <c r="B221" s="9"/>
      <c r="C221" s="9" t="s">
        <v>742</v>
      </c>
      <c r="D221" s="9"/>
      <c r="E221" s="693">
        <v>0.1</v>
      </c>
      <c r="F221" s="732"/>
      <c r="G221" s="9"/>
      <c r="H221" s="9" t="s">
        <v>743</v>
      </c>
      <c r="I221" s="9"/>
      <c r="J221" s="9"/>
      <c r="K221" s="693">
        <v>0.1</v>
      </c>
      <c r="L221" s="732"/>
      <c r="M221" s="9"/>
      <c r="N221" s="3" t="s">
        <v>720</v>
      </c>
      <c r="O221" s="9"/>
      <c r="P221" s="9"/>
      <c r="Q221" s="733">
        <f>N194</f>
        <v>19100.677636071734</v>
      </c>
      <c r="R221" s="731">
        <f>Q221-E248</f>
        <v>0</v>
      </c>
      <c r="S221" s="9"/>
      <c r="T221" s="9"/>
      <c r="U221" s="9"/>
      <c r="V221" s="9"/>
      <c r="W221" s="9"/>
      <c r="X221" s="9"/>
      <c r="Y221" s="9"/>
      <c r="Z221" s="9"/>
      <c r="AA221" s="9"/>
      <c r="AB221" s="9"/>
    </row>
    <row r="222" spans="1:28" ht="13.5" hidden="1" customHeight="1" outlineLevel="1" x14ac:dyDescent="0.25">
      <c r="A222" s="9"/>
      <c r="B222" s="9"/>
      <c r="C222" s="9" t="s">
        <v>744</v>
      </c>
      <c r="D222" s="9"/>
      <c r="E222" s="685">
        <f>$J$193</f>
        <v>17.091358044947164</v>
      </c>
      <c r="F222" s="600">
        <f>E222-H237</f>
        <v>0</v>
      </c>
      <c r="G222" s="9"/>
      <c r="H222" s="9" t="s">
        <v>745</v>
      </c>
      <c r="I222" s="9"/>
      <c r="J222" s="9"/>
      <c r="K222" s="685">
        <f>$R$193</f>
        <v>13.459808563227467</v>
      </c>
      <c r="L222" s="600">
        <f>K222-H253</f>
        <v>0</v>
      </c>
      <c r="M222" s="9"/>
      <c r="N222" s="425" t="s">
        <v>741</v>
      </c>
      <c r="O222" s="735"/>
      <c r="P222" s="9"/>
      <c r="Q222" s="9"/>
      <c r="R222" s="731">
        <f>Q221-E256</f>
        <v>0</v>
      </c>
      <c r="S222" s="9"/>
      <c r="T222" s="9"/>
      <c r="U222" s="9"/>
      <c r="V222" s="9"/>
      <c r="W222" s="9"/>
      <c r="X222" s="9"/>
      <c r="Y222" s="9"/>
      <c r="Z222" s="9"/>
      <c r="AA222" s="9"/>
      <c r="AB222" s="9"/>
    </row>
    <row r="223" spans="1:28" ht="13.5" hidden="1" customHeight="1" outlineLevel="1" x14ac:dyDescent="0.25">
      <c r="A223" s="9"/>
      <c r="B223" s="9"/>
      <c r="C223" s="9" t="s">
        <v>700</v>
      </c>
      <c r="D223" s="9"/>
      <c r="E223" s="692">
        <v>1</v>
      </c>
      <c r="F223" s="732"/>
      <c r="G223" s="9"/>
      <c r="H223" s="9" t="s">
        <v>700</v>
      </c>
      <c r="I223" s="9"/>
      <c r="J223" s="9"/>
      <c r="K223" s="692">
        <v>1</v>
      </c>
      <c r="L223" s="732"/>
      <c r="M223" s="9"/>
      <c r="N223" s="9"/>
      <c r="O223" s="735"/>
      <c r="P223" s="9"/>
      <c r="Q223" s="9"/>
      <c r="R223" s="9"/>
      <c r="S223" s="9"/>
      <c r="T223" s="9"/>
      <c r="U223" s="9"/>
      <c r="V223" s="9"/>
      <c r="W223" s="9"/>
      <c r="X223" s="9"/>
      <c r="Y223" s="9"/>
      <c r="Z223" s="9"/>
      <c r="AA223" s="9"/>
      <c r="AB223" s="9"/>
    </row>
    <row r="224" spans="1:28" ht="13.5" hidden="1" customHeight="1" outlineLevel="1" x14ac:dyDescent="0.25">
      <c r="A224" s="9"/>
      <c r="B224" s="9"/>
      <c r="C224" s="9"/>
      <c r="D224" s="9"/>
      <c r="E224" s="32"/>
      <c r="F224" s="9"/>
      <c r="G224" s="9"/>
      <c r="H224" s="9"/>
      <c r="I224" s="9"/>
      <c r="J224" s="9"/>
      <c r="K224" s="9"/>
      <c r="L224" s="9"/>
      <c r="M224" s="9"/>
      <c r="N224" s="9"/>
      <c r="O224" s="9"/>
      <c r="P224" s="9"/>
      <c r="Q224" s="9"/>
      <c r="R224" s="9"/>
      <c r="S224" s="9"/>
      <c r="T224" s="9"/>
      <c r="U224" s="9"/>
      <c r="V224" s="9"/>
      <c r="W224" s="9"/>
      <c r="X224" s="9"/>
      <c r="Y224" s="9"/>
      <c r="Z224" s="9"/>
      <c r="AA224" s="9"/>
      <c r="AB224" s="9"/>
    </row>
    <row r="225" spans="1:28" ht="13.5" hidden="1" customHeight="1" outlineLevel="1"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spans="1:28" ht="13.5" hidden="1" customHeight="1" outlineLevel="1" x14ac:dyDescent="0.25">
      <c r="A226" s="9"/>
      <c r="B226" s="9"/>
      <c r="C226" s="9"/>
      <c r="D226" s="996" t="s">
        <v>703</v>
      </c>
      <c r="E226" s="933"/>
      <c r="F226" s="933"/>
      <c r="G226" s="933"/>
      <c r="H226" s="933"/>
      <c r="I226" s="933"/>
      <c r="J226" s="934"/>
      <c r="K226" s="694"/>
      <c r="L226" s="996" t="s">
        <v>704</v>
      </c>
      <c r="M226" s="933"/>
      <c r="N226" s="933"/>
      <c r="O226" s="933"/>
      <c r="P226" s="933"/>
      <c r="Q226" s="933"/>
      <c r="R226" s="934"/>
      <c r="S226" s="9"/>
      <c r="T226" s="9"/>
      <c r="U226" s="9"/>
      <c r="V226" s="9"/>
      <c r="W226" s="9"/>
      <c r="X226" s="9"/>
      <c r="Y226" s="9"/>
      <c r="Z226" s="9"/>
      <c r="AA226" s="9"/>
      <c r="AB226" s="9"/>
    </row>
    <row r="227" spans="1:28" ht="13.5" hidden="1" customHeight="1" outlineLevel="1" x14ac:dyDescent="0.25">
      <c r="A227" s="9"/>
      <c r="B227" s="9"/>
      <c r="C227" s="9"/>
      <c r="D227" s="37"/>
      <c r="E227" s="143"/>
      <c r="F227" s="64"/>
      <c r="G227" s="64"/>
      <c r="H227" s="64"/>
      <c r="I227" s="64"/>
      <c r="J227" s="64"/>
      <c r="K227" s="694"/>
      <c r="L227" s="37"/>
      <c r="M227" s="143"/>
      <c r="N227" s="64"/>
      <c r="O227" s="64"/>
      <c r="P227" s="64"/>
      <c r="Q227" s="64"/>
      <c r="R227" s="64"/>
      <c r="S227" s="9"/>
      <c r="T227" s="9"/>
      <c r="U227" s="9"/>
      <c r="V227" s="9"/>
      <c r="W227" s="9"/>
      <c r="X227" s="9"/>
      <c r="Y227" s="9"/>
      <c r="Z227" s="9"/>
      <c r="AA227" s="9"/>
      <c r="AB227" s="9"/>
    </row>
    <row r="228" spans="1:28" ht="13.5" hidden="1" customHeight="1" outlineLevel="1" x14ac:dyDescent="0.25">
      <c r="A228" s="9"/>
      <c r="B228" s="9"/>
      <c r="C228" s="9"/>
      <c r="D228" s="522"/>
      <c r="E228" s="524"/>
      <c r="F228" s="990" t="str">
        <f>$G$212&amp;" "&amp;$G$213&amp;" P/E"</f>
        <v>2009-2018 Early Cycle P/E</v>
      </c>
      <c r="G228" s="991"/>
      <c r="H228" s="991"/>
      <c r="I228" s="991"/>
      <c r="J228" s="991"/>
      <c r="K228" s="9"/>
      <c r="L228" s="522"/>
      <c r="M228" s="524"/>
      <c r="N228" s="990" t="str">
        <f t="shared" ref="N228:N229" si="60">F228</f>
        <v>2009-2018 Early Cycle P/E</v>
      </c>
      <c r="O228" s="991"/>
      <c r="P228" s="991"/>
      <c r="Q228" s="991"/>
      <c r="R228" s="991"/>
      <c r="S228" s="9"/>
      <c r="T228" s="9"/>
      <c r="U228" s="9"/>
      <c r="V228" s="9"/>
      <c r="W228" s="9"/>
      <c r="X228" s="9"/>
      <c r="Y228" s="9"/>
      <c r="Z228" s="9"/>
      <c r="AA228" s="9"/>
      <c r="AB228" s="9"/>
    </row>
    <row r="229" spans="1:28" ht="13.5" hidden="1" customHeight="1" outlineLevel="1" x14ac:dyDescent="0.25">
      <c r="A229" s="9"/>
      <c r="B229" s="9"/>
      <c r="C229" s="9"/>
      <c r="D229" s="9"/>
      <c r="E229" s="695">
        <f>$F$196</f>
        <v>260.24205128888832</v>
      </c>
      <c r="F229" s="696">
        <f t="shared" ref="F229:G229" si="61">G229-$E$85</f>
        <v>12.081006819180594</v>
      </c>
      <c r="G229" s="696">
        <f t="shared" si="61"/>
        <v>13.081006819180594</v>
      </c>
      <c r="H229" s="697">
        <f>+E219</f>
        <v>14.081006819180594</v>
      </c>
      <c r="I229" s="696">
        <f t="shared" ref="I229:J229" si="62">H229+$E$85</f>
        <v>15.081006819180594</v>
      </c>
      <c r="J229" s="696">
        <f t="shared" si="62"/>
        <v>16.081006819180594</v>
      </c>
      <c r="K229" s="9"/>
      <c r="L229" s="9"/>
      <c r="M229" s="698">
        <f>$H$65</f>
        <v>0</v>
      </c>
      <c r="N229" s="696">
        <f t="shared" si="60"/>
        <v>12.081006819180594</v>
      </c>
      <c r="O229" s="696">
        <f t="shared" ref="O229:R229" si="63">G229</f>
        <v>13.081006819180594</v>
      </c>
      <c r="P229" s="696">
        <f t="shared" si="63"/>
        <v>14.081006819180594</v>
      </c>
      <c r="Q229" s="696">
        <f t="shared" si="63"/>
        <v>15.081006819180594</v>
      </c>
      <c r="R229" s="696">
        <f t="shared" si="63"/>
        <v>16.081006819180594</v>
      </c>
      <c r="S229" s="9"/>
      <c r="T229" s="9"/>
      <c r="U229" s="9"/>
      <c r="V229" s="9"/>
      <c r="W229" s="9"/>
      <c r="X229" s="9"/>
      <c r="Y229" s="9"/>
      <c r="Z229" s="9"/>
      <c r="AA229" s="9"/>
      <c r="AB229" s="9"/>
    </row>
    <row r="230" spans="1:28" ht="13.5" hidden="1" customHeight="1" outlineLevel="1" x14ac:dyDescent="0.25">
      <c r="A230" s="9"/>
      <c r="B230" s="9"/>
      <c r="C230" s="9"/>
      <c r="D230" s="992" t="s">
        <v>373</v>
      </c>
      <c r="E230" s="736">
        <f>$E$156*(1-(2*$E$145))</f>
        <v>14.785422924979873</v>
      </c>
      <c r="F230" s="700">
        <v>170.7600347615363</v>
      </c>
      <c r="G230" s="701">
        <v>182.49705737667901</v>
      </c>
      <c r="H230" s="701">
        <v>194.23407999182172</v>
      </c>
      <c r="I230" s="701">
        <v>205.97110260696442</v>
      </c>
      <c r="J230" s="702">
        <v>217.70812522210713</v>
      </c>
      <c r="K230" s="9"/>
      <c r="L230" s="992" t="s">
        <v>373</v>
      </c>
      <c r="M230" s="736">
        <f t="shared" ref="M230:M234" si="64">E230</f>
        <v>14.785422924979873</v>
      </c>
      <c r="N230" s="703">
        <f t="shared" ref="N230:R234" si="65">F230/Share_Price-1</f>
        <v>-0.45771528228417446</v>
      </c>
      <c r="O230" s="594">
        <f t="shared" si="65"/>
        <v>-0.42044187691994339</v>
      </c>
      <c r="P230" s="594">
        <f t="shared" si="65"/>
        <v>-0.38316847155571243</v>
      </c>
      <c r="Q230" s="594">
        <f t="shared" si="65"/>
        <v>-0.34589506619148136</v>
      </c>
      <c r="R230" s="704">
        <f t="shared" si="65"/>
        <v>-0.3086216608272504</v>
      </c>
      <c r="S230" s="9"/>
      <c r="T230" s="9"/>
      <c r="U230" s="9"/>
      <c r="V230" s="9"/>
      <c r="W230" s="9"/>
      <c r="X230" s="9"/>
      <c r="Y230" s="9"/>
      <c r="Z230" s="9"/>
      <c r="AA230" s="9"/>
      <c r="AB230" s="9"/>
    </row>
    <row r="231" spans="1:28" ht="13.5" hidden="1" customHeight="1" outlineLevel="1" x14ac:dyDescent="0.25">
      <c r="A231" s="9"/>
      <c r="B231" s="9"/>
      <c r="C231" s="9"/>
      <c r="D231" s="993"/>
      <c r="E231" s="736">
        <f>$E$156*(1-$E$145)</f>
        <v>16.633600790602358</v>
      </c>
      <c r="F231" s="705">
        <v>192.10503910672833</v>
      </c>
      <c r="G231" s="706">
        <v>205.30918954876387</v>
      </c>
      <c r="H231" s="706">
        <v>218.51333999079941</v>
      </c>
      <c r="I231" s="706">
        <v>231.71749043283498</v>
      </c>
      <c r="J231" s="707">
        <v>244.92164087487052</v>
      </c>
      <c r="K231" s="9"/>
      <c r="L231" s="993"/>
      <c r="M231" s="736">
        <f t="shared" si="64"/>
        <v>16.633600790602358</v>
      </c>
      <c r="N231" s="708">
        <f t="shared" si="65"/>
        <v>-0.38992969256969634</v>
      </c>
      <c r="O231" s="484">
        <f t="shared" si="65"/>
        <v>-0.3479971115349364</v>
      </c>
      <c r="P231" s="484">
        <f t="shared" si="65"/>
        <v>-0.30606453050017646</v>
      </c>
      <c r="Q231" s="484">
        <f t="shared" si="65"/>
        <v>-0.26413194946541652</v>
      </c>
      <c r="R231" s="605">
        <f t="shared" si="65"/>
        <v>-0.22219936843065669</v>
      </c>
      <c r="S231" s="9"/>
      <c r="T231" s="9"/>
      <c r="U231" s="9"/>
      <c r="V231" s="9"/>
      <c r="W231" s="9"/>
      <c r="X231" s="9"/>
      <c r="Y231" s="9"/>
      <c r="Z231" s="9"/>
      <c r="AA231" s="9"/>
      <c r="AB231" s="9"/>
    </row>
    <row r="232" spans="1:28" ht="13.5" hidden="1" customHeight="1" outlineLevel="1" x14ac:dyDescent="0.25">
      <c r="A232" s="9"/>
      <c r="B232" s="9"/>
      <c r="C232" s="9"/>
      <c r="D232" s="993"/>
      <c r="E232" s="737">
        <f>+Q219</f>
        <v>18.48177865622484</v>
      </c>
      <c r="F232" s="705">
        <v>213.45004345192035</v>
      </c>
      <c r="G232" s="706">
        <v>228.12132172084875</v>
      </c>
      <c r="H232" s="706">
        <v>242.79259998977713</v>
      </c>
      <c r="I232" s="706">
        <v>257.46387825870551</v>
      </c>
      <c r="J232" s="707">
        <v>272.13515652763391</v>
      </c>
      <c r="K232" s="9"/>
      <c r="L232" s="993"/>
      <c r="M232" s="736">
        <f t="shared" si="64"/>
        <v>18.48177865622484</v>
      </c>
      <c r="N232" s="708">
        <f t="shared" si="65"/>
        <v>-0.32214410285521811</v>
      </c>
      <c r="O232" s="484">
        <f t="shared" si="65"/>
        <v>-0.27555234614992929</v>
      </c>
      <c r="P232" s="484">
        <f t="shared" si="65"/>
        <v>-0.22896058944464048</v>
      </c>
      <c r="Q232" s="484">
        <f t="shared" si="65"/>
        <v>-0.18236883273935178</v>
      </c>
      <c r="R232" s="605">
        <f t="shared" si="65"/>
        <v>-0.13577707603406297</v>
      </c>
      <c r="S232" s="9"/>
      <c r="T232" s="9"/>
      <c r="U232" s="9"/>
      <c r="V232" s="9"/>
      <c r="W232" s="9"/>
      <c r="X232" s="9"/>
      <c r="Y232" s="9"/>
      <c r="Z232" s="9"/>
      <c r="AA232" s="9"/>
      <c r="AB232" s="9"/>
    </row>
    <row r="233" spans="1:28" ht="13.5" hidden="1" customHeight="1" outlineLevel="1" x14ac:dyDescent="0.25">
      <c r="A233" s="9"/>
      <c r="B233" s="9"/>
      <c r="C233" s="9"/>
      <c r="D233" s="993"/>
      <c r="E233" s="736">
        <f>$E$156*(1+$E$145)</f>
        <v>20.329956521847325</v>
      </c>
      <c r="F233" s="705">
        <v>234.79504779711237</v>
      </c>
      <c r="G233" s="706">
        <v>250.93345389293361</v>
      </c>
      <c r="H233" s="706">
        <v>267.07185998875485</v>
      </c>
      <c r="I233" s="706">
        <v>283.21026608457606</v>
      </c>
      <c r="J233" s="707">
        <v>299.34867218039727</v>
      </c>
      <c r="K233" s="9"/>
      <c r="L233" s="993"/>
      <c r="M233" s="736">
        <f t="shared" si="64"/>
        <v>20.329956521847325</v>
      </c>
      <c r="N233" s="708">
        <f t="shared" si="65"/>
        <v>-0.25435851314073998</v>
      </c>
      <c r="O233" s="484">
        <f t="shared" si="65"/>
        <v>-0.2031075807649223</v>
      </c>
      <c r="P233" s="484">
        <f t="shared" si="65"/>
        <v>-0.15185664838910451</v>
      </c>
      <c r="Q233" s="484">
        <f t="shared" si="65"/>
        <v>-0.10060571601328694</v>
      </c>
      <c r="R233" s="605">
        <f t="shared" si="65"/>
        <v>-4.9354783637469368E-2</v>
      </c>
      <c r="S233" s="9"/>
      <c r="T233" s="9"/>
      <c r="U233" s="9"/>
      <c r="V233" s="9"/>
      <c r="W233" s="9"/>
      <c r="X233" s="9"/>
      <c r="Y233" s="9"/>
      <c r="Z233" s="9"/>
      <c r="AA233" s="9"/>
      <c r="AB233" s="9"/>
    </row>
    <row r="234" spans="1:28" ht="13.5" hidden="1" customHeight="1" outlineLevel="1" x14ac:dyDescent="0.25">
      <c r="A234" s="9"/>
      <c r="B234" s="9"/>
      <c r="C234" s="9"/>
      <c r="D234" s="994"/>
      <c r="E234" s="736">
        <f>$E$156*(1+(2*$E$145))</f>
        <v>22.178134387469807</v>
      </c>
      <c r="F234" s="711">
        <v>256.1400521423044</v>
      </c>
      <c r="G234" s="712">
        <v>273.74558606501847</v>
      </c>
      <c r="H234" s="712">
        <v>291.35111998773255</v>
      </c>
      <c r="I234" s="712">
        <v>308.95665391044662</v>
      </c>
      <c r="J234" s="713">
        <v>326.56218783316069</v>
      </c>
      <c r="K234" s="9"/>
      <c r="L234" s="994"/>
      <c r="M234" s="736">
        <f t="shared" si="64"/>
        <v>22.178134387469807</v>
      </c>
      <c r="N234" s="714">
        <f t="shared" si="65"/>
        <v>-0.18657292342626186</v>
      </c>
      <c r="O234" s="602">
        <f t="shared" si="65"/>
        <v>-0.13066281537991531</v>
      </c>
      <c r="P234" s="602">
        <f t="shared" si="65"/>
        <v>-7.4752707333568646E-2</v>
      </c>
      <c r="Q234" s="602">
        <f t="shared" si="65"/>
        <v>-1.8842599287222095E-2</v>
      </c>
      <c r="R234" s="715">
        <f t="shared" si="65"/>
        <v>3.7067508759124568E-2</v>
      </c>
      <c r="S234" s="9"/>
      <c r="T234" s="9"/>
      <c r="U234" s="9"/>
      <c r="V234" s="9"/>
      <c r="W234" s="9"/>
      <c r="X234" s="9"/>
      <c r="Y234" s="9"/>
      <c r="Z234" s="9"/>
      <c r="AA234" s="9"/>
      <c r="AB234" s="9"/>
    </row>
    <row r="235" spans="1:28" ht="13.5" hidden="1" customHeight="1" outlineLevel="1"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spans="1:28" ht="13.5" hidden="1" customHeight="1" outlineLevel="1" x14ac:dyDescent="0.25">
      <c r="A236" s="9"/>
      <c r="B236" s="9"/>
      <c r="C236" s="9"/>
      <c r="D236" s="522"/>
      <c r="E236" s="524"/>
      <c r="F236" s="990" t="str">
        <f>$G$212&amp;" "&amp;$G$213&amp;" P/E Spread to Comps"</f>
        <v>2009-2018 Early Cycle P/E Spread to Comps</v>
      </c>
      <c r="G236" s="991"/>
      <c r="H236" s="991"/>
      <c r="I236" s="991"/>
      <c r="J236" s="991"/>
      <c r="K236" s="9"/>
      <c r="L236" s="522"/>
      <c r="M236" s="524"/>
      <c r="N236" s="990" t="str">
        <f t="shared" ref="N236:N237" si="66">F236</f>
        <v>2009-2018 Early Cycle P/E Spread to Comps</v>
      </c>
      <c r="O236" s="991"/>
      <c r="P236" s="991"/>
      <c r="Q236" s="991"/>
      <c r="R236" s="991"/>
      <c r="S236" s="9"/>
      <c r="T236" s="9"/>
      <c r="U236" s="9"/>
      <c r="V236" s="9"/>
      <c r="W236" s="9"/>
      <c r="X236" s="9"/>
      <c r="Y236" s="9"/>
      <c r="Z236" s="9"/>
      <c r="AA236" s="9"/>
      <c r="AB236" s="9"/>
    </row>
    <row r="237" spans="1:28" ht="13.5" hidden="1" customHeight="1" outlineLevel="1" x14ac:dyDescent="0.25">
      <c r="A237" s="9"/>
      <c r="B237" s="9"/>
      <c r="C237" s="9"/>
      <c r="D237" s="9"/>
      <c r="E237" s="695">
        <f>$J$196</f>
        <v>315.8786963210012</v>
      </c>
      <c r="F237" s="696">
        <f t="shared" ref="F237:G237" si="67">G237-$E$85</f>
        <v>15.091358044947164</v>
      </c>
      <c r="G237" s="696">
        <f t="shared" si="67"/>
        <v>16.091358044947164</v>
      </c>
      <c r="H237" s="697">
        <f>+E222</f>
        <v>17.091358044947164</v>
      </c>
      <c r="I237" s="696">
        <f t="shared" ref="I237:J237" si="68">H237+$E$85</f>
        <v>18.091358044947164</v>
      </c>
      <c r="J237" s="696">
        <f t="shared" si="68"/>
        <v>19.091358044947164</v>
      </c>
      <c r="K237" s="9"/>
      <c r="L237" s="9"/>
      <c r="M237" s="695">
        <f>$H$65</f>
        <v>0</v>
      </c>
      <c r="N237" s="696">
        <f t="shared" si="66"/>
        <v>15.091358044947164</v>
      </c>
      <c r="O237" s="696">
        <f t="shared" ref="O237:R237" si="69">G237</f>
        <v>16.091358044947164</v>
      </c>
      <c r="P237" s="696">
        <f t="shared" si="69"/>
        <v>17.091358044947164</v>
      </c>
      <c r="Q237" s="696">
        <f t="shared" si="69"/>
        <v>18.091358044947164</v>
      </c>
      <c r="R237" s="696">
        <f t="shared" si="69"/>
        <v>19.091358044947164</v>
      </c>
      <c r="S237" s="9"/>
      <c r="T237" s="9"/>
      <c r="U237" s="9"/>
      <c r="V237" s="9"/>
      <c r="W237" s="9"/>
      <c r="X237" s="9"/>
      <c r="Y237" s="9"/>
      <c r="Z237" s="9"/>
      <c r="AA237" s="9"/>
      <c r="AB237" s="9"/>
    </row>
    <row r="238" spans="1:28" ht="13.5" hidden="1" customHeight="1" outlineLevel="1" x14ac:dyDescent="0.25">
      <c r="A238" s="9"/>
      <c r="B238" s="9"/>
      <c r="C238" s="9"/>
      <c r="D238" s="992" t="s">
        <v>373</v>
      </c>
      <c r="E238" s="736">
        <f>$E$164*(1-(2*$E$145))</f>
        <v>14.785422924979873</v>
      </c>
      <c r="F238" s="700">
        <v>225.63418434082951</v>
      </c>
      <c r="G238" s="701">
        <v>237.37120695597221</v>
      </c>
      <c r="H238" s="701">
        <v>249.10822957111492</v>
      </c>
      <c r="I238" s="701">
        <v>260.84525218625765</v>
      </c>
      <c r="J238" s="702">
        <v>272.58227480140033</v>
      </c>
      <c r="K238" s="9"/>
      <c r="L238" s="992" t="s">
        <v>373</v>
      </c>
      <c r="M238" s="736">
        <f t="shared" ref="M238:M242" si="70">E238</f>
        <v>14.785422924979873</v>
      </c>
      <c r="N238" s="703">
        <f t="shared" ref="N238:R242" si="71">F238/Share_Price-1</f>
        <v>-0.28345077855495726</v>
      </c>
      <c r="O238" s="594">
        <f t="shared" si="71"/>
        <v>-0.24617737319072619</v>
      </c>
      <c r="P238" s="594">
        <f t="shared" si="71"/>
        <v>-0.20890396782649523</v>
      </c>
      <c r="Q238" s="594">
        <f t="shared" si="71"/>
        <v>-0.17163056246226405</v>
      </c>
      <c r="R238" s="704">
        <f t="shared" si="71"/>
        <v>-0.1343571570980332</v>
      </c>
      <c r="S238" s="9"/>
      <c r="T238" s="9"/>
      <c r="U238" s="9"/>
      <c r="V238" s="9"/>
      <c r="W238" s="9"/>
      <c r="X238" s="9"/>
      <c r="Y238" s="9"/>
      <c r="Z238" s="9"/>
      <c r="AA238" s="9"/>
      <c r="AB238" s="9"/>
    </row>
    <row r="239" spans="1:28" ht="13.5" hidden="1" customHeight="1" outlineLevel="1" x14ac:dyDescent="0.25">
      <c r="A239" s="9"/>
      <c r="B239" s="9"/>
      <c r="C239" s="9"/>
      <c r="D239" s="993"/>
      <c r="E239" s="736">
        <f>$E$164*(1-$E$145)</f>
        <v>16.633600790602358</v>
      </c>
      <c r="F239" s="705">
        <v>253.83845738343319</v>
      </c>
      <c r="G239" s="706">
        <v>267.04260782546874</v>
      </c>
      <c r="H239" s="706">
        <v>280.24675826750428</v>
      </c>
      <c r="I239" s="706">
        <v>293.45090870953982</v>
      </c>
      <c r="J239" s="707">
        <v>306.65505915157536</v>
      </c>
      <c r="K239" s="9"/>
      <c r="L239" s="993"/>
      <c r="M239" s="736">
        <f t="shared" si="70"/>
        <v>16.633600790602358</v>
      </c>
      <c r="N239" s="708">
        <f t="shared" si="71"/>
        <v>-0.19388212587432685</v>
      </c>
      <c r="O239" s="484">
        <f t="shared" si="71"/>
        <v>-0.15194954483956702</v>
      </c>
      <c r="P239" s="484">
        <f t="shared" si="71"/>
        <v>-0.11001696380480708</v>
      </c>
      <c r="Q239" s="484">
        <f t="shared" si="71"/>
        <v>-6.8084382770047247E-2</v>
      </c>
      <c r="R239" s="605">
        <f t="shared" si="71"/>
        <v>-2.6151801735287306E-2</v>
      </c>
      <c r="S239" s="9"/>
      <c r="T239" s="9"/>
      <c r="U239" s="9"/>
      <c r="V239" s="9"/>
      <c r="W239" s="9"/>
      <c r="X239" s="9"/>
      <c r="Y239" s="9"/>
      <c r="Z239" s="9"/>
      <c r="AA239" s="9"/>
      <c r="AB239" s="9"/>
    </row>
    <row r="240" spans="1:28" ht="13.5" hidden="1" customHeight="1" outlineLevel="1" x14ac:dyDescent="0.25">
      <c r="A240" s="9"/>
      <c r="B240" s="9"/>
      <c r="C240" s="9"/>
      <c r="D240" s="993"/>
      <c r="E240" s="737">
        <f>+E232</f>
        <v>18.48177865622484</v>
      </c>
      <c r="F240" s="705">
        <v>282.04273042603688</v>
      </c>
      <c r="G240" s="706">
        <v>296.71400869496523</v>
      </c>
      <c r="H240" s="706">
        <v>311.38528696389363</v>
      </c>
      <c r="I240" s="706">
        <v>326.05656523282204</v>
      </c>
      <c r="J240" s="707">
        <v>340.72784350175039</v>
      </c>
      <c r="K240" s="9"/>
      <c r="L240" s="993"/>
      <c r="M240" s="736">
        <f t="shared" si="70"/>
        <v>18.48177865622484</v>
      </c>
      <c r="N240" s="708">
        <f t="shared" si="71"/>
        <v>-0.10431347319369655</v>
      </c>
      <c r="O240" s="484">
        <f t="shared" si="71"/>
        <v>-5.7721716488407848E-2</v>
      </c>
      <c r="P240" s="484">
        <f t="shared" si="71"/>
        <v>-1.1129959783119037E-2</v>
      </c>
      <c r="Q240" s="484">
        <f t="shared" si="71"/>
        <v>3.5461796922169775E-2</v>
      </c>
      <c r="R240" s="605">
        <f t="shared" si="71"/>
        <v>8.2053553627458475E-2</v>
      </c>
      <c r="S240" s="9"/>
      <c r="T240" s="9"/>
      <c r="U240" s="9"/>
      <c r="V240" s="9"/>
      <c r="W240" s="9"/>
      <c r="X240" s="9"/>
      <c r="Y240" s="9"/>
      <c r="Z240" s="9"/>
      <c r="AA240" s="9"/>
      <c r="AB240" s="9"/>
    </row>
    <row r="241" spans="1:28" ht="13.5" hidden="1" customHeight="1" outlineLevel="1" x14ac:dyDescent="0.25">
      <c r="A241" s="9"/>
      <c r="B241" s="9"/>
      <c r="C241" s="9"/>
      <c r="D241" s="993"/>
      <c r="E241" s="736">
        <f>$E$164*(1+$E$145)</f>
        <v>20.329956521847325</v>
      </c>
      <c r="F241" s="705">
        <v>310.24700346864057</v>
      </c>
      <c r="G241" s="706">
        <v>326.38540956446178</v>
      </c>
      <c r="H241" s="706">
        <v>342.52381566028299</v>
      </c>
      <c r="I241" s="706">
        <v>358.6622217561042</v>
      </c>
      <c r="J241" s="707">
        <v>374.80062785192547</v>
      </c>
      <c r="K241" s="9"/>
      <c r="L241" s="993"/>
      <c r="M241" s="736">
        <f t="shared" si="70"/>
        <v>20.329956521847325</v>
      </c>
      <c r="N241" s="708">
        <f t="shared" si="71"/>
        <v>-1.4744820513066248E-2</v>
      </c>
      <c r="O241" s="484">
        <f t="shared" si="71"/>
        <v>3.6506111862751434E-2</v>
      </c>
      <c r="P241" s="484">
        <f t="shared" si="71"/>
        <v>8.7757044238569115E-2</v>
      </c>
      <c r="Q241" s="484">
        <f t="shared" si="71"/>
        <v>0.13900797661438657</v>
      </c>
      <c r="R241" s="605">
        <f t="shared" si="71"/>
        <v>0.19025890899020448</v>
      </c>
      <c r="S241" s="9"/>
      <c r="T241" s="9"/>
      <c r="U241" s="9"/>
      <c r="V241" s="9"/>
      <c r="W241" s="9"/>
      <c r="X241" s="9"/>
      <c r="Y241" s="9"/>
      <c r="Z241" s="9"/>
      <c r="AA241" s="9"/>
      <c r="AB241" s="9"/>
    </row>
    <row r="242" spans="1:28" ht="13.5" hidden="1" customHeight="1" outlineLevel="1" x14ac:dyDescent="0.25">
      <c r="A242" s="9"/>
      <c r="B242" s="9"/>
      <c r="C242" s="9"/>
      <c r="D242" s="994"/>
      <c r="E242" s="736">
        <f>$E$164*(1+(2*$E$145))</f>
        <v>22.178134387469807</v>
      </c>
      <c r="F242" s="711">
        <v>338.4512765112442</v>
      </c>
      <c r="G242" s="712">
        <v>356.05681043395828</v>
      </c>
      <c r="H242" s="712">
        <v>373.66234435667235</v>
      </c>
      <c r="I242" s="712">
        <v>391.26787827938642</v>
      </c>
      <c r="J242" s="713">
        <v>408.8734122021005</v>
      </c>
      <c r="K242" s="9"/>
      <c r="L242" s="994"/>
      <c r="M242" s="736">
        <f t="shared" si="70"/>
        <v>22.178134387469807</v>
      </c>
      <c r="N242" s="714">
        <f t="shared" si="71"/>
        <v>7.4823832167564053E-2</v>
      </c>
      <c r="O242" s="602">
        <f t="shared" si="71"/>
        <v>0.13073394021391049</v>
      </c>
      <c r="P242" s="602">
        <f t="shared" si="71"/>
        <v>0.18664404826025716</v>
      </c>
      <c r="Q242" s="602">
        <f t="shared" si="71"/>
        <v>0.2425541563066036</v>
      </c>
      <c r="R242" s="715">
        <f t="shared" si="71"/>
        <v>0.29846426435295026</v>
      </c>
      <c r="S242" s="9"/>
      <c r="T242" s="9"/>
      <c r="U242" s="9"/>
      <c r="V242" s="9"/>
      <c r="W242" s="9"/>
      <c r="X242" s="9"/>
      <c r="Y242" s="9"/>
      <c r="Z242" s="9"/>
      <c r="AA242" s="9"/>
      <c r="AB242" s="9"/>
    </row>
    <row r="243" spans="1:28" ht="13.5" hidden="1" customHeight="1" outlineLevel="1"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spans="1:28" ht="13.5" hidden="1" customHeight="1" outlineLevel="1" x14ac:dyDescent="0.25">
      <c r="A244" s="9"/>
      <c r="B244" s="9"/>
      <c r="C244" s="9"/>
      <c r="D244" s="522"/>
      <c r="E244" s="524"/>
      <c r="F244" s="990" t="str">
        <f>$G$212&amp;" "&amp;$G$213&amp;" EV/EBITDA"</f>
        <v>2009-2018 Early Cycle EV/EBITDA</v>
      </c>
      <c r="G244" s="991"/>
      <c r="H244" s="991"/>
      <c r="I244" s="991"/>
      <c r="J244" s="991"/>
      <c r="K244" s="9"/>
      <c r="L244" s="522"/>
      <c r="M244" s="524"/>
      <c r="N244" s="990" t="str">
        <f t="shared" ref="N244:N245" si="72">F244</f>
        <v>2009-2018 Early Cycle EV/EBITDA</v>
      </c>
      <c r="O244" s="991"/>
      <c r="P244" s="991"/>
      <c r="Q244" s="991"/>
      <c r="R244" s="991"/>
      <c r="S244" s="9"/>
      <c r="T244" s="9"/>
      <c r="U244" s="9"/>
      <c r="V244" s="9"/>
      <c r="W244" s="9"/>
      <c r="X244" s="9"/>
      <c r="Y244" s="9"/>
      <c r="Z244" s="9"/>
      <c r="AA244" s="9"/>
      <c r="AB244" s="9"/>
    </row>
    <row r="245" spans="1:28" ht="13.5" hidden="1" customHeight="1" outlineLevel="1" x14ac:dyDescent="0.25">
      <c r="A245" s="9"/>
      <c r="B245" s="9"/>
      <c r="C245" s="9"/>
      <c r="D245" s="9"/>
      <c r="E245" s="695">
        <f ca="1">$N$207</f>
        <v>423.10361360174556</v>
      </c>
      <c r="F245" s="696">
        <f t="shared" ref="F245:G245" si="73">G245-$E$85</f>
        <v>13.750372824209</v>
      </c>
      <c r="G245" s="696">
        <f t="shared" si="73"/>
        <v>14.750372824209</v>
      </c>
      <c r="H245" s="697">
        <f>+K219</f>
        <v>15.750372824209</v>
      </c>
      <c r="I245" s="696">
        <f t="shared" ref="I245:J245" si="74">H245+$E$85</f>
        <v>16.750372824209002</v>
      </c>
      <c r="J245" s="696">
        <f t="shared" si="74"/>
        <v>17.750372824209002</v>
      </c>
      <c r="K245" s="9"/>
      <c r="L245" s="9"/>
      <c r="M245" s="695">
        <f>$H$65</f>
        <v>0</v>
      </c>
      <c r="N245" s="696">
        <f t="shared" si="72"/>
        <v>13.750372824209</v>
      </c>
      <c r="O245" s="696">
        <f t="shared" ref="O245:R245" si="75">G245</f>
        <v>14.750372824209</v>
      </c>
      <c r="P245" s="696">
        <f t="shared" si="75"/>
        <v>15.750372824209</v>
      </c>
      <c r="Q245" s="696">
        <f t="shared" si="75"/>
        <v>16.750372824209002</v>
      </c>
      <c r="R245" s="696">
        <f t="shared" si="75"/>
        <v>17.750372824209002</v>
      </c>
      <c r="S245" s="9"/>
      <c r="T245" s="9"/>
      <c r="U245" s="9"/>
      <c r="V245" s="9"/>
      <c r="W245" s="9"/>
      <c r="X245" s="9"/>
      <c r="Y245" s="9"/>
      <c r="Z245" s="9"/>
      <c r="AA245" s="9"/>
      <c r="AB245" s="9"/>
    </row>
    <row r="246" spans="1:28" ht="13.5" hidden="1" customHeight="1" outlineLevel="1" x14ac:dyDescent="0.25">
      <c r="A246" s="9"/>
      <c r="B246" s="9"/>
      <c r="C246" s="9"/>
      <c r="D246" s="992" t="s">
        <v>277</v>
      </c>
      <c r="E246" s="674">
        <f>$E$172*(1-(2*$K$145))</f>
        <v>15280.542108857388</v>
      </c>
      <c r="F246" s="700">
        <v>67.644742570706541</v>
      </c>
      <c r="G246" s="701">
        <v>85.111556570380472</v>
      </c>
      <c r="H246" s="701">
        <v>102.5783705700544</v>
      </c>
      <c r="I246" s="701">
        <v>120.04518456972832</v>
      </c>
      <c r="J246" s="702">
        <v>137.51199856940224</v>
      </c>
      <c r="K246" s="9"/>
      <c r="L246" s="992" t="s">
        <v>277</v>
      </c>
      <c r="M246" s="674">
        <f t="shared" ref="M246:M250" si="76">E246</f>
        <v>15280.542108857388</v>
      </c>
      <c r="N246" s="703">
        <f t="shared" ref="N246:R250" si="77">F246/Share_Price-1</f>
        <v>-0.7851797689011828</v>
      </c>
      <c r="O246" s="594">
        <f t="shared" si="77"/>
        <v>-0.72971019540036053</v>
      </c>
      <c r="P246" s="594">
        <f t="shared" si="77"/>
        <v>-0.67424062189953826</v>
      </c>
      <c r="Q246" s="594">
        <f t="shared" si="77"/>
        <v>-0.61877104839871599</v>
      </c>
      <c r="R246" s="704">
        <f t="shared" si="77"/>
        <v>-0.56330147489789373</v>
      </c>
      <c r="S246" s="9"/>
      <c r="T246" s="9"/>
      <c r="U246" s="9"/>
      <c r="V246" s="9"/>
      <c r="W246" s="9"/>
      <c r="X246" s="9"/>
      <c r="Y246" s="9"/>
      <c r="Z246" s="9"/>
      <c r="AA246" s="9"/>
      <c r="AB246" s="9"/>
    </row>
    <row r="247" spans="1:28" ht="13.5" hidden="1" customHeight="1" outlineLevel="1" x14ac:dyDescent="0.25">
      <c r="A247" s="9"/>
      <c r="B247" s="9"/>
      <c r="C247" s="9"/>
      <c r="D247" s="993"/>
      <c r="E247" s="674">
        <f>$E$172*(1-$K$145)</f>
        <v>17190.60987246456</v>
      </c>
      <c r="F247" s="705">
        <v>79.452936548114209</v>
      </c>
      <c r="G247" s="706">
        <v>99.10310229774737</v>
      </c>
      <c r="H247" s="706">
        <v>118.75326804738054</v>
      </c>
      <c r="I247" s="706">
        <v>138.40343379701372</v>
      </c>
      <c r="J247" s="707">
        <v>158.05359954664689</v>
      </c>
      <c r="K247" s="9"/>
      <c r="L247" s="993"/>
      <c r="M247" s="674">
        <f t="shared" si="76"/>
        <v>17190.60987246456</v>
      </c>
      <c r="N247" s="708">
        <f t="shared" si="77"/>
        <v>-0.74768034377682935</v>
      </c>
      <c r="O247" s="484">
        <f t="shared" si="77"/>
        <v>-0.68527707358840428</v>
      </c>
      <c r="P247" s="484">
        <f t="shared" si="77"/>
        <v>-0.62287380339997922</v>
      </c>
      <c r="Q247" s="484">
        <f t="shared" si="77"/>
        <v>-0.56047053321155405</v>
      </c>
      <c r="R247" s="605">
        <f t="shared" si="77"/>
        <v>-0.49806726302312898</v>
      </c>
      <c r="S247" s="9"/>
      <c r="T247" s="9"/>
      <c r="U247" s="9"/>
      <c r="V247" s="9"/>
      <c r="W247" s="9"/>
      <c r="X247" s="9"/>
      <c r="Y247" s="9"/>
      <c r="Z247" s="9"/>
      <c r="AA247" s="9"/>
      <c r="AB247" s="9"/>
    </row>
    <row r="248" spans="1:28" ht="13.5" hidden="1" customHeight="1" outlineLevel="1" x14ac:dyDescent="0.25">
      <c r="A248" s="9"/>
      <c r="B248" s="9"/>
      <c r="C248" s="9"/>
      <c r="D248" s="993"/>
      <c r="E248" s="738">
        <f>+Q221</f>
        <v>19100.677636071734</v>
      </c>
      <c r="F248" s="705">
        <v>91.261130525521907</v>
      </c>
      <c r="G248" s="706">
        <v>113.09464802511431</v>
      </c>
      <c r="H248" s="706">
        <v>134.92816552470671</v>
      </c>
      <c r="I248" s="706">
        <v>156.76168302429915</v>
      </c>
      <c r="J248" s="707">
        <v>178.59520052389152</v>
      </c>
      <c r="K248" s="9"/>
      <c r="L248" s="993"/>
      <c r="M248" s="674">
        <f t="shared" si="76"/>
        <v>19100.677636071734</v>
      </c>
      <c r="N248" s="708">
        <f t="shared" si="77"/>
        <v>-0.71018091865247568</v>
      </c>
      <c r="O248" s="484">
        <f t="shared" si="77"/>
        <v>-0.64084395177644793</v>
      </c>
      <c r="P248" s="484">
        <f t="shared" si="77"/>
        <v>-0.57150698490042007</v>
      </c>
      <c r="Q248" s="484">
        <f t="shared" si="77"/>
        <v>-0.50217001802439221</v>
      </c>
      <c r="R248" s="605">
        <f t="shared" si="77"/>
        <v>-0.43283305114836446</v>
      </c>
      <c r="S248" s="9"/>
      <c r="T248" s="9"/>
      <c r="U248" s="9"/>
      <c r="V248" s="9"/>
      <c r="W248" s="9"/>
      <c r="X248" s="9"/>
      <c r="Y248" s="9"/>
      <c r="Z248" s="9"/>
      <c r="AA248" s="9"/>
      <c r="AB248" s="9"/>
    </row>
    <row r="249" spans="1:28" ht="13.5" hidden="1" customHeight="1" outlineLevel="1" x14ac:dyDescent="0.25">
      <c r="A249" s="9"/>
      <c r="B249" s="9"/>
      <c r="C249" s="9"/>
      <c r="D249" s="993"/>
      <c r="E249" s="674">
        <f>$E$172*(1+$K$145)</f>
        <v>21010.745399678908</v>
      </c>
      <c r="F249" s="705">
        <v>103.06932450292959</v>
      </c>
      <c r="G249" s="706">
        <v>127.08619375248122</v>
      </c>
      <c r="H249" s="706">
        <v>151.10306300203288</v>
      </c>
      <c r="I249" s="706">
        <v>175.11993225158452</v>
      </c>
      <c r="J249" s="707">
        <v>199.13680150113618</v>
      </c>
      <c r="K249" s="9"/>
      <c r="L249" s="993"/>
      <c r="M249" s="674">
        <f t="shared" si="76"/>
        <v>21010.745399678908</v>
      </c>
      <c r="N249" s="708">
        <f t="shared" si="77"/>
        <v>-0.67268149352812223</v>
      </c>
      <c r="O249" s="484">
        <f t="shared" si="77"/>
        <v>-0.59641082996449168</v>
      </c>
      <c r="P249" s="484">
        <f t="shared" si="77"/>
        <v>-0.52014016640086091</v>
      </c>
      <c r="Q249" s="484">
        <f t="shared" si="77"/>
        <v>-0.44386950283723037</v>
      </c>
      <c r="R249" s="605">
        <f t="shared" si="77"/>
        <v>-0.36759883927359971</v>
      </c>
      <c r="S249" s="9"/>
      <c r="T249" s="9"/>
      <c r="U249" s="9"/>
      <c r="V249" s="9"/>
      <c r="W249" s="9"/>
      <c r="X249" s="9"/>
      <c r="Y249" s="9"/>
      <c r="Z249" s="9"/>
      <c r="AA249" s="9"/>
      <c r="AB249" s="9"/>
    </row>
    <row r="250" spans="1:28" ht="13.5" hidden="1" customHeight="1" outlineLevel="1" x14ac:dyDescent="0.25">
      <c r="A250" s="9"/>
      <c r="B250" s="9"/>
      <c r="C250" s="9"/>
      <c r="D250" s="994"/>
      <c r="E250" s="674">
        <f>$E$172*(1+(2*$K$145))</f>
        <v>22920.813163286079</v>
      </c>
      <c r="F250" s="711">
        <v>114.87751848033726</v>
      </c>
      <c r="G250" s="712">
        <v>141.07773947984813</v>
      </c>
      <c r="H250" s="712">
        <v>167.277960479359</v>
      </c>
      <c r="I250" s="712">
        <v>193.47818147886994</v>
      </c>
      <c r="J250" s="713">
        <v>219.6784024783808</v>
      </c>
      <c r="K250" s="9"/>
      <c r="L250" s="994"/>
      <c r="M250" s="674">
        <f t="shared" si="76"/>
        <v>22920.813163286079</v>
      </c>
      <c r="N250" s="714">
        <f t="shared" si="77"/>
        <v>-0.63518206840376878</v>
      </c>
      <c r="O250" s="602">
        <f t="shared" si="77"/>
        <v>-0.55197770815253544</v>
      </c>
      <c r="P250" s="602">
        <f t="shared" si="77"/>
        <v>-0.46877334790130198</v>
      </c>
      <c r="Q250" s="602">
        <f t="shared" si="77"/>
        <v>-0.38556898765006842</v>
      </c>
      <c r="R250" s="715">
        <f t="shared" si="77"/>
        <v>-0.30236462739883507</v>
      </c>
      <c r="S250" s="9"/>
      <c r="T250" s="9"/>
      <c r="U250" s="9"/>
      <c r="V250" s="9"/>
      <c r="W250" s="9"/>
      <c r="X250" s="9"/>
      <c r="Y250" s="9"/>
      <c r="Z250" s="9"/>
      <c r="AA250" s="9"/>
      <c r="AB250" s="9"/>
    </row>
    <row r="251" spans="1:28" ht="13.5" hidden="1" customHeight="1" outlineLevel="1"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spans="1:28" ht="13.5" hidden="1" customHeight="1" outlineLevel="1" x14ac:dyDescent="0.25">
      <c r="A252" s="9"/>
      <c r="B252" s="9"/>
      <c r="C252" s="9"/>
      <c r="D252" s="522"/>
      <c r="E252" s="524"/>
      <c r="F252" s="990" t="str">
        <f>$G$212&amp;" "&amp;$G$213&amp;" EV/EBITDA Spread to Comps"</f>
        <v>2009-2018 Early Cycle EV/EBITDA Spread to Comps</v>
      </c>
      <c r="G252" s="991"/>
      <c r="H252" s="991"/>
      <c r="I252" s="991"/>
      <c r="J252" s="991"/>
      <c r="K252" s="9"/>
      <c r="L252" s="522"/>
      <c r="M252" s="524"/>
      <c r="N252" s="990" t="str">
        <f t="shared" ref="N252:N253" si="78">F252</f>
        <v>2009-2018 Early Cycle EV/EBITDA Spread to Comps</v>
      </c>
      <c r="O252" s="991"/>
      <c r="P252" s="991"/>
      <c r="Q252" s="991"/>
      <c r="R252" s="991"/>
      <c r="S252" s="9"/>
      <c r="T252" s="9"/>
      <c r="U252" s="9"/>
      <c r="V252" s="9"/>
      <c r="W252" s="9"/>
      <c r="X252" s="9"/>
      <c r="Y252" s="9"/>
      <c r="Z252" s="9"/>
      <c r="AA252" s="9"/>
      <c r="AB252" s="9"/>
    </row>
    <row r="253" spans="1:28" ht="13.5" hidden="1" customHeight="1" outlineLevel="1" x14ac:dyDescent="0.25">
      <c r="A253" s="9"/>
      <c r="B253" s="9"/>
      <c r="C253" s="9"/>
      <c r="D253" s="9"/>
      <c r="E253" s="695">
        <f ca="1">$R$207</f>
        <v>361.80690525350514</v>
      </c>
      <c r="F253" s="696">
        <f t="shared" ref="F253:G253" si="79">G253-$E$85</f>
        <v>11.459808563227467</v>
      </c>
      <c r="G253" s="696">
        <f t="shared" si="79"/>
        <v>12.459808563227467</v>
      </c>
      <c r="H253" s="697">
        <f>+K222</f>
        <v>13.459808563227467</v>
      </c>
      <c r="I253" s="696">
        <f t="shared" ref="I253:J253" si="80">H253+$E$85</f>
        <v>14.459808563227467</v>
      </c>
      <c r="J253" s="696">
        <f t="shared" si="80"/>
        <v>15.459808563227467</v>
      </c>
      <c r="K253" s="9"/>
      <c r="L253" s="9"/>
      <c r="M253" s="695">
        <f>$H$65</f>
        <v>0</v>
      </c>
      <c r="N253" s="696">
        <f t="shared" si="78"/>
        <v>11.459808563227467</v>
      </c>
      <c r="O253" s="696">
        <f t="shared" ref="O253:R253" si="81">G253</f>
        <v>12.459808563227467</v>
      </c>
      <c r="P253" s="696">
        <f t="shared" si="81"/>
        <v>13.459808563227467</v>
      </c>
      <c r="Q253" s="696">
        <f t="shared" si="81"/>
        <v>14.459808563227467</v>
      </c>
      <c r="R253" s="696">
        <f t="shared" si="81"/>
        <v>15.459808563227467</v>
      </c>
      <c r="S253" s="9"/>
      <c r="T253" s="9"/>
      <c r="U253" s="9"/>
      <c r="V253" s="9"/>
      <c r="W253" s="9"/>
      <c r="X253" s="9"/>
      <c r="Y253" s="9"/>
      <c r="Z253" s="9"/>
      <c r="AA253" s="9"/>
      <c r="AB253" s="9"/>
    </row>
    <row r="254" spans="1:28" ht="13.5" hidden="1" customHeight="1" outlineLevel="1" x14ac:dyDescent="0.25">
      <c r="A254" s="9"/>
      <c r="B254" s="9"/>
      <c r="C254" s="9"/>
      <c r="D254" s="992" t="s">
        <v>277</v>
      </c>
      <c r="E254" s="674">
        <f>$E$180*(1-(2*$K$145))</f>
        <v>15280.542108857388</v>
      </c>
      <c r="F254" s="700">
        <v>159.29855511249744</v>
      </c>
      <c r="G254" s="701">
        <v>176.76536911217136</v>
      </c>
      <c r="H254" s="701">
        <v>194.2321831118453</v>
      </c>
      <c r="I254" s="701">
        <v>211.69899711151919</v>
      </c>
      <c r="J254" s="702">
        <v>229.16581111119316</v>
      </c>
      <c r="K254" s="9"/>
      <c r="L254" s="992" t="s">
        <v>277</v>
      </c>
      <c r="M254" s="674">
        <f t="shared" ref="M254:M258" si="82">E254</f>
        <v>15280.542108857388</v>
      </c>
      <c r="N254" s="703">
        <f t="shared" ref="N254:R258" si="83">F254/Share_Price-1</f>
        <v>-0.49411364250215173</v>
      </c>
      <c r="O254" s="594">
        <f t="shared" si="83"/>
        <v>-0.43864406900132946</v>
      </c>
      <c r="P254" s="594">
        <f t="shared" si="83"/>
        <v>-0.38317449550050708</v>
      </c>
      <c r="Q254" s="594">
        <f t="shared" si="83"/>
        <v>-0.32770492199968493</v>
      </c>
      <c r="R254" s="704">
        <f t="shared" si="83"/>
        <v>-0.27223534849886255</v>
      </c>
      <c r="S254" s="9"/>
      <c r="T254" s="9"/>
      <c r="U254" s="9"/>
      <c r="V254" s="9"/>
      <c r="W254" s="9"/>
      <c r="X254" s="9"/>
      <c r="Y254" s="9"/>
      <c r="Z254" s="9"/>
      <c r="AA254" s="9"/>
      <c r="AB254" s="9"/>
    </row>
    <row r="255" spans="1:28" ht="13.5" hidden="1" customHeight="1" outlineLevel="1" x14ac:dyDescent="0.25">
      <c r="A255" s="9"/>
      <c r="B255" s="9"/>
      <c r="C255" s="9"/>
      <c r="D255" s="993"/>
      <c r="E255" s="674">
        <f>$E$180*(1-$K$145)</f>
        <v>17190.60987246456</v>
      </c>
      <c r="F255" s="705">
        <v>182.56347565762897</v>
      </c>
      <c r="G255" s="706">
        <v>202.21364140726214</v>
      </c>
      <c r="H255" s="706">
        <v>221.86380715689529</v>
      </c>
      <c r="I255" s="706">
        <v>241.51397290652844</v>
      </c>
      <c r="J255" s="707">
        <v>261.16413865616158</v>
      </c>
      <c r="K255" s="9"/>
      <c r="L255" s="993"/>
      <c r="M255" s="674">
        <f t="shared" si="82"/>
        <v>17190.60987246456</v>
      </c>
      <c r="N255" s="708">
        <f t="shared" si="83"/>
        <v>-0.42023095157791934</v>
      </c>
      <c r="O255" s="484">
        <f t="shared" si="83"/>
        <v>-0.35782768138949428</v>
      </c>
      <c r="P255" s="484">
        <f t="shared" si="83"/>
        <v>-0.29542441120106921</v>
      </c>
      <c r="Q255" s="484">
        <f t="shared" si="83"/>
        <v>-0.23302114101264426</v>
      </c>
      <c r="R255" s="605">
        <f t="shared" si="83"/>
        <v>-0.17061787082421931</v>
      </c>
      <c r="S255" s="9"/>
      <c r="T255" s="9"/>
      <c r="U255" s="9"/>
      <c r="V255" s="9"/>
      <c r="W255" s="9"/>
      <c r="X255" s="9"/>
      <c r="Y255" s="9"/>
      <c r="Z255" s="9"/>
      <c r="AA255" s="9"/>
      <c r="AB255" s="9"/>
    </row>
    <row r="256" spans="1:28" ht="13.5" hidden="1" customHeight="1" outlineLevel="1" x14ac:dyDescent="0.25">
      <c r="A256" s="9"/>
      <c r="B256" s="9"/>
      <c r="C256" s="9"/>
      <c r="D256" s="993"/>
      <c r="E256" s="738">
        <f>+Q221</f>
        <v>19100.677636071734</v>
      </c>
      <c r="F256" s="705">
        <v>205.8283962027605</v>
      </c>
      <c r="G256" s="706">
        <v>227.6619137023529</v>
      </c>
      <c r="H256" s="706">
        <v>249.49543120194531</v>
      </c>
      <c r="I256" s="706">
        <v>271.32894870153774</v>
      </c>
      <c r="J256" s="707">
        <v>293.16246620113014</v>
      </c>
      <c r="K256" s="9"/>
      <c r="L256" s="993"/>
      <c r="M256" s="674">
        <f t="shared" si="82"/>
        <v>19100.677636071734</v>
      </c>
      <c r="N256" s="708">
        <f t="shared" si="83"/>
        <v>-0.34634826065368696</v>
      </c>
      <c r="O256" s="484">
        <f t="shared" si="83"/>
        <v>-0.2770112937776591</v>
      </c>
      <c r="P256" s="484">
        <f t="shared" si="83"/>
        <v>-0.20767432690163135</v>
      </c>
      <c r="Q256" s="484">
        <f t="shared" si="83"/>
        <v>-0.13833736002560337</v>
      </c>
      <c r="R256" s="605">
        <f t="shared" si="83"/>
        <v>-6.9000393149575512E-2</v>
      </c>
      <c r="S256" s="9"/>
      <c r="T256" s="9"/>
      <c r="U256" s="9"/>
      <c r="V256" s="9"/>
      <c r="W256" s="9"/>
      <c r="X256" s="9"/>
      <c r="Y256" s="9"/>
      <c r="Z256" s="9"/>
      <c r="AA256" s="9"/>
      <c r="AB256" s="9"/>
    </row>
    <row r="257" spans="1:28" ht="13.5" hidden="1" customHeight="1" outlineLevel="1" x14ac:dyDescent="0.25">
      <c r="A257" s="9"/>
      <c r="B257" s="9"/>
      <c r="C257" s="9"/>
      <c r="D257" s="993"/>
      <c r="E257" s="674">
        <f>$E$180*(1+$K$145)</f>
        <v>21010.745399678908</v>
      </c>
      <c r="F257" s="705">
        <v>229.09331674789209</v>
      </c>
      <c r="G257" s="706">
        <v>253.11018599744369</v>
      </c>
      <c r="H257" s="706">
        <v>277.12705524699533</v>
      </c>
      <c r="I257" s="706">
        <v>301.14392449654702</v>
      </c>
      <c r="J257" s="707">
        <v>325.16079374609865</v>
      </c>
      <c r="K257" s="9"/>
      <c r="L257" s="993"/>
      <c r="M257" s="674">
        <f t="shared" si="82"/>
        <v>21010.745399678908</v>
      </c>
      <c r="N257" s="708">
        <f t="shared" si="83"/>
        <v>-0.27246556972945446</v>
      </c>
      <c r="O257" s="484">
        <f t="shared" si="83"/>
        <v>-0.19619490616582391</v>
      </c>
      <c r="P257" s="484">
        <f t="shared" si="83"/>
        <v>-0.11992424260219336</v>
      </c>
      <c r="Q257" s="484">
        <f t="shared" si="83"/>
        <v>-4.3653579038562595E-2</v>
      </c>
      <c r="R257" s="605">
        <f t="shared" si="83"/>
        <v>3.2617084525067952E-2</v>
      </c>
      <c r="S257" s="9"/>
      <c r="T257" s="9"/>
      <c r="U257" s="9"/>
      <c r="V257" s="9"/>
      <c r="W257" s="9"/>
      <c r="X257" s="9"/>
      <c r="Y257" s="9"/>
      <c r="Z257" s="9"/>
      <c r="AA257" s="9"/>
      <c r="AB257" s="9"/>
    </row>
    <row r="258" spans="1:28" ht="14.25" hidden="1" customHeight="1" outlineLevel="1" x14ac:dyDescent="0.25">
      <c r="A258" s="9"/>
      <c r="B258" s="9"/>
      <c r="C258" s="9"/>
      <c r="D258" s="994"/>
      <c r="E258" s="674">
        <f>$E$180*(1+(2*$K$145))</f>
        <v>22920.813163286079</v>
      </c>
      <c r="F258" s="711">
        <v>252.35823729302359</v>
      </c>
      <c r="G258" s="712">
        <v>278.55845829253451</v>
      </c>
      <c r="H258" s="712">
        <v>304.75867929204531</v>
      </c>
      <c r="I258" s="712">
        <v>330.95890029155623</v>
      </c>
      <c r="J258" s="713">
        <v>357.15912129106709</v>
      </c>
      <c r="K258" s="9"/>
      <c r="L258" s="994"/>
      <c r="M258" s="674">
        <f t="shared" si="82"/>
        <v>22920.813163286079</v>
      </c>
      <c r="N258" s="714">
        <f t="shared" si="83"/>
        <v>-0.19858287880522218</v>
      </c>
      <c r="O258" s="602">
        <f t="shared" si="83"/>
        <v>-0.11537851855398862</v>
      </c>
      <c r="P258" s="602">
        <f t="shared" si="83"/>
        <v>-3.2174158302755496E-2</v>
      </c>
      <c r="Q258" s="602">
        <f t="shared" si="83"/>
        <v>5.1030201948478071E-2</v>
      </c>
      <c r="R258" s="715">
        <f t="shared" si="83"/>
        <v>0.13423456219971142</v>
      </c>
      <c r="S258" s="9"/>
      <c r="T258" s="9"/>
      <c r="U258" s="9"/>
      <c r="V258" s="9"/>
      <c r="W258" s="9"/>
      <c r="X258" s="9"/>
      <c r="Y258" s="9"/>
      <c r="Z258" s="9"/>
      <c r="AA258" s="9"/>
      <c r="AB258" s="9"/>
    </row>
    <row r="259" spans="1:28" ht="4.5" hidden="1" customHeight="1" outlineLevel="1" x14ac:dyDescent="0.25">
      <c r="A259" s="9"/>
      <c r="B259" s="9"/>
      <c r="C259" s="9"/>
      <c r="D259" s="741"/>
      <c r="E259" s="80"/>
      <c r="F259" s="175"/>
      <c r="G259" s="175"/>
      <c r="H259" s="175"/>
      <c r="I259" s="175"/>
      <c r="J259" s="175"/>
      <c r="K259" s="9"/>
      <c r="L259" s="741"/>
      <c r="M259" s="80"/>
      <c r="N259" s="117"/>
      <c r="O259" s="117"/>
      <c r="P259" s="117"/>
      <c r="Q259" s="117"/>
      <c r="R259" s="117"/>
      <c r="S259" s="9"/>
      <c r="T259" s="9"/>
      <c r="U259" s="9"/>
      <c r="V259" s="9"/>
      <c r="W259" s="9"/>
      <c r="X259" s="9"/>
      <c r="Y259" s="9"/>
      <c r="Z259" s="9"/>
      <c r="AA259" s="9"/>
      <c r="AB259" s="9"/>
    </row>
    <row r="260" spans="1:28" ht="13.5" customHeight="1" collapsed="1" x14ac:dyDescent="0.25">
      <c r="A260" s="205" t="s">
        <v>0</v>
      </c>
      <c r="B260" s="9"/>
      <c r="C260" s="953" t="s">
        <v>672</v>
      </c>
      <c r="D260" s="954"/>
      <c r="E260" s="954"/>
      <c r="F260" s="954"/>
      <c r="G260" s="954"/>
      <c r="H260" s="954"/>
      <c r="I260" s="954"/>
      <c r="J260" s="954"/>
      <c r="K260" s="954"/>
      <c r="L260" s="954"/>
      <c r="M260" s="954"/>
      <c r="N260" s="954"/>
      <c r="O260" s="954"/>
      <c r="P260" s="954"/>
      <c r="Q260" s="954"/>
      <c r="R260" s="955"/>
      <c r="S260" s="205" t="s">
        <v>0</v>
      </c>
      <c r="T260" s="9"/>
      <c r="U260" s="9"/>
      <c r="V260" s="9"/>
      <c r="W260" s="9"/>
      <c r="X260" s="9"/>
      <c r="Y260" s="9"/>
      <c r="Z260" s="9"/>
      <c r="AA260" s="9"/>
      <c r="AB260" s="9"/>
    </row>
    <row r="261" spans="1:28" ht="4.5" customHeight="1"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spans="1:28" ht="13.5" hidden="1" customHeight="1" outlineLevel="1" x14ac:dyDescent="0.25">
      <c r="A262" s="9"/>
      <c r="B262" s="9"/>
      <c r="C262" s="33" t="s">
        <v>238</v>
      </c>
      <c r="D262" s="34"/>
      <c r="E262" s="75" t="s">
        <v>720</v>
      </c>
      <c r="F262" s="34"/>
      <c r="G262" s="75" t="s">
        <v>755</v>
      </c>
      <c r="H262" s="75"/>
      <c r="I262" s="75" t="s">
        <v>756</v>
      </c>
      <c r="J262" s="75"/>
      <c r="K262" s="75" t="s">
        <v>718</v>
      </c>
      <c r="L262" s="75"/>
      <c r="M262" s="35" t="s">
        <v>757</v>
      </c>
      <c r="N262" s="9"/>
      <c r="O262" s="932" t="s">
        <v>758</v>
      </c>
      <c r="P262" s="933"/>
      <c r="Q262" s="933"/>
      <c r="R262" s="934"/>
      <c r="S262" s="9"/>
      <c r="T262" s="9"/>
      <c r="U262" s="9"/>
      <c r="V262" s="9"/>
      <c r="W262" s="9"/>
      <c r="X262" s="9"/>
      <c r="Y262" s="9"/>
      <c r="Z262" s="9"/>
      <c r="AA262" s="9"/>
      <c r="AB262" s="9"/>
    </row>
    <row r="263" spans="1:28" ht="4.5" hidden="1" customHeight="1" outlineLevel="1" x14ac:dyDescent="0.25">
      <c r="A263" s="9"/>
      <c r="B263" s="9"/>
      <c r="C263" s="9"/>
      <c r="D263" s="9"/>
      <c r="E263" s="9"/>
      <c r="F263" s="9"/>
      <c r="G263" s="9"/>
      <c r="H263" s="9"/>
      <c r="I263" s="9"/>
      <c r="J263" s="9"/>
      <c r="K263" s="9"/>
      <c r="L263" s="9"/>
      <c r="M263" s="9"/>
      <c r="N263" s="9"/>
      <c r="O263" s="137"/>
      <c r="P263" s="96"/>
      <c r="Q263" s="96"/>
      <c r="R263" s="223"/>
      <c r="S263" s="9"/>
      <c r="T263" s="9"/>
      <c r="U263" s="9"/>
      <c r="V263" s="9"/>
      <c r="W263" s="9"/>
      <c r="X263" s="9"/>
      <c r="Y263" s="9"/>
      <c r="Z263" s="9"/>
      <c r="AA263" s="9"/>
      <c r="AB263" s="9"/>
    </row>
    <row r="264" spans="1:28" ht="15" hidden="1" customHeight="1" outlineLevel="1" x14ac:dyDescent="0.25">
      <c r="A264" s="9"/>
      <c r="B264" s="9"/>
      <c r="C264" s="9" t="str">
        <f>'Segment Analysis'!C14</f>
        <v>Discount</v>
      </c>
      <c r="D264" s="9"/>
      <c r="E264" s="742">
        <f>SUM('Segment Analysis'!W58:X58,'Segment Analysis'!Z58:AA58)</f>
        <v>34071.952565797932</v>
      </c>
      <c r="F264" s="9"/>
      <c r="G264" s="619">
        <f>IF($G281=Comparables!$D$82,Valuation!$E$12,IF(Valuation!$G281=Comparables!$G$82,Valuation!$E$17,IF(Valuation!$G281=Comparables!$L$82,Valuation!$E$22,IF($G281=Company_Name,$D$12))))</f>
        <v>13.441634648398686</v>
      </c>
      <c r="H264" s="480"/>
      <c r="I264" s="743">
        <v>0</v>
      </c>
      <c r="J264" s="480"/>
      <c r="K264" s="480">
        <f t="shared" ref="K264:K269" si="84">G264+I264</f>
        <v>13.441634648398686</v>
      </c>
      <c r="L264" s="480"/>
      <c r="M264" s="80">
        <f t="shared" ref="M264:M269" si="85">E264*K264</f>
        <v>457982.73814702599</v>
      </c>
      <c r="N264" s="9"/>
      <c r="O264" s="135" t="s">
        <v>721</v>
      </c>
      <c r="P264" s="9"/>
      <c r="Q264" s="9"/>
      <c r="R264" s="674">
        <f>SUM($M$264:$M$269)</f>
        <v>457982.73814702599</v>
      </c>
      <c r="S264" s="9"/>
      <c r="T264" s="9"/>
      <c r="U264" s="9"/>
      <c r="V264" s="9"/>
      <c r="W264" s="9"/>
      <c r="X264" s="9"/>
      <c r="Y264" s="9"/>
      <c r="Z264" s="9"/>
      <c r="AA264" s="9"/>
      <c r="AB264" s="9"/>
    </row>
    <row r="265" spans="1:28" ht="13.5" hidden="1" customHeight="1" outlineLevel="1" x14ac:dyDescent="0.25">
      <c r="A265" s="9"/>
      <c r="B265" s="9"/>
      <c r="C265" s="9" t="str">
        <f>'Segment Analysis'!C15</f>
        <v>Net Card Fees</v>
      </c>
      <c r="D265" s="9"/>
      <c r="E265" s="742">
        <f>SUM('Segment Analysis'!W59:X59,'Segment Analysis'!Z59:AA59)</f>
        <v>0</v>
      </c>
      <c r="F265" s="9"/>
      <c r="G265" s="619">
        <f>IF($G282=Comparables!$D$82,Valuation!$E$12,IF(Valuation!$G282=Comparables!$G$82,Valuation!$E$17,IF(Valuation!$G282=Comparables!$L$82,Valuation!$E$22,IF($G282=Company_Name,$D$12))))</f>
        <v>13.441634648398686</v>
      </c>
      <c r="H265" s="480"/>
      <c r="I265" s="743">
        <v>0</v>
      </c>
      <c r="J265" s="480"/>
      <c r="K265" s="480">
        <f t="shared" si="84"/>
        <v>13.441634648398686</v>
      </c>
      <c r="L265" s="480"/>
      <c r="M265" s="80">
        <f t="shared" si="85"/>
        <v>0</v>
      </c>
      <c r="N265" s="9"/>
      <c r="O265" s="135"/>
      <c r="P265" s="9"/>
      <c r="Q265" s="9"/>
      <c r="R265" s="136"/>
      <c r="S265" s="9"/>
      <c r="T265" s="9"/>
      <c r="U265" s="9"/>
      <c r="V265" s="9"/>
      <c r="W265" s="9"/>
      <c r="X265" s="9"/>
      <c r="Y265" s="9"/>
      <c r="Z265" s="9"/>
      <c r="AA265" s="9"/>
      <c r="AB265" s="9"/>
    </row>
    <row r="266" spans="1:28" ht="13.5" hidden="1" customHeight="1" outlineLevel="1" x14ac:dyDescent="0.25">
      <c r="A266" s="9"/>
      <c r="B266" s="9"/>
      <c r="C266" s="9" t="str">
        <f>'Segment Analysis'!C16</f>
        <v>Service Fees and Other</v>
      </c>
      <c r="D266" s="9"/>
      <c r="E266" s="742">
        <f>SUM('Segment Analysis'!W60:X60,'Segment Analysis'!Z60:AA60)</f>
        <v>0</v>
      </c>
      <c r="F266" s="9"/>
      <c r="G266" s="619" t="b">
        <f>IF($G283=Comparables!$D$82,Valuation!$E$12,IF(Valuation!$G283=Comparables!$G$82,Valuation!$E$17,IF(Valuation!$G283=Comparables!$L$82,Valuation!$E$22,IF($G283=Company_Name,$D$12))))</f>
        <v>0</v>
      </c>
      <c r="H266" s="480"/>
      <c r="I266" s="743">
        <v>0</v>
      </c>
      <c r="J266" s="480"/>
      <c r="K266" s="480">
        <f t="shared" si="84"/>
        <v>0</v>
      </c>
      <c r="L266" s="480"/>
      <c r="M266" s="80">
        <f t="shared" si="85"/>
        <v>0</v>
      </c>
      <c r="N266" s="9"/>
      <c r="O266" s="135" t="s">
        <v>724</v>
      </c>
      <c r="P266" s="9"/>
      <c r="Q266" s="9"/>
      <c r="R266" s="726">
        <f t="shared" ref="R266:R271" si="86">K58</f>
        <v>0</v>
      </c>
      <c r="S266" s="9"/>
      <c r="T266" s="9"/>
      <c r="U266" s="9"/>
      <c r="V266" s="9"/>
      <c r="W266" s="9"/>
      <c r="X266" s="9"/>
      <c r="Y266" s="9"/>
      <c r="Z266" s="9"/>
      <c r="AA266" s="9"/>
      <c r="AB266" s="9"/>
    </row>
    <row r="267" spans="1:28" ht="13.5" hidden="1" customHeight="1" outlineLevel="1" x14ac:dyDescent="0.25">
      <c r="A267" s="9"/>
      <c r="B267" s="9"/>
      <c r="C267" s="9" t="str">
        <f>'Segment Analysis'!C17</f>
        <v>Interest Income</v>
      </c>
      <c r="D267" s="9"/>
      <c r="E267" s="742">
        <f>SUM('Segment Analysis'!W61:X61,'Segment Analysis'!Z61:AA61)</f>
        <v>0</v>
      </c>
      <c r="F267" s="9"/>
      <c r="G267" s="619" t="b">
        <f>IF($G284=Comparables!$D$82,Valuation!$E$12,IF(Valuation!$G284=Comparables!$G$82,Valuation!$E$17,IF(Valuation!$G284=Comparables!$L$82,Valuation!$E$22,IF($G284=Company_Name,$D$12))))</f>
        <v>0</v>
      </c>
      <c r="H267" s="480"/>
      <c r="I267" s="743">
        <v>0</v>
      </c>
      <c r="J267" s="480"/>
      <c r="K267" s="480">
        <f t="shared" si="84"/>
        <v>0</v>
      </c>
      <c r="L267" s="480"/>
      <c r="M267" s="80">
        <f t="shared" si="85"/>
        <v>0</v>
      </c>
      <c r="N267" s="9"/>
      <c r="O267" s="135" t="s">
        <v>725</v>
      </c>
      <c r="P267" s="9"/>
      <c r="Q267" s="9"/>
      <c r="R267" s="677">
        <f t="shared" si="86"/>
        <v>686</v>
      </c>
      <c r="S267" s="9"/>
      <c r="T267" s="9"/>
      <c r="U267" s="9"/>
      <c r="V267" s="9"/>
      <c r="W267" s="9"/>
      <c r="X267" s="9"/>
      <c r="Y267" s="9"/>
      <c r="Z267" s="9"/>
      <c r="AA267" s="9"/>
      <c r="AB267" s="9"/>
    </row>
    <row r="268" spans="1:28" ht="13.5" hidden="1" customHeight="1" outlineLevel="1" x14ac:dyDescent="0.25">
      <c r="A268" s="9"/>
      <c r="B268" s="9"/>
      <c r="C268" s="9">
        <f>'Segment Analysis'!C18</f>
        <v>0</v>
      </c>
      <c r="D268" s="9"/>
      <c r="E268" s="742">
        <f>SUM('Segment Analysis'!W62:X62,'Segment Analysis'!Z62:AA62)</f>
        <v>0</v>
      </c>
      <c r="F268" s="9"/>
      <c r="G268" s="619" t="b">
        <f>IF($G285=Comparables!$D$82,Valuation!$E$12,IF(Valuation!$G285=Comparables!$G$82,Valuation!$E$17,IF(Valuation!$G285=Comparables!$L$82,Valuation!$E$22,IF($G285=Company_Name,$D$12))))</f>
        <v>0</v>
      </c>
      <c r="H268" s="480"/>
      <c r="I268" s="743">
        <v>0</v>
      </c>
      <c r="J268" s="480"/>
      <c r="K268" s="480">
        <f t="shared" si="84"/>
        <v>0</v>
      </c>
      <c r="L268" s="480"/>
      <c r="M268" s="80">
        <f t="shared" si="85"/>
        <v>0</v>
      </c>
      <c r="N268" s="9"/>
      <c r="O268" s="135" t="s">
        <v>726</v>
      </c>
      <c r="P268" s="9"/>
      <c r="Q268" s="9"/>
      <c r="R268" s="677">
        <f t="shared" si="86"/>
        <v>0</v>
      </c>
      <c r="S268" s="9"/>
      <c r="T268" s="9"/>
      <c r="U268" s="9"/>
      <c r="V268" s="9"/>
      <c r="W268" s="9"/>
      <c r="X268" s="9"/>
      <c r="Y268" s="9"/>
      <c r="Z268" s="9"/>
      <c r="AA268" s="9"/>
      <c r="AB268" s="9"/>
    </row>
    <row r="269" spans="1:28" ht="13.5" hidden="1" customHeight="1" outlineLevel="1" x14ac:dyDescent="0.25">
      <c r="A269" s="9"/>
      <c r="B269" s="9"/>
      <c r="C269" s="9" t="str">
        <f>'Segment Analysis'!C19</f>
        <v>""</v>
      </c>
      <c r="D269" s="9"/>
      <c r="E269" s="742">
        <f>SUM('Segment Analysis'!W63:X63,'Segment Analysis'!Z63:AA63)</f>
        <v>4</v>
      </c>
      <c r="F269" s="9"/>
      <c r="G269" s="619" t="b">
        <f>IF($G286=Comparables!$D$82,Valuation!$E$12,IF(Valuation!$G286=Comparables!$G$82,Valuation!$E$17,IF(Valuation!$G286=Comparables!$L$82,Valuation!$E$22,IF($G286=Company_Name,$D$12))))</f>
        <v>0</v>
      </c>
      <c r="H269" s="480"/>
      <c r="I269" s="743">
        <v>0</v>
      </c>
      <c r="J269" s="480"/>
      <c r="K269" s="480">
        <f t="shared" si="84"/>
        <v>0</v>
      </c>
      <c r="L269" s="480"/>
      <c r="M269" s="80">
        <f t="shared" si="85"/>
        <v>0</v>
      </c>
      <c r="N269" s="9"/>
      <c r="O269" s="135" t="s">
        <v>727</v>
      </c>
      <c r="P269" s="9"/>
      <c r="Q269" s="9"/>
      <c r="R269" s="677">
        <f>K61</f>
        <v>0</v>
      </c>
      <c r="S269" s="9"/>
      <c r="T269" s="9"/>
      <c r="U269" s="9"/>
      <c r="V269" s="9"/>
      <c r="W269" s="9"/>
      <c r="X269" s="9"/>
      <c r="Y269" s="9"/>
      <c r="Z269" s="9"/>
      <c r="AA269" s="9"/>
      <c r="AB269" s="9"/>
    </row>
    <row r="270" spans="1:28" ht="13.5" hidden="1" customHeight="1" outlineLevel="1" x14ac:dyDescent="0.25">
      <c r="A270" s="9"/>
      <c r="B270" s="9"/>
      <c r="C270" s="9"/>
      <c r="D270" s="9"/>
      <c r="E270" s="9"/>
      <c r="F270" s="9"/>
      <c r="G270" s="9"/>
      <c r="H270" s="9"/>
      <c r="I270" s="9"/>
      <c r="J270" s="9"/>
      <c r="K270" s="9"/>
      <c r="L270" s="9"/>
      <c r="M270" s="9"/>
      <c r="N270" s="9"/>
      <c r="O270" s="135" t="s">
        <v>728</v>
      </c>
      <c r="P270" s="9"/>
      <c r="Q270" s="9"/>
      <c r="R270" s="677">
        <f t="shared" ca="1" si="86"/>
        <v>427.04329935495718</v>
      </c>
      <c r="S270" s="9"/>
      <c r="T270" s="9"/>
      <c r="U270" s="9"/>
      <c r="V270" s="9"/>
      <c r="W270" s="9"/>
      <c r="X270" s="9"/>
      <c r="Y270" s="9"/>
      <c r="Z270" s="9"/>
      <c r="AA270" s="9"/>
      <c r="AB270" s="9"/>
    </row>
    <row r="271" spans="1:28" ht="13.5" hidden="1" customHeight="1" outlineLevel="1" x14ac:dyDescent="0.25">
      <c r="A271" s="9"/>
      <c r="B271" s="645"/>
      <c r="C271" s="581"/>
      <c r="D271" s="9"/>
      <c r="E271" s="9"/>
      <c r="F271" s="9"/>
      <c r="G271" s="9"/>
      <c r="H271" s="9"/>
      <c r="I271" s="9"/>
      <c r="J271" s="9"/>
      <c r="K271" s="9"/>
      <c r="L271" s="9"/>
      <c r="M271" s="9"/>
      <c r="N271" s="9"/>
      <c r="O271" s="135" t="s">
        <v>729</v>
      </c>
      <c r="P271" s="95"/>
      <c r="Q271" s="9"/>
      <c r="R271" s="729">
        <f t="shared" ca="1" si="86"/>
        <v>0.3620058026247277</v>
      </c>
      <c r="S271" s="9"/>
      <c r="T271" s="9"/>
      <c r="U271" s="9"/>
      <c r="V271" s="9"/>
      <c r="W271" s="9"/>
      <c r="X271" s="9"/>
      <c r="Y271" s="9"/>
      <c r="Z271" s="9"/>
      <c r="AA271" s="9"/>
      <c r="AB271" s="9"/>
    </row>
    <row r="272" spans="1:28" ht="13.5" hidden="1" customHeight="1" outlineLevel="1" x14ac:dyDescent="0.25">
      <c r="A272" s="9"/>
      <c r="B272" s="645"/>
      <c r="C272" s="9"/>
      <c r="D272" s="64"/>
      <c r="E272" s="64"/>
      <c r="F272" s="280"/>
      <c r="G272" s="280"/>
      <c r="H272" s="280"/>
      <c r="I272" s="280"/>
      <c r="J272" s="280"/>
      <c r="K272" s="9"/>
      <c r="L272" s="9"/>
      <c r="M272" s="9"/>
      <c r="N272" s="9"/>
      <c r="O272" s="137"/>
      <c r="P272" s="9"/>
      <c r="Q272" s="96"/>
      <c r="R272" s="136"/>
      <c r="S272" s="9"/>
      <c r="T272" s="9"/>
      <c r="U272" s="9"/>
      <c r="V272" s="9"/>
      <c r="W272" s="9"/>
      <c r="X272" s="9"/>
      <c r="Y272" s="9"/>
      <c r="Z272" s="9"/>
      <c r="AA272" s="9"/>
      <c r="AB272" s="9"/>
    </row>
    <row r="273" spans="1:28" ht="13.5" hidden="1" customHeight="1" outlineLevel="1" x14ac:dyDescent="0.25">
      <c r="A273" s="9"/>
      <c r="B273" s="645"/>
      <c r="C273" s="64"/>
      <c r="D273" s="651"/>
      <c r="E273" s="651"/>
      <c r="F273" s="651"/>
      <c r="G273" s="651"/>
      <c r="H273" s="651"/>
      <c r="I273" s="651"/>
      <c r="J273" s="651"/>
      <c r="K273" s="9"/>
      <c r="L273" s="9"/>
      <c r="M273" s="9"/>
      <c r="N273" s="9"/>
      <c r="O273" s="135" t="s">
        <v>730</v>
      </c>
      <c r="P273" s="9"/>
      <c r="Q273" s="9"/>
      <c r="R273" s="724">
        <f ca="1">SUM(R264:R271)</f>
        <v>477060.59346683364</v>
      </c>
      <c r="S273" s="9"/>
      <c r="T273" s="9"/>
      <c r="U273" s="9"/>
      <c r="V273" s="9"/>
      <c r="W273" s="9"/>
      <c r="X273" s="9"/>
      <c r="Y273" s="9"/>
      <c r="Z273" s="9"/>
      <c r="AA273" s="9"/>
      <c r="AB273" s="9"/>
    </row>
    <row r="274" spans="1:28" ht="13.5" hidden="1" customHeight="1" outlineLevel="1" x14ac:dyDescent="0.25">
      <c r="A274" s="9"/>
      <c r="B274" s="9"/>
      <c r="C274" s="64"/>
      <c r="D274" s="651"/>
      <c r="E274" s="651"/>
      <c r="F274" s="651"/>
      <c r="G274" s="651"/>
      <c r="H274" s="651"/>
      <c r="I274" s="651"/>
      <c r="J274" s="651"/>
      <c r="K274" s="9"/>
      <c r="L274" s="9"/>
      <c r="M274" s="9"/>
      <c r="N274" s="9"/>
      <c r="O274" s="135" t="s">
        <v>390</v>
      </c>
      <c r="P274" s="9"/>
      <c r="Q274" s="9"/>
      <c r="R274" s="739">
        <f>Diluted_Shares</f>
        <v>686</v>
      </c>
      <c r="S274" s="9"/>
      <c r="T274" s="9"/>
      <c r="U274" s="9"/>
      <c r="V274" s="9"/>
      <c r="W274" s="9"/>
      <c r="X274" s="9"/>
      <c r="Y274" s="9"/>
      <c r="Z274" s="9"/>
      <c r="AA274" s="9"/>
      <c r="AB274" s="9"/>
    </row>
    <row r="275" spans="1:28" ht="13.5" hidden="1" customHeight="1" outlineLevel="1" x14ac:dyDescent="0.25">
      <c r="A275" s="9"/>
      <c r="B275" s="9"/>
      <c r="C275" s="9"/>
      <c r="D275" s="9"/>
      <c r="E275" s="9"/>
      <c r="F275" s="9"/>
      <c r="G275" s="9"/>
      <c r="H275" s="9"/>
      <c r="I275" s="9"/>
      <c r="J275" s="9"/>
      <c r="K275" s="9"/>
      <c r="L275" s="9"/>
      <c r="M275" s="9"/>
      <c r="N275" s="9"/>
      <c r="O275" s="135"/>
      <c r="P275" s="9"/>
      <c r="Q275" s="9"/>
      <c r="R275" s="136"/>
      <c r="S275" s="9"/>
      <c r="T275" s="9"/>
      <c r="U275" s="9"/>
      <c r="V275" s="9"/>
      <c r="W275" s="9"/>
      <c r="X275" s="9"/>
      <c r="Y275" s="9"/>
      <c r="Z275" s="9"/>
      <c r="AA275" s="9"/>
      <c r="AB275" s="9"/>
    </row>
    <row r="276" spans="1:28" ht="13.5" hidden="1" customHeight="1" outlineLevel="1" x14ac:dyDescent="0.25">
      <c r="A276" s="9"/>
      <c r="B276" s="9"/>
      <c r="C276" s="581"/>
      <c r="D276" s="9"/>
      <c r="E276" s="9"/>
      <c r="F276" s="9"/>
      <c r="G276" s="9"/>
      <c r="H276" s="9"/>
      <c r="I276" s="9"/>
      <c r="J276" s="9"/>
      <c r="K276" s="9"/>
      <c r="L276" s="9"/>
      <c r="M276" s="9"/>
      <c r="N276" s="9"/>
      <c r="O276" s="135" t="s">
        <v>722</v>
      </c>
      <c r="P276" s="9"/>
      <c r="Q276" s="9"/>
      <c r="R276" s="724">
        <f ca="1">R273/R274</f>
        <v>686.81295258341436</v>
      </c>
      <c r="S276" s="9"/>
      <c r="T276" s="9"/>
      <c r="U276" s="9"/>
      <c r="V276" s="9"/>
      <c r="W276" s="9"/>
      <c r="X276" s="9"/>
      <c r="Y276" s="9"/>
      <c r="Z276" s="9"/>
      <c r="AA276" s="9"/>
      <c r="AB276" s="9"/>
    </row>
    <row r="277" spans="1:28" ht="13.5" hidden="1" customHeight="1" outlineLevel="1" x14ac:dyDescent="0.25">
      <c r="A277" s="9"/>
      <c r="B277" s="9"/>
      <c r="C277" s="9"/>
      <c r="D277" s="64"/>
      <c r="E277" s="64"/>
      <c r="F277" s="64"/>
      <c r="G277" s="64"/>
      <c r="H277" s="64"/>
      <c r="I277" s="64"/>
      <c r="J277" s="64"/>
      <c r="K277" s="9"/>
      <c r="L277" s="9"/>
      <c r="M277" s="9"/>
      <c r="N277" s="9"/>
      <c r="O277" s="247" t="s">
        <v>723</v>
      </c>
      <c r="P277" s="95"/>
      <c r="Q277" s="95"/>
      <c r="R277" s="684">
        <f ca="1">R276/Share_Price-1</f>
        <v>1.190511426240398</v>
      </c>
      <c r="S277" s="9"/>
      <c r="T277" s="9"/>
      <c r="U277" s="9"/>
      <c r="V277" s="9"/>
      <c r="W277" s="9"/>
      <c r="X277" s="9"/>
      <c r="Y277" s="9"/>
      <c r="Z277" s="9"/>
      <c r="AA277" s="9"/>
      <c r="AB277" s="9"/>
    </row>
    <row r="278" spans="1:28" ht="4.5" hidden="1" customHeight="1" outlineLevel="1" x14ac:dyDescent="0.25">
      <c r="A278" s="9"/>
      <c r="B278" s="9"/>
      <c r="C278" s="64"/>
      <c r="D278" s="651"/>
      <c r="E278" s="651"/>
      <c r="F278" s="651"/>
      <c r="G278" s="651"/>
      <c r="H278" s="651"/>
      <c r="I278" s="651"/>
      <c r="J278" s="651"/>
      <c r="K278" s="9"/>
      <c r="L278" s="9"/>
      <c r="M278" s="9"/>
      <c r="N278" s="9"/>
      <c r="O278" s="9"/>
      <c r="P278" s="9"/>
      <c r="Q278" s="9"/>
      <c r="R278" s="9"/>
      <c r="S278" s="9"/>
      <c r="T278" s="9"/>
      <c r="U278" s="9"/>
      <c r="V278" s="9"/>
      <c r="W278" s="9"/>
      <c r="X278" s="9"/>
      <c r="Y278" s="9"/>
      <c r="Z278" s="9"/>
      <c r="AA278" s="9"/>
      <c r="AB278" s="9"/>
    </row>
    <row r="279" spans="1:28" ht="13.5" hidden="1" customHeight="1" outlineLevel="1" x14ac:dyDescent="0.25">
      <c r="A279" s="205" t="s">
        <v>0</v>
      </c>
      <c r="B279" s="9"/>
      <c r="C279" s="445" t="s">
        <v>42</v>
      </c>
      <c r="D279" s="446"/>
      <c r="E279" s="446"/>
      <c r="F279" s="446"/>
      <c r="G279" s="744"/>
      <c r="H279" s="744"/>
      <c r="I279" s="744"/>
      <c r="J279" s="744"/>
      <c r="K279" s="744"/>
      <c r="L279" s="744"/>
      <c r="M279" s="744"/>
      <c r="N279" s="744"/>
      <c r="O279" s="744"/>
      <c r="P279" s="744"/>
      <c r="Q279" s="744"/>
      <c r="R279" s="745"/>
      <c r="S279" s="205" t="s">
        <v>0</v>
      </c>
      <c r="T279" s="9"/>
      <c r="U279" s="9"/>
      <c r="V279" s="9"/>
      <c r="W279" s="9"/>
      <c r="X279" s="9"/>
      <c r="Y279" s="9"/>
      <c r="Z279" s="9"/>
      <c r="AA279" s="9"/>
      <c r="AB279" s="9"/>
    </row>
    <row r="280" spans="1:28" ht="4.5" hidden="1" customHeight="1" outlineLevel="1"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spans="1:28" ht="13.5" hidden="1" customHeight="1" outlineLevel="1" x14ac:dyDescent="0.25">
      <c r="A281" s="9"/>
      <c r="B281" s="9"/>
      <c r="C281" s="9" t="str">
        <f t="shared" ref="C281:C286" si="87">"Multiple Used for "&amp;C264</f>
        <v>Multiple Used for Discount</v>
      </c>
      <c r="D281" s="9"/>
      <c r="E281" s="9"/>
      <c r="F281" s="9"/>
      <c r="G281" s="32" t="s">
        <v>515</v>
      </c>
      <c r="H281" s="9"/>
      <c r="I281" s="9"/>
      <c r="J281" s="9"/>
      <c r="K281" s="9"/>
      <c r="L281" s="9"/>
      <c r="M281" s="9"/>
      <c r="N281" s="9"/>
      <c r="O281" s="9"/>
      <c r="P281" s="9"/>
      <c r="Q281" s="9"/>
      <c r="R281" s="9"/>
      <c r="S281" s="9"/>
      <c r="T281" s="9"/>
      <c r="U281" s="9"/>
      <c r="V281" s="9"/>
      <c r="W281" s="9"/>
      <c r="X281" s="9"/>
      <c r="Y281" s="9"/>
      <c r="Z281" s="9"/>
      <c r="AA281" s="9"/>
      <c r="AB281" s="9"/>
    </row>
    <row r="282" spans="1:28" ht="13.5" hidden="1" customHeight="1" outlineLevel="1" x14ac:dyDescent="0.25">
      <c r="A282" s="9"/>
      <c r="B282" s="9"/>
      <c r="C282" s="9" t="str">
        <f t="shared" si="87"/>
        <v>Multiple Used for Net Card Fees</v>
      </c>
      <c r="D282" s="9"/>
      <c r="E282" s="9"/>
      <c r="F282" s="9"/>
      <c r="G282" s="32" t="s">
        <v>515</v>
      </c>
      <c r="H282" s="9"/>
      <c r="I282" s="9"/>
      <c r="J282" s="9"/>
      <c r="K282" s="9"/>
      <c r="L282" s="9"/>
      <c r="M282" s="9"/>
      <c r="N282" s="9"/>
      <c r="O282" s="9"/>
      <c r="P282" s="9"/>
      <c r="Q282" s="9"/>
      <c r="R282" s="9"/>
      <c r="S282" s="9"/>
      <c r="T282" s="9"/>
      <c r="U282" s="9"/>
      <c r="V282" s="9"/>
      <c r="W282" s="9"/>
      <c r="X282" s="9"/>
      <c r="Y282" s="9"/>
      <c r="Z282" s="9"/>
      <c r="AA282" s="9"/>
      <c r="AB282" s="9"/>
    </row>
    <row r="283" spans="1:28" ht="13.5" hidden="1" customHeight="1" outlineLevel="1" x14ac:dyDescent="0.25">
      <c r="A283" s="9"/>
      <c r="B283" s="9"/>
      <c r="C283" s="9" t="str">
        <f t="shared" si="87"/>
        <v>Multiple Used for Service Fees and Other</v>
      </c>
      <c r="D283" s="9"/>
      <c r="E283" s="9"/>
      <c r="F283" s="9"/>
      <c r="G283" s="32" t="s">
        <v>759</v>
      </c>
      <c r="H283" s="9"/>
      <c r="I283" s="9"/>
      <c r="J283" s="9"/>
      <c r="K283" s="9"/>
      <c r="L283" s="9"/>
      <c r="M283" s="9"/>
      <c r="N283" s="9"/>
      <c r="O283" s="9"/>
      <c r="P283" s="9"/>
      <c r="Q283" s="9"/>
      <c r="R283" s="9"/>
      <c r="S283" s="9"/>
      <c r="T283" s="9"/>
      <c r="U283" s="9"/>
      <c r="V283" s="9"/>
      <c r="W283" s="9"/>
      <c r="X283" s="9"/>
      <c r="Y283" s="9"/>
      <c r="Z283" s="9"/>
      <c r="AA283" s="9"/>
      <c r="AB283" s="9"/>
    </row>
    <row r="284" spans="1:28" ht="13.5" hidden="1" customHeight="1" outlineLevel="1" x14ac:dyDescent="0.25">
      <c r="A284" s="9"/>
      <c r="B284" s="9"/>
      <c r="C284" s="9" t="str">
        <f t="shared" si="87"/>
        <v>Multiple Used for Interest Income</v>
      </c>
      <c r="D284" s="9"/>
      <c r="E284" s="9"/>
      <c r="F284" s="9"/>
      <c r="G284" s="32" t="s">
        <v>759</v>
      </c>
      <c r="H284" s="9"/>
      <c r="I284" s="9"/>
      <c r="J284" s="9"/>
      <c r="K284" s="9"/>
      <c r="L284" s="9"/>
      <c r="M284" s="9"/>
      <c r="N284" s="9"/>
      <c r="O284" s="9"/>
      <c r="P284" s="9"/>
      <c r="Q284" s="9"/>
      <c r="R284" s="9"/>
      <c r="S284" s="9"/>
      <c r="T284" s="9"/>
      <c r="U284" s="9"/>
      <c r="V284" s="9"/>
      <c r="W284" s="9"/>
      <c r="X284" s="9"/>
      <c r="Y284" s="9"/>
      <c r="Z284" s="9"/>
      <c r="AA284" s="9"/>
      <c r="AB284" s="9"/>
    </row>
    <row r="285" spans="1:28" ht="13.5" hidden="1" customHeight="1" outlineLevel="1" x14ac:dyDescent="0.25">
      <c r="A285" s="9"/>
      <c r="B285" s="9"/>
      <c r="C285" s="9" t="str">
        <f t="shared" si="87"/>
        <v>Multiple Used for 0</v>
      </c>
      <c r="D285" s="9"/>
      <c r="E285" s="9"/>
      <c r="F285" s="9"/>
      <c r="G285" s="32" t="s">
        <v>759</v>
      </c>
      <c r="H285" s="9"/>
      <c r="I285" s="9"/>
      <c r="J285" s="9"/>
      <c r="K285" s="9"/>
      <c r="L285" s="9"/>
      <c r="M285" s="9"/>
      <c r="N285" s="9"/>
      <c r="O285" s="9"/>
      <c r="P285" s="9"/>
      <c r="Q285" s="9"/>
      <c r="R285" s="9"/>
      <c r="S285" s="9"/>
      <c r="T285" s="9"/>
      <c r="U285" s="9"/>
      <c r="V285" s="9"/>
      <c r="W285" s="9"/>
      <c r="X285" s="9"/>
      <c r="Y285" s="9"/>
      <c r="Z285" s="9"/>
      <c r="AA285" s="9"/>
      <c r="AB285" s="9"/>
    </row>
    <row r="286" spans="1:28" ht="13.5" hidden="1" customHeight="1" outlineLevel="1" x14ac:dyDescent="0.25">
      <c r="A286" s="9"/>
      <c r="B286" s="9"/>
      <c r="C286" s="9" t="str">
        <f t="shared" si="87"/>
        <v>Multiple Used for ""</v>
      </c>
      <c r="D286" s="9"/>
      <c r="E286" s="9"/>
      <c r="F286" s="9"/>
      <c r="G286" s="32" t="s">
        <v>759</v>
      </c>
      <c r="H286" s="9"/>
      <c r="I286" s="9"/>
      <c r="J286" s="9"/>
      <c r="K286" s="9"/>
      <c r="L286" s="9"/>
      <c r="M286" s="9"/>
      <c r="N286" s="9"/>
      <c r="O286" s="9"/>
      <c r="P286" s="9"/>
      <c r="Q286" s="9"/>
      <c r="R286" s="9"/>
      <c r="S286" s="9"/>
      <c r="T286" s="9"/>
      <c r="U286" s="9"/>
      <c r="V286" s="9"/>
      <c r="W286" s="9"/>
      <c r="X286" s="9"/>
      <c r="Y286" s="9"/>
      <c r="Z286" s="9"/>
      <c r="AA286" s="9"/>
      <c r="AB286" s="9"/>
    </row>
    <row r="287" spans="1:28" ht="13.5" hidden="1" customHeight="1" outlineLevel="1"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spans="1:28" ht="13.5" customHeight="1" collapsed="1" x14ac:dyDescent="0.25">
      <c r="A288" s="205" t="s">
        <v>0</v>
      </c>
      <c r="B288" s="205" t="s">
        <v>0</v>
      </c>
      <c r="C288" s="746" t="s">
        <v>256</v>
      </c>
      <c r="D288" s="76"/>
      <c r="E288" s="76"/>
      <c r="F288" s="76"/>
      <c r="G288" s="78"/>
      <c r="H288" s="78"/>
      <c r="I288" s="78"/>
      <c r="J288" s="78"/>
      <c r="K288" s="78"/>
      <c r="L288" s="78"/>
      <c r="M288" s="78"/>
      <c r="N288" s="78"/>
      <c r="O288" s="78"/>
      <c r="P288" s="78"/>
      <c r="Q288" s="78"/>
      <c r="R288" s="78"/>
      <c r="S288" s="205" t="s">
        <v>0</v>
      </c>
      <c r="T288" s="9"/>
      <c r="U288" s="9"/>
      <c r="V288" s="9"/>
      <c r="W288" s="9"/>
      <c r="X288" s="9"/>
      <c r="Y288" s="9"/>
      <c r="Z288" s="9"/>
      <c r="AA288" s="9"/>
      <c r="AB288" s="9"/>
    </row>
    <row r="289" spans="1:28" ht="13.5" customHeight="1"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2"/>
      <c r="Y289" s="2"/>
      <c r="Z289" s="2"/>
      <c r="AA289" s="2"/>
      <c r="AB289" s="2"/>
    </row>
    <row r="290" spans="1:28" ht="13.5" customHeight="1"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2"/>
      <c r="Y290" s="2"/>
      <c r="Z290" s="2"/>
      <c r="AA290" s="2"/>
      <c r="AB290" s="2"/>
    </row>
    <row r="291" spans="1:28" ht="13.5" customHeight="1" x14ac:dyDescent="0.25">
      <c r="A291" s="205"/>
      <c r="B291" s="205"/>
      <c r="C291" s="9"/>
      <c r="D291" s="9"/>
      <c r="E291" s="9"/>
      <c r="F291" s="9"/>
      <c r="G291" s="9"/>
      <c r="H291" s="9"/>
      <c r="I291" s="9"/>
      <c r="J291" s="9"/>
      <c r="K291" s="9"/>
      <c r="L291" s="9"/>
      <c r="M291" s="9"/>
      <c r="N291" s="9"/>
      <c r="O291" s="9"/>
      <c r="P291" s="9"/>
      <c r="Q291" s="9"/>
      <c r="R291" s="9"/>
      <c r="S291" s="9"/>
      <c r="T291" s="9"/>
      <c r="U291" s="9"/>
      <c r="V291" s="9"/>
      <c r="W291" s="9"/>
      <c r="X291" s="2"/>
      <c r="Y291" s="2"/>
      <c r="Z291" s="2"/>
      <c r="AA291" s="2"/>
      <c r="AB291" s="2"/>
    </row>
    <row r="292" spans="1:28" ht="13.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3.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3.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3.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3.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3.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3.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3.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3.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3.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3.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3.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3.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3.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3.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3.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3.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3.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3.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3.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3.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3.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3.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3.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3.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3.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3.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3.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3.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3.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3.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3.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3.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3.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3.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3.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3.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3.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3.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3.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3.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3.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3.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3.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3.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3.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3.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3.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3.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3.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3.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3.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3.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3.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3.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3.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3.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3.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3.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3.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3.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3.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3.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3.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3.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3.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3.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3.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3.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3.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3.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3.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3.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3.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3.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3.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3.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3.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3.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3.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3.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3.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3.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3.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3.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3.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3.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3.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3.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3.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3.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3.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3.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3.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3.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3.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3.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3.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3.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3.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3.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3.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3.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3.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3.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3.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3.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3.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3.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3.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3.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3.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3.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3.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3.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3.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3.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3.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3.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3.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3.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3.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3.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3.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3.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3.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3.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3.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3.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3.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3.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3.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3.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3.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3.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3.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3.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3.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3.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3.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3.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3.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3.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3.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3.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3.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3.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3.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3.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3.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3.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3.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3.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3.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3.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3.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3.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3.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3.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3.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3.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3.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3.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3.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3.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3.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3.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3.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3.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3.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3.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3.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3.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3.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3.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3.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3.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3.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3.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3.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3.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3.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3.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3.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3.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3.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3.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3.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3.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3.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3.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3.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3.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3.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3.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3.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3.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3.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3.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3.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3.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3.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3.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3.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3.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3.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3.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3.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3.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3.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3.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3.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3.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3.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3.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3.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3.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3.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3.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3.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3.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3.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3.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3.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3.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3.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3.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3.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3.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3.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3.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3.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3.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3.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3.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3.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3.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3.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3.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3.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3.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3.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3.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3.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3.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3.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3.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3.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3.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3.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3.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3.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3.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3.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3.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3.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3.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3.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3.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3.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3.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3.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3.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3.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3.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3.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3.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3.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3.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3.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3.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3.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3.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3.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3.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3.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3.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3.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3.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3.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3.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3.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3.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3.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3.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3.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3.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3.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3.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3.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3.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3.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3.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3.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3.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3.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3.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3.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3.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3.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3.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3.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3.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3.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3.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3.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3.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3.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3.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3.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3.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3.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3.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3.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3.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3.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3.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3.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3.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3.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3.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3.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3.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3.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3.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3.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3.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3.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3.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3.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3.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3.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3.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3.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3.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3.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3.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3.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3.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3.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3.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3.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3.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3.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3.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3.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3.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3.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3.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3.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3.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3.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3.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3.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3.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3.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3.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3.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3.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3.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3.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3.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3.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3.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3.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3.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3.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3.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3.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3.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3.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3.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3.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3.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3.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3.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3.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3.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3.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3.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3.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3.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3.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3.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3.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3.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3.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3.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3.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3.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3.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3.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3.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3.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3.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3.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3.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3.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3.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3.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3.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3.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3.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3.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3.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3.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3.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3.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3.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3.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3.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3.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3.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3.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3.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3.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3.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3.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3.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3.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3.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3.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3.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3.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3.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3.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3.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3.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3.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3.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3.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3.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3.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3.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3.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3.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3.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3.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3.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3.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3.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3.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3.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3.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3.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3.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3.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3.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3.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3.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3.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3.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3.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3.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3.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3.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3.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3.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3.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3.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3.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3.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3.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3.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3.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3.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3.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3.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3.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3.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3.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3.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3.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3.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3.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3.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3.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3.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3.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3.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3.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3.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3.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3.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3.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3.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3.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3.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3.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3.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3.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3.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3.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3.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3.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3.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3.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3.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3.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3.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3.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3.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3.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3.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3.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3.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3.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3.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3.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3.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3.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3.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3.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3.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3.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3.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3.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3.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3.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3.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3.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3.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3.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3.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3.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3.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3.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3.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3.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3.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3.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3.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3.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3.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3.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3.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3.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3.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3.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3.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3.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3.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3.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3.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3.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3.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3.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3.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3.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3.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3.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3.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3.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3.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3.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3.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3.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3.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3.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3.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3.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3.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3.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3.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3.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3.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3.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3.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3.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3.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3.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3.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3.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3.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3.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3.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3.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3.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3.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3.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3.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3.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3.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3.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3.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3.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3.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3.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3.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3.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3.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3.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3.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3.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3.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3.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3.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3.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3.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3.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3.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3.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3.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3.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3.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3.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3.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3.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3.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3.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3.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3.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3.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3.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3.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3.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3.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3.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3.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3.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3.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3.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3.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3.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3.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3.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3.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3.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3.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3.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3.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3.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3.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3.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3.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3.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3.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3.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3.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3.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3.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3.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3.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3.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3.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3.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3.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3.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3.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3.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3.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3.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3.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3.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3.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3.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3.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3.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3.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3.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3.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3.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3.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3.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3.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3.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3.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3.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3.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3.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3.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3.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3.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3.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3.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3.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3.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3.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3.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3.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3.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3.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3.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3.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3.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3.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3.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3.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3.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3.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3.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3.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13.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13.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13.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13.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13.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13.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13.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row>
    <row r="991" spans="1:28" ht="13.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row>
    <row r="992" spans="1:28" ht="13.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row>
  </sheetData>
  <mergeCells count="82">
    <mergeCell ref="F168:J168"/>
    <mergeCell ref="N168:R168"/>
    <mergeCell ref="D170:D174"/>
    <mergeCell ref="L170:L174"/>
    <mergeCell ref="F176:J176"/>
    <mergeCell ref="N176:R176"/>
    <mergeCell ref="D178:D182"/>
    <mergeCell ref="L178:L182"/>
    <mergeCell ref="C184:R184"/>
    <mergeCell ref="D186:F186"/>
    <mergeCell ref="H186:J186"/>
    <mergeCell ref="L186:N186"/>
    <mergeCell ref="P186:R186"/>
    <mergeCell ref="C210:R210"/>
    <mergeCell ref="K212:L212"/>
    <mergeCell ref="M212:N212"/>
    <mergeCell ref="O212:P212"/>
    <mergeCell ref="K213:L213"/>
    <mergeCell ref="M213:N213"/>
    <mergeCell ref="O213:P213"/>
    <mergeCell ref="K214:L214"/>
    <mergeCell ref="M214:N214"/>
    <mergeCell ref="O214:P214"/>
    <mergeCell ref="C217:R217"/>
    <mergeCell ref="D226:J226"/>
    <mergeCell ref="L226:R226"/>
    <mergeCell ref="F228:J228"/>
    <mergeCell ref="N228:R228"/>
    <mergeCell ref="D238:D242"/>
    <mergeCell ref="D246:D250"/>
    <mergeCell ref="D254:D258"/>
    <mergeCell ref="F244:J244"/>
    <mergeCell ref="F252:J252"/>
    <mergeCell ref="L254:L258"/>
    <mergeCell ref="N252:R252"/>
    <mergeCell ref="C260:R260"/>
    <mergeCell ref="O262:R262"/>
    <mergeCell ref="D230:D234"/>
    <mergeCell ref="L230:L234"/>
    <mergeCell ref="F236:J236"/>
    <mergeCell ref="N236:R236"/>
    <mergeCell ref="L238:L242"/>
    <mergeCell ref="N244:R244"/>
    <mergeCell ref="L246:L250"/>
    <mergeCell ref="G49:K49"/>
    <mergeCell ref="X49:AB49"/>
    <mergeCell ref="C73:R73"/>
    <mergeCell ref="I75:J75"/>
    <mergeCell ref="C4:R4"/>
    <mergeCell ref="L6:R6"/>
    <mergeCell ref="C9:J9"/>
    <mergeCell ref="C14:J14"/>
    <mergeCell ref="C19:J19"/>
    <mergeCell ref="C82:R82"/>
    <mergeCell ref="D87:J87"/>
    <mergeCell ref="L87:R87"/>
    <mergeCell ref="N89:R89"/>
    <mergeCell ref="D99:D103"/>
    <mergeCell ref="N97:R97"/>
    <mergeCell ref="D108:F108"/>
    <mergeCell ref="F89:J89"/>
    <mergeCell ref="D91:D95"/>
    <mergeCell ref="L91:L95"/>
    <mergeCell ref="F97:J97"/>
    <mergeCell ref="L99:L103"/>
    <mergeCell ref="C106:R106"/>
    <mergeCell ref="H108:J108"/>
    <mergeCell ref="L108:N108"/>
    <mergeCell ref="P108:R108"/>
    <mergeCell ref="C132:R132"/>
    <mergeCell ref="J134:K134"/>
    <mergeCell ref="C141:R141"/>
    <mergeCell ref="L150:R150"/>
    <mergeCell ref="L154:L158"/>
    <mergeCell ref="L162:L166"/>
    <mergeCell ref="D150:J150"/>
    <mergeCell ref="F152:J152"/>
    <mergeCell ref="N152:R152"/>
    <mergeCell ref="D154:D158"/>
    <mergeCell ref="F160:J160"/>
    <mergeCell ref="N160:R160"/>
    <mergeCell ref="D162:D166"/>
  </mergeCells>
  <conditionalFormatting sqref="C7:G7 R51:R52 K51:K53 K55:K58 R56 R58:R71 K60:K63 AB60:AB64 AB67:AB68 K70 G75:G79 E84:P85 H98 E101 F110:F119 N110:N123 N125:N130 G134:G137 H153 E156 H161 E164 H169 E172 H177 E180 N188:N196 F188:F197 N203:N208 G212:G215 H229 E232 H237 E240 H245 E248 H253 E256 R264:R266 I264:I269 R272:R277">
    <cfRule type="expression" dxfId="123" priority="24">
      <formula>$R$2="Report"</formula>
    </cfRule>
  </conditionalFormatting>
  <conditionalFormatting sqref="F84">
    <cfRule type="expression" dxfId="122" priority="25">
      <formula>F84&lt;&gt;0</formula>
    </cfRule>
    <cfRule type="expression" dxfId="121" priority="28">
      <formula>$AQ$2="Report"</formula>
    </cfRule>
    <cfRule type="expression" dxfId="120" priority="27">
      <formula>F84&lt;&gt;0</formula>
    </cfRule>
    <cfRule type="expression" dxfId="119" priority="26">
      <formula>$AQ$2="Report"</formula>
    </cfRule>
  </conditionalFormatting>
  <conditionalFormatting sqref="F113">
    <cfRule type="cellIs" dxfId="118" priority="29" operator="between">
      <formula>0.15</formula>
      <formula>0.3</formula>
    </cfRule>
  </conditionalFormatting>
  <conditionalFormatting sqref="F123:F124">
    <cfRule type="expression" dxfId="117" priority="30">
      <formula>$R$2="Report"</formula>
    </cfRule>
  </conditionalFormatting>
  <conditionalFormatting sqref="F143">
    <cfRule type="expression" dxfId="116" priority="33">
      <formula>$AQ$2="Report"</formula>
    </cfRule>
    <cfRule type="expression" dxfId="115" priority="32">
      <formula>F143&lt;&gt;0</formula>
    </cfRule>
    <cfRule type="expression" dxfId="114" priority="31">
      <formula>$R$2="Report"</formula>
    </cfRule>
  </conditionalFormatting>
  <conditionalFormatting sqref="F146">
    <cfRule type="expression" dxfId="113" priority="36">
      <formula>$AQ$2="Report"</formula>
    </cfRule>
    <cfRule type="expression" dxfId="112" priority="35">
      <formula>F146&lt;&gt;0</formula>
    </cfRule>
    <cfRule type="expression" dxfId="111" priority="34">
      <formula>$R$2="Report"</formula>
    </cfRule>
  </conditionalFormatting>
  <conditionalFormatting sqref="F191">
    <cfRule type="cellIs" dxfId="110" priority="37" operator="between">
      <formula>0.15</formula>
      <formula>0.3</formula>
    </cfRule>
  </conditionalFormatting>
  <conditionalFormatting sqref="F219">
    <cfRule type="expression" dxfId="109" priority="38">
      <formula>$R$2="Report"</formula>
    </cfRule>
  </conditionalFormatting>
  <conditionalFormatting sqref="F219:F221">
    <cfRule type="expression" dxfId="108" priority="39">
      <formula>F219&lt;&gt;0</formula>
    </cfRule>
    <cfRule type="expression" dxfId="107" priority="40">
      <formula>$AQ$2="Report"</formula>
    </cfRule>
  </conditionalFormatting>
  <conditionalFormatting sqref="F222">
    <cfRule type="expression" dxfId="106" priority="41">
      <formula>$R$2="Report"</formula>
    </cfRule>
  </conditionalFormatting>
  <conditionalFormatting sqref="F222:F223">
    <cfRule type="expression" dxfId="105" priority="43">
      <formula>$AQ$2="Report"</formula>
    </cfRule>
    <cfRule type="expression" dxfId="104" priority="42">
      <formula>F222&lt;&gt;0</formula>
    </cfRule>
  </conditionalFormatting>
  <conditionalFormatting sqref="G50:S51 G52:K52 M52:R52 G53:Q53 S53:S55 G54:J54 L54:Q54 G55:Q55 G56:S56 G57:Q57 S57 G58:S58 G59:J59 L59:S59 G60:S63 X60:AB64 M64:S64 M65 R65:S65 X65:AA66 M66:S69 L119:L125">
    <cfRule type="expression" dxfId="103" priority="44">
      <formula>$R$4=1</formula>
    </cfRule>
  </conditionalFormatting>
  <conditionalFormatting sqref="H90 E93">
    <cfRule type="expression" dxfId="102" priority="45">
      <formula>$R$2="Report"</formula>
    </cfRule>
  </conditionalFormatting>
  <conditionalFormatting sqref="H136">
    <cfRule type="cellIs" dxfId="101" priority="46" operator="equal">
      <formula>"FALSE"</formula>
    </cfRule>
  </conditionalFormatting>
  <conditionalFormatting sqref="H214">
    <cfRule type="cellIs" dxfId="100" priority="47" operator="equal">
      <formula>"FALSE"</formula>
    </cfRule>
  </conditionalFormatting>
  <conditionalFormatting sqref="J76:J79">
    <cfRule type="expression" dxfId="99" priority="49">
      <formula>$R$2="Report"</formula>
    </cfRule>
  </conditionalFormatting>
  <conditionalFormatting sqref="K54">
    <cfRule type="expression" dxfId="98" priority="6">
      <formula>$R$4=1</formula>
    </cfRule>
    <cfRule type="expression" dxfId="97" priority="5">
      <formula>$R$2="Report"</formula>
    </cfRule>
  </conditionalFormatting>
  <conditionalFormatting sqref="K59">
    <cfRule type="expression" dxfId="96" priority="4">
      <formula>$R$4=1</formula>
    </cfRule>
    <cfRule type="expression" dxfId="95" priority="3">
      <formula>$R$2="Report"</formula>
    </cfRule>
  </conditionalFormatting>
  <conditionalFormatting sqref="K65">
    <cfRule type="expression" dxfId="94" priority="2">
      <formula>$R$4=1</formula>
    </cfRule>
    <cfRule type="expression" dxfId="93" priority="1">
      <formula>$R$2="Report"</formula>
    </cfRule>
  </conditionalFormatting>
  <conditionalFormatting sqref="K84">
    <cfRule type="expression" dxfId="92" priority="52">
      <formula>K84&lt;&gt;0</formula>
    </cfRule>
    <cfRule type="expression" dxfId="91" priority="50">
      <formula>K84&lt;&gt;0</formula>
    </cfRule>
    <cfRule type="expression" dxfId="90" priority="53">
      <formula>$AQ$2="Report"</formula>
    </cfRule>
    <cfRule type="expression" dxfId="89" priority="51">
      <formula>$AQ$2="Report"</formula>
    </cfRule>
  </conditionalFormatting>
  <conditionalFormatting sqref="L9:L10 L12:L15">
    <cfRule type="cellIs" dxfId="88" priority="55" operator="between">
      <formula>0.15</formula>
      <formula>0.3</formula>
    </cfRule>
    <cfRule type="expression" dxfId="87" priority="54">
      <formula>$R$2="Report"</formula>
    </cfRule>
  </conditionalFormatting>
  <conditionalFormatting sqref="L17:L20">
    <cfRule type="cellIs" dxfId="86" priority="59" operator="between">
      <formula>0.15</formula>
      <formula>0.3</formula>
    </cfRule>
    <cfRule type="expression" dxfId="85" priority="58">
      <formula>$R$2="Report"</formula>
    </cfRule>
  </conditionalFormatting>
  <conditionalFormatting sqref="L22">
    <cfRule type="expression" dxfId="84" priority="60">
      <formula>$R$2="Report"</formula>
    </cfRule>
    <cfRule type="cellIs" dxfId="83" priority="61" operator="between">
      <formula>0.15</formula>
      <formula>0.3</formula>
    </cfRule>
  </conditionalFormatting>
  <conditionalFormatting sqref="L143">
    <cfRule type="expression" dxfId="82" priority="62">
      <formula>$R$2="Report"</formula>
    </cfRule>
  </conditionalFormatting>
  <conditionalFormatting sqref="L143:L145">
    <cfRule type="expression" dxfId="81" priority="64">
      <formula>$AQ$2="Report"</formula>
    </cfRule>
    <cfRule type="expression" dxfId="80" priority="63">
      <formula>L143&lt;&gt;0</formula>
    </cfRule>
  </conditionalFormatting>
  <conditionalFormatting sqref="L146">
    <cfRule type="expression" dxfId="79" priority="65">
      <formula>$R$2="Report"</formula>
    </cfRule>
  </conditionalFormatting>
  <conditionalFormatting sqref="L146:L147">
    <cfRule type="expression" dxfId="78" priority="66">
      <formula>L146&lt;&gt;0</formula>
    </cfRule>
    <cfRule type="expression" dxfId="77" priority="67">
      <formula>$AQ$2="Report"</formula>
    </cfRule>
  </conditionalFormatting>
  <conditionalFormatting sqref="L197:L203">
    <cfRule type="expression" dxfId="76" priority="68">
      <formula>$R$4=1</formula>
    </cfRule>
  </conditionalFormatting>
  <conditionalFormatting sqref="L219">
    <cfRule type="expression" dxfId="75" priority="69">
      <formula>$R$2="Report"</formula>
    </cfRule>
  </conditionalFormatting>
  <conditionalFormatting sqref="L219:L221">
    <cfRule type="expression" dxfId="74" priority="70">
      <formula>L219&lt;&gt;0</formula>
    </cfRule>
    <cfRule type="expression" dxfId="73" priority="71">
      <formula>$AQ$2="Report"</formula>
    </cfRule>
  </conditionalFormatting>
  <conditionalFormatting sqref="L222">
    <cfRule type="expression" dxfId="72" priority="72">
      <formula>$R$2="Report"</formula>
    </cfRule>
  </conditionalFormatting>
  <conditionalFormatting sqref="L222:L223">
    <cfRule type="expression" dxfId="71" priority="74">
      <formula>$AQ$2="Report"</formula>
    </cfRule>
    <cfRule type="expression" dxfId="70" priority="73">
      <formula>L222&lt;&gt;0</formula>
    </cfRule>
  </conditionalFormatting>
  <conditionalFormatting sqref="N113">
    <cfRule type="cellIs" dxfId="69" priority="75" operator="between">
      <formula>0.15</formula>
      <formula>0.3</formula>
    </cfRule>
  </conditionalFormatting>
  <conditionalFormatting sqref="N119:N124">
    <cfRule type="expression" dxfId="68" priority="76">
      <formula>$R$4=1</formula>
    </cfRule>
  </conditionalFormatting>
  <conditionalFormatting sqref="N191">
    <cfRule type="cellIs" dxfId="67" priority="77" operator="between">
      <formula>0.15</formula>
      <formula>0.3</formula>
    </cfRule>
  </conditionalFormatting>
  <conditionalFormatting sqref="N197:N202">
    <cfRule type="expression" dxfId="66" priority="78">
      <formula>$R$4=1</formula>
    </cfRule>
  </conditionalFormatting>
  <conditionalFormatting sqref="N91:R95">
    <cfRule type="cellIs" dxfId="65" priority="79" operator="between">
      <formula>0.15</formula>
      <formula>0.3</formula>
    </cfRule>
  </conditionalFormatting>
  <conditionalFormatting sqref="N99:R103">
    <cfRule type="cellIs" dxfId="64" priority="80" operator="between">
      <formula>0.15</formula>
      <formula>0.3</formula>
    </cfRule>
  </conditionalFormatting>
  <conditionalFormatting sqref="N154:R158">
    <cfRule type="cellIs" dxfId="63" priority="81" operator="between">
      <formula>0.15</formula>
      <formula>0.3</formula>
    </cfRule>
  </conditionalFormatting>
  <conditionalFormatting sqref="N162:R166">
    <cfRule type="cellIs" dxfId="62" priority="82" operator="between">
      <formula>0.15</formula>
      <formula>0.3</formula>
    </cfRule>
  </conditionalFormatting>
  <conditionalFormatting sqref="N170:R174">
    <cfRule type="cellIs" dxfId="61" priority="83" operator="between">
      <formula>0.15</formula>
      <formula>0.3</formula>
    </cfRule>
  </conditionalFormatting>
  <conditionalFormatting sqref="N178:R182">
    <cfRule type="cellIs" dxfId="60" priority="84" operator="between">
      <formula>0.15</formula>
      <formula>0.3</formula>
    </cfRule>
  </conditionalFormatting>
  <conditionalFormatting sqref="N230:R234">
    <cfRule type="cellIs" dxfId="59" priority="85" operator="between">
      <formula>0.15</formula>
      <formula>0.3</formula>
    </cfRule>
  </conditionalFormatting>
  <conditionalFormatting sqref="N238:R242">
    <cfRule type="cellIs" dxfId="58" priority="86" operator="between">
      <formula>0.15</formula>
      <formula>0.3</formula>
    </cfRule>
  </conditionalFormatting>
  <conditionalFormatting sqref="N246:R250">
    <cfRule type="cellIs" dxfId="57" priority="87" operator="between">
      <formula>0.15</formula>
      <formula>0.3</formula>
    </cfRule>
  </conditionalFormatting>
  <conditionalFormatting sqref="N254:R259">
    <cfRule type="cellIs" dxfId="56" priority="88" operator="between">
      <formula>0.15</formula>
      <formula>0.3</formula>
    </cfRule>
  </conditionalFormatting>
  <conditionalFormatting sqref="O266:O272">
    <cfRule type="expression" dxfId="55" priority="89">
      <formula>$R$4=1</formula>
    </cfRule>
  </conditionalFormatting>
  <conditionalFormatting sqref="P84">
    <cfRule type="expression" dxfId="54" priority="90">
      <formula>P84&lt;&gt;0</formula>
    </cfRule>
    <cfRule type="expression" dxfId="53" priority="91">
      <formula>$AQ$2="Report"</formula>
    </cfRule>
  </conditionalFormatting>
  <conditionalFormatting sqref="P119:P125">
    <cfRule type="expression" dxfId="52" priority="92">
      <formula>$R$4=1</formula>
    </cfRule>
  </conditionalFormatting>
  <conditionalFormatting sqref="P197:P203">
    <cfRule type="expression" dxfId="51" priority="93">
      <formula>$R$4=1</formula>
    </cfRule>
  </conditionalFormatting>
  <conditionalFormatting sqref="R53:R55">
    <cfRule type="expression" dxfId="50" priority="9">
      <formula>$R$2="Report"</formula>
    </cfRule>
    <cfRule type="expression" dxfId="49" priority="10">
      <formula>$R$4=1</formula>
    </cfRule>
  </conditionalFormatting>
  <conditionalFormatting sqref="R57">
    <cfRule type="expression" dxfId="48" priority="7">
      <formula>$R$2="Report"</formula>
    </cfRule>
    <cfRule type="expression" dxfId="47" priority="8">
      <formula>$R$4=1</formula>
    </cfRule>
  </conditionalFormatting>
  <conditionalFormatting sqref="R119:R124">
    <cfRule type="expression" dxfId="46" priority="94">
      <formula>$R$4=1</formula>
    </cfRule>
  </conditionalFormatting>
  <conditionalFormatting sqref="R143:R146">
    <cfRule type="expression" dxfId="45" priority="95">
      <formula>$R$2="Report"</formula>
    </cfRule>
    <cfRule type="expression" dxfId="44" priority="96">
      <formula>R143&lt;&gt;0</formula>
    </cfRule>
    <cfRule type="expression" dxfId="43" priority="97">
      <formula>$AQ$2="Report"</formula>
    </cfRule>
  </conditionalFormatting>
  <conditionalFormatting sqref="R197:R202">
    <cfRule type="expression" dxfId="42" priority="98">
      <formula>$R$4=1</formula>
    </cfRule>
  </conditionalFormatting>
  <conditionalFormatting sqref="R219:R222">
    <cfRule type="expression" dxfId="41" priority="99">
      <formula>$R$2="Report"</formula>
    </cfRule>
    <cfRule type="expression" dxfId="40" priority="100">
      <formula>R219&lt;&gt;0</formula>
    </cfRule>
    <cfRule type="expression" dxfId="39" priority="101">
      <formula>$AQ$2="Report"</formula>
    </cfRule>
  </conditionalFormatting>
  <conditionalFormatting sqref="R266:R271">
    <cfRule type="expression" dxfId="38" priority="102">
      <formula>$R$4=1</formula>
    </cfRule>
  </conditionalFormatting>
  <conditionalFormatting sqref="X54:X55">
    <cfRule type="expression" dxfId="37" priority="21">
      <formula>$R$4=1</formula>
    </cfRule>
  </conditionalFormatting>
  <conditionalFormatting sqref="X50:AB51 X52:AA52 X53:AB53 Y54:AA55 X56:AB58 AB68">
    <cfRule type="expression" dxfId="36" priority="103">
      <formula>$R$4=1</formula>
    </cfRule>
  </conditionalFormatting>
  <conditionalFormatting sqref="X59:AB59">
    <cfRule type="expression" dxfId="35" priority="18">
      <formula>$R$4=1</formula>
    </cfRule>
  </conditionalFormatting>
  <conditionalFormatting sqref="AB51 AB53 AB56:AB58">
    <cfRule type="expression" dxfId="34" priority="104">
      <formula>$R$2="Report"</formula>
    </cfRule>
  </conditionalFormatting>
  <conditionalFormatting sqref="AB52">
    <cfRule type="expression" dxfId="33" priority="23">
      <formula>$R$4=1</formula>
    </cfRule>
    <cfRule type="expression" dxfId="32" priority="22">
      <formula>$R$2="Report"</formula>
    </cfRule>
  </conditionalFormatting>
  <conditionalFormatting sqref="AB54:AB55">
    <cfRule type="expression" dxfId="31" priority="19">
      <formula>$R$2="Report"</formula>
    </cfRule>
    <cfRule type="expression" dxfId="30" priority="20">
      <formula>$R$4=1</formula>
    </cfRule>
  </conditionalFormatting>
  <conditionalFormatting sqref="AB59">
    <cfRule type="expression" dxfId="29" priority="17">
      <formula>$R$2="Report"</formula>
    </cfRule>
  </conditionalFormatting>
  <conditionalFormatting sqref="AB65:AB66">
    <cfRule type="expression" dxfId="28" priority="16">
      <formula>$R$4=1</formula>
    </cfRule>
    <cfRule type="expression" dxfId="27" priority="15">
      <formula>$R$2="Report"</formula>
    </cfRule>
  </conditionalFormatting>
  <dataValidations count="9">
    <dataValidation type="list" allowBlank="1" showErrorMessage="1" sqref="R2" xr:uid="{00000000-0002-0000-0D00-000000000000}">
      <formula1>"Working,Report"</formula1>
    </dataValidation>
    <dataValidation type="list" allowBlank="1" showErrorMessage="1" sqref="D24 G136 G214" xr:uid="{00000000-0002-0000-0D00-000001000000}">
      <formula1>"LTM,NTM"</formula1>
    </dataValidation>
    <dataValidation type="list" allowBlank="1" showErrorMessage="1" sqref="G212" xr:uid="{00000000-0002-0000-0D00-000002000000}">
      <formula1>"2002-2008,2009-2018,2002-2018"</formula1>
    </dataValidation>
    <dataValidation type="list" allowBlank="1" showErrorMessage="1" sqref="G75" xr:uid="{00000000-0002-0000-0D00-000003000000}">
      <formula1>"Yes,No"</formula1>
    </dataValidation>
    <dataValidation type="list" allowBlank="1" showErrorMessage="1" sqref="G281:G286" xr:uid="{00000000-0002-0000-0D00-000004000000}">
      <formula1>$B$9:$B$12</formula1>
    </dataValidation>
    <dataValidation type="list" allowBlank="1" showErrorMessage="1" sqref="G78" xr:uid="{00000000-0002-0000-0D00-000005000000}">
      <formula1>"1.00%,1.25%,1.50%,1.75%,2.00%,2.25%,2.50%,2.75%,3.00%,3.25%,3.50%,3.75%,4.00%"</formula1>
    </dataValidation>
    <dataValidation type="list" allowBlank="1" showErrorMessage="1" sqref="G134:G135" xr:uid="{00000000-0002-0000-0D00-000006000000}">
      <formula1>"1 Year,2 Year,3 Year,5 Year"</formula1>
    </dataValidation>
    <dataValidation type="list" allowBlank="1" showErrorMessage="1" sqref="G137:G138 G215:G216" xr:uid="{00000000-0002-0000-0D00-000007000000}">
      <formula1>$B$9:$B$11</formula1>
    </dataValidation>
    <dataValidation type="list" allowBlank="1" showErrorMessage="1" sqref="G213" xr:uid="{00000000-0002-0000-0D00-000008000000}">
      <formula1>"Early Cycle,Mid Cycle,Late Cycle,Full Cycle"</formula1>
    </dataValidation>
  </dataValidations>
  <pageMargins left="0.7" right="0.7" top="0.75" bottom="0.75" header="0" footer="0"/>
  <pageSetup orientation="portrait" r:id="rId1"/>
  <ignoredErrors>
    <ignoredError sqref="M156" 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60000"/>
  </sheetPr>
  <dimension ref="A1:CI1000"/>
  <sheetViews>
    <sheetView showGridLines="0" zoomScale="80" zoomScaleNormal="80" workbookViewId="0">
      <pane ySplit="2" topLeftCell="A5" activePane="bottomLeft" state="frozen"/>
      <selection pane="bottomLeft"/>
    </sheetView>
  </sheetViews>
  <sheetFormatPr defaultColWidth="14.42578125" defaultRowHeight="15" customHeight="1" outlineLevelCol="2" x14ac:dyDescent="0.25"/>
  <cols>
    <col min="1" max="2" width="1.7109375" customWidth="1"/>
    <col min="3" max="3" width="18.7109375" customWidth="1"/>
    <col min="4" max="4" width="5.7109375" customWidth="1"/>
    <col min="5" max="8" width="18.7109375" customWidth="1"/>
    <col min="9" max="9" width="13.28515625" hidden="1" customWidth="1" outlineLevel="1"/>
    <col min="10" max="10" width="12.7109375" hidden="1" customWidth="1" outlineLevel="2"/>
    <col min="11" max="11" width="12.7109375" customWidth="1" collapsed="1"/>
    <col min="12" max="12" width="21.42578125" customWidth="1"/>
    <col min="13" max="13" width="13.7109375" customWidth="1"/>
    <col min="14" max="17" width="17.7109375" customWidth="1"/>
    <col min="18" max="18" width="21.42578125" customWidth="1"/>
    <col min="19" max="23" width="17.7109375" customWidth="1"/>
    <col min="24" max="24" width="21.42578125" customWidth="1"/>
    <col min="25" max="29" width="17.7109375" customWidth="1"/>
    <col min="30" max="30" width="21.42578125" customWidth="1"/>
    <col min="31" max="35" width="17.7109375" customWidth="1"/>
    <col min="36" max="36" width="1.5703125" customWidth="1"/>
    <col min="37" max="37" width="12.7109375" customWidth="1" outlineLevel="1"/>
    <col min="38" max="38" width="21.42578125" customWidth="1" outlineLevel="1"/>
    <col min="39" max="43" width="17.7109375" customWidth="1" outlineLevel="1"/>
    <col min="44" max="44" width="21.42578125" customWidth="1" outlineLevel="1"/>
    <col min="45" max="49" width="17.7109375" customWidth="1" outlineLevel="1"/>
    <col min="50" max="50" width="21.42578125" customWidth="1" outlineLevel="1"/>
    <col min="51" max="55" width="17.7109375" customWidth="1" outlineLevel="1"/>
    <col min="56" max="56" width="21.42578125" customWidth="1" outlineLevel="1"/>
    <col min="57" max="61" width="17.7109375" customWidth="1" outlineLevel="1"/>
    <col min="62" max="62" width="1.5703125" customWidth="1" outlineLevel="1"/>
    <col min="63" max="63" width="12.7109375" customWidth="1" outlineLevel="1"/>
    <col min="64" max="64" width="21.42578125" customWidth="1" outlineLevel="1"/>
    <col min="65" max="69" width="17.7109375" customWidth="1" outlineLevel="1"/>
    <col min="70" max="70" width="21.42578125" customWidth="1" outlineLevel="1"/>
    <col min="71" max="75" width="17.7109375" customWidth="1" outlineLevel="1"/>
    <col min="76" max="76" width="21.42578125" customWidth="1" outlineLevel="1"/>
    <col min="77" max="81" width="17.7109375" customWidth="1" outlineLevel="1"/>
    <col min="82" max="82" width="21.42578125" customWidth="1" outlineLevel="1"/>
    <col min="83" max="87" width="17.7109375" customWidth="1" outlineLevel="1"/>
  </cols>
  <sheetData>
    <row r="1" spans="1:87" ht="19.5" customHeight="1" x14ac:dyDescent="0.35">
      <c r="A1" s="4"/>
      <c r="B1" s="4"/>
      <c r="C1" s="747" t="str">
        <f ca="1">Company_Name&amp;" - "&amp;MID(CELL("filename",A1),FIND("]",CELL("filename",A1))+1,255)&amp;": "&amp;Case_Scenario&amp;" Case"</f>
        <v>American Express Company - Multiples Data: Base Case</v>
      </c>
      <c r="D1" s="4"/>
      <c r="E1" s="4"/>
      <c r="F1" s="4"/>
      <c r="G1" s="4"/>
      <c r="H1" s="4"/>
      <c r="I1" s="4"/>
      <c r="J1" s="4"/>
      <c r="K1" s="169"/>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row>
    <row r="2" spans="1:87" ht="15" customHeight="1" x14ac:dyDescent="0.25">
      <c r="A2" s="2"/>
      <c r="B2" s="2"/>
      <c r="C2" s="7" t="str">
        <f>Cover!C2</f>
        <v>$ in Millions Except Per Share Data</v>
      </c>
      <c r="D2" s="2"/>
      <c r="E2" s="2"/>
      <c r="F2" s="2"/>
      <c r="G2" s="2"/>
      <c r="H2" s="2"/>
      <c r="I2" s="2"/>
      <c r="J2" s="2"/>
      <c r="K2" s="183"/>
      <c r="L2" s="748" t="s">
        <v>760</v>
      </c>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row>
    <row r="3" spans="1:87" ht="15" customHeight="1" x14ac:dyDescent="0.25">
      <c r="A3" s="3"/>
      <c r="B3" s="9"/>
      <c r="C3" s="243"/>
      <c r="D3" s="9"/>
      <c r="E3" s="9"/>
      <c r="F3" s="9"/>
      <c r="G3" s="9"/>
      <c r="H3" s="9"/>
      <c r="I3" s="9"/>
      <c r="J3" s="9"/>
      <c r="K3" s="64"/>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row>
    <row r="4" spans="1:87" ht="14.25" customHeight="1" x14ac:dyDescent="0.25">
      <c r="A4" s="9"/>
      <c r="B4" s="9"/>
      <c r="C4" s="9"/>
      <c r="D4" s="9"/>
      <c r="E4" s="9"/>
      <c r="F4" s="9"/>
      <c r="G4" s="9"/>
      <c r="H4" s="9"/>
      <c r="I4" s="9"/>
      <c r="J4" s="9"/>
      <c r="K4" s="64"/>
      <c r="L4" s="1004" t="str">
        <f>Comparables!S84</f>
        <v>Primary Peer Group</v>
      </c>
      <c r="M4" s="954"/>
      <c r="N4" s="954"/>
      <c r="O4" s="954"/>
      <c r="P4" s="954"/>
      <c r="Q4" s="954"/>
      <c r="R4" s="954"/>
      <c r="S4" s="954"/>
      <c r="T4" s="954"/>
      <c r="U4" s="954"/>
      <c r="V4" s="954"/>
      <c r="W4" s="954"/>
      <c r="X4" s="954"/>
      <c r="Y4" s="954"/>
      <c r="Z4" s="954"/>
      <c r="AA4" s="954"/>
      <c r="AB4" s="954"/>
      <c r="AC4" s="954"/>
      <c r="AD4" s="954"/>
      <c r="AE4" s="954"/>
      <c r="AF4" s="954"/>
      <c r="AG4" s="954"/>
      <c r="AH4" s="954"/>
      <c r="AI4" s="955"/>
      <c r="AJ4" s="9"/>
      <c r="AK4" s="9"/>
      <c r="AL4" s="1004" t="str">
        <f>Comparables!S85</f>
        <v>Defense Peer Group</v>
      </c>
      <c r="AM4" s="954"/>
      <c r="AN4" s="954"/>
      <c r="AO4" s="954"/>
      <c r="AP4" s="954"/>
      <c r="AQ4" s="954"/>
      <c r="AR4" s="954"/>
      <c r="AS4" s="954"/>
      <c r="AT4" s="954"/>
      <c r="AU4" s="954"/>
      <c r="AV4" s="954"/>
      <c r="AW4" s="954"/>
      <c r="AX4" s="954"/>
      <c r="AY4" s="954"/>
      <c r="AZ4" s="954"/>
      <c r="BA4" s="954"/>
      <c r="BB4" s="954"/>
      <c r="BC4" s="954"/>
      <c r="BD4" s="954"/>
      <c r="BE4" s="954"/>
      <c r="BF4" s="954"/>
      <c r="BG4" s="954"/>
      <c r="BH4" s="954"/>
      <c r="BI4" s="955"/>
      <c r="BJ4" s="9"/>
      <c r="BK4" s="9"/>
      <c r="BL4" s="1004" t="str">
        <f>Comparables!S86</f>
        <v>Cap. Goods Peer Group</v>
      </c>
      <c r="BM4" s="954"/>
      <c r="BN4" s="954"/>
      <c r="BO4" s="954"/>
      <c r="BP4" s="954"/>
      <c r="BQ4" s="954"/>
      <c r="BR4" s="954"/>
      <c r="BS4" s="954"/>
      <c r="BT4" s="954"/>
      <c r="BU4" s="954"/>
      <c r="BV4" s="954"/>
      <c r="BW4" s="954"/>
      <c r="BX4" s="954"/>
      <c r="BY4" s="954"/>
      <c r="BZ4" s="954"/>
      <c r="CA4" s="954"/>
      <c r="CB4" s="954"/>
      <c r="CC4" s="954"/>
      <c r="CD4" s="954"/>
      <c r="CE4" s="954"/>
      <c r="CF4" s="954"/>
      <c r="CG4" s="954"/>
      <c r="CH4" s="954"/>
      <c r="CI4" s="955"/>
    </row>
    <row r="5" spans="1:87" ht="14.25" customHeight="1" x14ac:dyDescent="0.25">
      <c r="A5" s="205" t="s">
        <v>0</v>
      </c>
      <c r="B5" s="9"/>
      <c r="C5" s="746" t="s">
        <v>31</v>
      </c>
      <c r="D5" s="76"/>
      <c r="E5" s="76"/>
      <c r="F5" s="76"/>
      <c r="G5" s="76"/>
      <c r="H5" s="78"/>
      <c r="I5" s="143"/>
      <c r="J5" s="9"/>
      <c r="K5" s="205"/>
      <c r="L5" s="1005" t="s">
        <v>761</v>
      </c>
      <c r="M5" s="954"/>
      <c r="N5" s="954"/>
      <c r="O5" s="954"/>
      <c r="P5" s="954"/>
      <c r="Q5" s="955"/>
      <c r="R5" s="1004" t="s">
        <v>762</v>
      </c>
      <c r="S5" s="954"/>
      <c r="T5" s="954"/>
      <c r="U5" s="954"/>
      <c r="V5" s="954"/>
      <c r="W5" s="955"/>
      <c r="X5" s="1004" t="s">
        <v>763</v>
      </c>
      <c r="Y5" s="954"/>
      <c r="Z5" s="954"/>
      <c r="AA5" s="954"/>
      <c r="AB5" s="954"/>
      <c r="AC5" s="955"/>
      <c r="AD5" s="1004" t="s">
        <v>764</v>
      </c>
      <c r="AE5" s="954"/>
      <c r="AF5" s="954"/>
      <c r="AG5" s="954"/>
      <c r="AH5" s="954"/>
      <c r="AI5" s="955"/>
      <c r="AJ5" s="9"/>
      <c r="AK5" s="9"/>
      <c r="AL5" s="1005" t="s">
        <v>761</v>
      </c>
      <c r="AM5" s="954"/>
      <c r="AN5" s="954"/>
      <c r="AO5" s="954"/>
      <c r="AP5" s="954"/>
      <c r="AQ5" s="955"/>
      <c r="AR5" s="1004" t="s">
        <v>762</v>
      </c>
      <c r="AS5" s="954"/>
      <c r="AT5" s="954"/>
      <c r="AU5" s="954"/>
      <c r="AV5" s="954"/>
      <c r="AW5" s="955"/>
      <c r="AX5" s="1004" t="s">
        <v>763</v>
      </c>
      <c r="AY5" s="954"/>
      <c r="AZ5" s="954"/>
      <c r="BA5" s="954"/>
      <c r="BB5" s="954"/>
      <c r="BC5" s="955"/>
      <c r="BD5" s="1004" t="s">
        <v>764</v>
      </c>
      <c r="BE5" s="954"/>
      <c r="BF5" s="954"/>
      <c r="BG5" s="954"/>
      <c r="BH5" s="954"/>
      <c r="BI5" s="955"/>
      <c r="BJ5" s="9"/>
      <c r="BK5" s="9"/>
      <c r="BL5" s="1005" t="s">
        <v>761</v>
      </c>
      <c r="BM5" s="954"/>
      <c r="BN5" s="954"/>
      <c r="BO5" s="954"/>
      <c r="BP5" s="954"/>
      <c r="BQ5" s="955"/>
      <c r="BR5" s="1004" t="s">
        <v>762</v>
      </c>
      <c r="BS5" s="954"/>
      <c r="BT5" s="954"/>
      <c r="BU5" s="954"/>
      <c r="BV5" s="954"/>
      <c r="BW5" s="955"/>
      <c r="BX5" s="1004" t="s">
        <v>763</v>
      </c>
      <c r="BY5" s="954"/>
      <c r="BZ5" s="954"/>
      <c r="CA5" s="954"/>
      <c r="CB5" s="954"/>
      <c r="CC5" s="955"/>
      <c r="CD5" s="1004" t="s">
        <v>764</v>
      </c>
      <c r="CE5" s="954"/>
      <c r="CF5" s="954"/>
      <c r="CG5" s="954"/>
      <c r="CH5" s="954"/>
      <c r="CI5" s="955"/>
    </row>
    <row r="6" spans="1:87" ht="14.25" customHeight="1" x14ac:dyDescent="0.25">
      <c r="A6" s="9"/>
      <c r="B6" s="9"/>
      <c r="C6" s="746" t="str">
        <f>Company_Name</f>
        <v>American Express Company</v>
      </c>
      <c r="D6" s="76"/>
      <c r="E6" s="76"/>
      <c r="F6" s="76"/>
      <c r="G6" s="76"/>
      <c r="H6" s="78"/>
      <c r="I6" s="749" t="str">
        <f>Last_FQR</f>
        <v>1Q</v>
      </c>
      <c r="J6" s="9"/>
      <c r="K6" s="205"/>
      <c r="L6" s="750" t="str">
        <f>Comparables!E84</f>
        <v>American Express Company</v>
      </c>
      <c r="M6" s="751" t="str">
        <f>Comparables!$E$88</f>
        <v>Visa Inc.</v>
      </c>
      <c r="N6" s="751" t="str">
        <f>Comparables!$E$92</f>
        <v>Mastercard Incorporated</v>
      </c>
      <c r="O6" s="751" t="str">
        <f>Comparables!$E$96</f>
        <v>Capital One Financial Corporation</v>
      </c>
      <c r="P6" s="751" t="str">
        <f>Comparables!$E$100</f>
        <v>JPMorgan Chase &amp; Co.</v>
      </c>
      <c r="Q6" s="751"/>
      <c r="R6" s="751" t="str">
        <f>$L$6</f>
        <v>American Express Company</v>
      </c>
      <c r="S6" s="751" t="str">
        <f t="shared" ref="S6:V6" si="0">M6</f>
        <v>Visa Inc.</v>
      </c>
      <c r="T6" s="751" t="str">
        <f t="shared" si="0"/>
        <v>Mastercard Incorporated</v>
      </c>
      <c r="U6" s="751" t="str">
        <f t="shared" si="0"/>
        <v>Capital One Financial Corporation</v>
      </c>
      <c r="V6" s="751" t="str">
        <f t="shared" si="0"/>
        <v>JPMorgan Chase &amp; Co.</v>
      </c>
      <c r="W6" s="751"/>
      <c r="X6" s="751" t="str">
        <f t="shared" ref="X6:AB6" si="1">L6</f>
        <v>American Express Company</v>
      </c>
      <c r="Y6" s="751" t="str">
        <f t="shared" si="1"/>
        <v>Visa Inc.</v>
      </c>
      <c r="Z6" s="751" t="str">
        <f t="shared" si="1"/>
        <v>Mastercard Incorporated</v>
      </c>
      <c r="AA6" s="751" t="str">
        <f t="shared" si="1"/>
        <v>Capital One Financial Corporation</v>
      </c>
      <c r="AB6" s="751" t="str">
        <f t="shared" si="1"/>
        <v>JPMorgan Chase &amp; Co.</v>
      </c>
      <c r="AC6" s="751"/>
      <c r="AD6" s="751" t="str">
        <f t="shared" ref="AD6:AH6" si="2">L6</f>
        <v>American Express Company</v>
      </c>
      <c r="AE6" s="751" t="str">
        <f t="shared" si="2"/>
        <v>Visa Inc.</v>
      </c>
      <c r="AF6" s="751" t="str">
        <f t="shared" si="2"/>
        <v>Mastercard Incorporated</v>
      </c>
      <c r="AG6" s="751" t="str">
        <f t="shared" si="2"/>
        <v>Capital One Financial Corporation</v>
      </c>
      <c r="AH6" s="751" t="str">
        <f t="shared" si="2"/>
        <v>JPMorgan Chase &amp; Co.</v>
      </c>
      <c r="AI6" s="751"/>
      <c r="AJ6" s="9"/>
      <c r="AK6" s="9"/>
      <c r="AL6" s="750" t="str">
        <f>AD6</f>
        <v>American Express Company</v>
      </c>
      <c r="AM6" s="751" t="str">
        <f>Comparables!I$88</f>
        <v>Raytheon</v>
      </c>
      <c r="AN6" s="751" t="str">
        <f>Comparables!$I$92</f>
        <v>Boeing</v>
      </c>
      <c r="AO6" s="751" t="str">
        <f>Comparables!$I$96</f>
        <v>Huntington Ingalls</v>
      </c>
      <c r="AP6" s="751" t="str">
        <f>Comparables!$I$100</f>
        <v>Lockheed Martin</v>
      </c>
      <c r="AQ6" s="751" t="str">
        <f>Comparables!$I$104</f>
        <v>Northrop Grumman</v>
      </c>
      <c r="AR6" s="751" t="str">
        <f>$AL$6</f>
        <v>American Express Company</v>
      </c>
      <c r="AS6" s="751" t="str">
        <f t="shared" ref="AS6:AW6" si="3">AM6</f>
        <v>Raytheon</v>
      </c>
      <c r="AT6" s="751" t="str">
        <f t="shared" si="3"/>
        <v>Boeing</v>
      </c>
      <c r="AU6" s="751" t="str">
        <f t="shared" si="3"/>
        <v>Huntington Ingalls</v>
      </c>
      <c r="AV6" s="751" t="str">
        <f t="shared" si="3"/>
        <v>Lockheed Martin</v>
      </c>
      <c r="AW6" s="752" t="str">
        <f t="shared" si="3"/>
        <v>Northrop Grumman</v>
      </c>
      <c r="AX6" s="751" t="s">
        <v>21</v>
      </c>
      <c r="AY6" s="751" t="str">
        <f t="shared" ref="AY6:BC6" si="4">AS6</f>
        <v>Raytheon</v>
      </c>
      <c r="AZ6" s="751" t="str">
        <f t="shared" si="4"/>
        <v>Boeing</v>
      </c>
      <c r="BA6" s="751" t="str">
        <f t="shared" si="4"/>
        <v>Huntington Ingalls</v>
      </c>
      <c r="BB6" s="751" t="str">
        <f t="shared" si="4"/>
        <v>Lockheed Martin</v>
      </c>
      <c r="BC6" s="752" t="str">
        <f t="shared" si="4"/>
        <v>Northrop Grumman</v>
      </c>
      <c r="BD6" s="751" t="s">
        <v>21</v>
      </c>
      <c r="BE6" s="751" t="str">
        <f t="shared" ref="BE6:BI6" si="5">AY6</f>
        <v>Raytheon</v>
      </c>
      <c r="BF6" s="751" t="str">
        <f t="shared" si="5"/>
        <v>Boeing</v>
      </c>
      <c r="BG6" s="751" t="str">
        <f t="shared" si="5"/>
        <v>Huntington Ingalls</v>
      </c>
      <c r="BH6" s="751" t="str">
        <f t="shared" si="5"/>
        <v>Lockheed Martin</v>
      </c>
      <c r="BI6" s="752" t="str">
        <f t="shared" si="5"/>
        <v>Northrop Grumman</v>
      </c>
      <c r="BJ6" s="9"/>
      <c r="BK6" s="9"/>
      <c r="BL6" s="750" t="str">
        <f>BD6</f>
        <v>Lowe's Companies, Inc.</v>
      </c>
      <c r="BM6" s="751" t="str">
        <f>Comparables!N$88</f>
        <v>3M Company</v>
      </c>
      <c r="BN6" s="751" t="str">
        <f>Comparables!$N$92</f>
        <v>General Electric</v>
      </c>
      <c r="BO6" s="751" t="str">
        <f>Comparables!$N$96</f>
        <v>Honeywell</v>
      </c>
      <c r="BP6" s="751" t="str">
        <f>Comparables!$N$100</f>
        <v>Roper Technologies</v>
      </c>
      <c r="BQ6" s="753" t="str">
        <f>Comparables!$N$104</f>
        <v>Emerson Electric</v>
      </c>
      <c r="BR6" s="751" t="s">
        <v>21</v>
      </c>
      <c r="BS6" s="751" t="str">
        <f t="shared" ref="BS6:BW6" si="6">BM6</f>
        <v>3M Company</v>
      </c>
      <c r="BT6" s="751" t="str">
        <f t="shared" si="6"/>
        <v>General Electric</v>
      </c>
      <c r="BU6" s="751" t="str">
        <f t="shared" si="6"/>
        <v>Honeywell</v>
      </c>
      <c r="BV6" s="751" t="str">
        <f t="shared" si="6"/>
        <v>Roper Technologies</v>
      </c>
      <c r="BW6" s="752" t="str">
        <f t="shared" si="6"/>
        <v>Emerson Electric</v>
      </c>
      <c r="BX6" s="751" t="str">
        <f>$BD$6</f>
        <v>Lowe's Companies, Inc.</v>
      </c>
      <c r="BY6" s="751" t="str">
        <f t="shared" ref="BY6:CC6" si="7">BS6</f>
        <v>3M Company</v>
      </c>
      <c r="BZ6" s="751" t="str">
        <f t="shared" si="7"/>
        <v>General Electric</v>
      </c>
      <c r="CA6" s="751" t="str">
        <f t="shared" si="7"/>
        <v>Honeywell</v>
      </c>
      <c r="CB6" s="751" t="str">
        <f t="shared" si="7"/>
        <v>Roper Technologies</v>
      </c>
      <c r="CC6" s="752" t="str">
        <f t="shared" si="7"/>
        <v>Emerson Electric</v>
      </c>
      <c r="CD6" s="751" t="str">
        <f>$BD$6</f>
        <v>Lowe's Companies, Inc.</v>
      </c>
      <c r="CE6" s="751" t="str">
        <f t="shared" ref="CE6:CI6" si="8">BY6</f>
        <v>3M Company</v>
      </c>
      <c r="CF6" s="751" t="str">
        <f t="shared" si="8"/>
        <v>General Electric</v>
      </c>
      <c r="CG6" s="751" t="str">
        <f t="shared" si="8"/>
        <v>Honeywell</v>
      </c>
      <c r="CH6" s="751" t="str">
        <f t="shared" si="8"/>
        <v>Roper Technologies</v>
      </c>
      <c r="CI6" s="752" t="str">
        <f t="shared" si="8"/>
        <v>Emerson Electric</v>
      </c>
    </row>
    <row r="7" spans="1:87" ht="14.25" customHeight="1" x14ac:dyDescent="0.25">
      <c r="A7" s="9"/>
      <c r="B7" s="9"/>
      <c r="C7" s="754" t="s">
        <v>1157</v>
      </c>
      <c r="D7" s="754"/>
      <c r="E7" s="754"/>
      <c r="F7" s="754"/>
      <c r="G7" s="754"/>
      <c r="H7" s="754"/>
      <c r="I7" s="64" t="str">
        <f>LEFT(I6)</f>
        <v>1</v>
      </c>
      <c r="J7" s="9"/>
      <c r="K7" s="64"/>
      <c r="L7" s="750" t="str">
        <f>Ticker</f>
        <v>AXP</v>
      </c>
      <c r="M7" s="751" t="str">
        <f>Comparables!$E$89</f>
        <v>V</v>
      </c>
      <c r="N7" s="751" t="str">
        <f>Comparables!$E$93</f>
        <v>MA</v>
      </c>
      <c r="O7" s="751" t="str">
        <f>Comparables!$E$97</f>
        <v>COF</v>
      </c>
      <c r="P7" s="751" t="str">
        <f>Comparables!$E$101</f>
        <v>JPM</v>
      </c>
      <c r="Q7" s="751"/>
      <c r="R7" s="751" t="str">
        <f t="shared" ref="R7:V7" si="9">L7</f>
        <v>AXP</v>
      </c>
      <c r="S7" s="751" t="str">
        <f t="shared" si="9"/>
        <v>V</v>
      </c>
      <c r="T7" s="751" t="str">
        <f t="shared" si="9"/>
        <v>MA</v>
      </c>
      <c r="U7" s="751" t="str">
        <f t="shared" si="9"/>
        <v>COF</v>
      </c>
      <c r="V7" s="751" t="str">
        <f t="shared" si="9"/>
        <v>JPM</v>
      </c>
      <c r="W7" s="751"/>
      <c r="X7" s="751" t="str">
        <f t="shared" ref="X7:AB7" si="10">L7</f>
        <v>AXP</v>
      </c>
      <c r="Y7" s="751" t="str">
        <f t="shared" si="10"/>
        <v>V</v>
      </c>
      <c r="Z7" s="751" t="str">
        <f t="shared" si="10"/>
        <v>MA</v>
      </c>
      <c r="AA7" s="751" t="str">
        <f t="shared" si="10"/>
        <v>COF</v>
      </c>
      <c r="AB7" s="751" t="str">
        <f t="shared" si="10"/>
        <v>JPM</v>
      </c>
      <c r="AC7" s="751"/>
      <c r="AD7" s="751" t="str">
        <f t="shared" ref="AD7:AH7" si="11">L7</f>
        <v>AXP</v>
      </c>
      <c r="AE7" s="751" t="str">
        <f t="shared" si="11"/>
        <v>V</v>
      </c>
      <c r="AF7" s="751" t="str">
        <f t="shared" si="11"/>
        <v>MA</v>
      </c>
      <c r="AG7" s="751" t="str">
        <f t="shared" si="11"/>
        <v>COF</v>
      </c>
      <c r="AH7" s="751" t="str">
        <f t="shared" si="11"/>
        <v>JPM</v>
      </c>
      <c r="AI7" s="751"/>
      <c r="AJ7" s="9"/>
      <c r="AK7" s="9"/>
      <c r="AL7" s="750" t="str">
        <f>Ticker</f>
        <v>AXP</v>
      </c>
      <c r="AM7" s="751" t="str">
        <f>Comparables!$I$89</f>
        <v>RTX</v>
      </c>
      <c r="AN7" s="751" t="str">
        <f>Comparables!$I$93</f>
        <v>BA</v>
      </c>
      <c r="AO7" s="751" t="str">
        <f>Comparables!$I$97</f>
        <v>HII</v>
      </c>
      <c r="AP7" s="751" t="str">
        <f>Comparables!$I$101</f>
        <v>LMT</v>
      </c>
      <c r="AQ7" s="751" t="str">
        <f>Comparables!$I$105</f>
        <v>NOC</v>
      </c>
      <c r="AR7" s="751" t="str">
        <f>$AL$7</f>
        <v>AXP</v>
      </c>
      <c r="AS7" s="751" t="str">
        <f t="shared" ref="AS7:AW7" si="12">AM7</f>
        <v>RTX</v>
      </c>
      <c r="AT7" s="751" t="str">
        <f t="shared" si="12"/>
        <v>BA</v>
      </c>
      <c r="AU7" s="751" t="str">
        <f t="shared" si="12"/>
        <v>HII</v>
      </c>
      <c r="AV7" s="751" t="str">
        <f t="shared" si="12"/>
        <v>LMT</v>
      </c>
      <c r="AW7" s="753" t="str">
        <f t="shared" si="12"/>
        <v>NOC</v>
      </c>
      <c r="AX7" s="751" t="s">
        <v>23</v>
      </c>
      <c r="AY7" s="751" t="str">
        <f t="shared" ref="AY7:BC7" si="13">AS7</f>
        <v>RTX</v>
      </c>
      <c r="AZ7" s="751" t="str">
        <f t="shared" si="13"/>
        <v>BA</v>
      </c>
      <c r="BA7" s="751" t="str">
        <f t="shared" si="13"/>
        <v>HII</v>
      </c>
      <c r="BB7" s="751" t="str">
        <f t="shared" si="13"/>
        <v>LMT</v>
      </c>
      <c r="BC7" s="753" t="str">
        <f t="shared" si="13"/>
        <v>NOC</v>
      </c>
      <c r="BD7" s="751" t="s">
        <v>23</v>
      </c>
      <c r="BE7" s="751" t="str">
        <f t="shared" ref="BE7:BI7" si="14">AY7</f>
        <v>RTX</v>
      </c>
      <c r="BF7" s="751" t="str">
        <f t="shared" si="14"/>
        <v>BA</v>
      </c>
      <c r="BG7" s="751" t="str">
        <f t="shared" si="14"/>
        <v>HII</v>
      </c>
      <c r="BH7" s="751" t="str">
        <f t="shared" si="14"/>
        <v>LMT</v>
      </c>
      <c r="BI7" s="753" t="str">
        <f t="shared" si="14"/>
        <v>NOC</v>
      </c>
      <c r="BJ7" s="9"/>
      <c r="BK7" s="9"/>
      <c r="BL7" s="750" t="str">
        <f>Ticker</f>
        <v>AXP</v>
      </c>
      <c r="BM7" s="751" t="str">
        <f>Comparables!$N$89</f>
        <v>MMM</v>
      </c>
      <c r="BN7" s="751" t="str">
        <f>Comparables!$N$93</f>
        <v>GE</v>
      </c>
      <c r="BO7" s="751" t="str">
        <f>Comparables!$N$97</f>
        <v>HON</v>
      </c>
      <c r="BP7" s="751" t="str">
        <f>Comparables!$N$101</f>
        <v>ROP</v>
      </c>
      <c r="BQ7" s="753" t="str">
        <f>Comparables!$N$105</f>
        <v>EMR</v>
      </c>
      <c r="BR7" s="751" t="s">
        <v>23</v>
      </c>
      <c r="BS7" s="751" t="str">
        <f t="shared" ref="BS7:BW7" si="15">BM7</f>
        <v>MMM</v>
      </c>
      <c r="BT7" s="751" t="str">
        <f t="shared" si="15"/>
        <v>GE</v>
      </c>
      <c r="BU7" s="751" t="str">
        <f t="shared" si="15"/>
        <v>HON</v>
      </c>
      <c r="BV7" s="751" t="str">
        <f t="shared" si="15"/>
        <v>ROP</v>
      </c>
      <c r="BW7" s="753" t="str">
        <f t="shared" si="15"/>
        <v>EMR</v>
      </c>
      <c r="BX7" s="751" t="str">
        <f>$BD$7</f>
        <v>LOW</v>
      </c>
      <c r="BY7" s="751" t="str">
        <f t="shared" ref="BY7:CC7" si="16">BS7</f>
        <v>MMM</v>
      </c>
      <c r="BZ7" s="751" t="str">
        <f t="shared" si="16"/>
        <v>GE</v>
      </c>
      <c r="CA7" s="751" t="str">
        <f t="shared" si="16"/>
        <v>HON</v>
      </c>
      <c r="CB7" s="751" t="str">
        <f t="shared" si="16"/>
        <v>ROP</v>
      </c>
      <c r="CC7" s="753" t="str">
        <f t="shared" si="16"/>
        <v>EMR</v>
      </c>
      <c r="CD7" s="751" t="str">
        <f>$BD$7</f>
        <v>LOW</v>
      </c>
      <c r="CE7" s="751" t="str">
        <f t="shared" ref="CE7:CI7" si="17">BY7</f>
        <v>MMM</v>
      </c>
      <c r="CF7" s="751" t="str">
        <f t="shared" si="17"/>
        <v>GE</v>
      </c>
      <c r="CG7" s="751" t="str">
        <f t="shared" si="17"/>
        <v>HON</v>
      </c>
      <c r="CH7" s="751" t="str">
        <f t="shared" si="17"/>
        <v>ROP</v>
      </c>
      <c r="CI7" s="753" t="str">
        <f t="shared" si="17"/>
        <v>EMR</v>
      </c>
    </row>
    <row r="8" spans="1:87" ht="14.25" customHeight="1" x14ac:dyDescent="0.25">
      <c r="A8" s="9"/>
      <c r="B8" s="9"/>
      <c r="C8" s="64"/>
      <c r="D8" s="9"/>
      <c r="E8" s="64" t="s">
        <v>761</v>
      </c>
      <c r="F8" s="64" t="s">
        <v>762</v>
      </c>
      <c r="G8" s="64" t="s">
        <v>763</v>
      </c>
      <c r="H8" s="64" t="s">
        <v>764</v>
      </c>
      <c r="I8" s="64">
        <f>IF(I7="1",4,I7-1)</f>
        <v>4</v>
      </c>
      <c r="J8" s="573">
        <v>2004</v>
      </c>
      <c r="K8" s="280" t="str">
        <f t="shared" ref="K8:K85" si="18">I8&amp;"Q"&amp;RIGHT(J8,2)</f>
        <v>4Q04</v>
      </c>
      <c r="L8" s="755">
        <v>18.7617364106464</v>
      </c>
      <c r="M8" s="688"/>
      <c r="N8" s="688"/>
      <c r="O8" s="688">
        <v>12.365638766519799</v>
      </c>
      <c r="P8" s="688">
        <v>11.9662576687117</v>
      </c>
      <c r="Q8" s="756"/>
      <c r="R8" s="755">
        <v>16.027145793875899</v>
      </c>
      <c r="S8" s="688"/>
      <c r="T8" s="688"/>
      <c r="U8" s="688">
        <v>12.1529759637775</v>
      </c>
      <c r="V8" s="688"/>
      <c r="W8" s="756"/>
      <c r="X8" s="755">
        <v>12.130053515392101</v>
      </c>
      <c r="Y8" s="688"/>
      <c r="Z8" s="688"/>
      <c r="AA8" s="688">
        <v>5.8916282323155604</v>
      </c>
      <c r="AB8" s="688"/>
      <c r="AC8" s="756"/>
      <c r="AD8" s="688"/>
      <c r="AE8" s="688"/>
      <c r="AF8" s="688">
        <v>7.5345992053530999</v>
      </c>
      <c r="AG8" s="688"/>
      <c r="AH8" s="688"/>
      <c r="AI8" s="756"/>
      <c r="AJ8" s="9"/>
      <c r="AK8" s="280" t="str">
        <f t="shared" ref="AK8:AK84" si="19">$K8</f>
        <v>4Q04</v>
      </c>
      <c r="AL8" s="755">
        <f t="shared" ref="AL8:AL84" si="20">L8</f>
        <v>18.7617364106464</v>
      </c>
      <c r="AM8" s="688">
        <v>31.637362450861499</v>
      </c>
      <c r="AN8" s="688">
        <v>57.324279925525097</v>
      </c>
      <c r="AO8" s="688">
        <v>29.532374100719402</v>
      </c>
      <c r="AP8" s="688">
        <v>19.820675105485201</v>
      </c>
      <c r="AQ8" s="756"/>
      <c r="AR8" s="755">
        <f t="shared" ref="AR8:AR84" si="21">R8</f>
        <v>16.027145793875899</v>
      </c>
      <c r="AS8" s="688">
        <v>24.162819974821701</v>
      </c>
      <c r="AT8" s="688">
        <v>15.5671617478749</v>
      </c>
      <c r="AU8" s="688">
        <v>19.4273544723142</v>
      </c>
      <c r="AV8" s="688">
        <v>18.1932610379551</v>
      </c>
      <c r="AW8" s="756"/>
      <c r="AX8" s="755">
        <f t="shared" ref="AX8:AX84" si="22">X8</f>
        <v>12.130053515392101</v>
      </c>
      <c r="AY8" s="688">
        <v>13.3943921309475</v>
      </c>
      <c r="AZ8" s="688">
        <v>10.1673549788865</v>
      </c>
      <c r="BA8" s="688">
        <v>16.4177867910307</v>
      </c>
      <c r="BB8" s="688">
        <v>11.5907362783901</v>
      </c>
      <c r="BC8" s="756">
        <v>9.9936780551287896</v>
      </c>
      <c r="BD8" s="755"/>
      <c r="BE8" s="688"/>
      <c r="BF8" s="688"/>
      <c r="BG8" s="688"/>
      <c r="BH8" s="688"/>
      <c r="BI8" s="756"/>
      <c r="BJ8" s="9"/>
      <c r="BK8" s="280" t="str">
        <f t="shared" ref="BK8:BK84" si="23">$K8</f>
        <v>4Q04</v>
      </c>
      <c r="BL8" s="755">
        <f t="shared" ref="BL8:BL84" si="24">AL8</f>
        <v>18.7617364106464</v>
      </c>
      <c r="BM8" s="688">
        <v>24.088983050847499</v>
      </c>
      <c r="BN8" s="688">
        <v>198.04347826086999</v>
      </c>
      <c r="BO8" s="688">
        <v>24.656757042957398</v>
      </c>
      <c r="BP8" s="688">
        <v>18.308107166803701</v>
      </c>
      <c r="BQ8" s="756">
        <v>18.366336633663401</v>
      </c>
      <c r="BR8" s="755">
        <f t="shared" ref="BR8:BR84" si="25">AR8</f>
        <v>16.027145793875899</v>
      </c>
      <c r="BS8" s="688">
        <v>21.340090090090101</v>
      </c>
      <c r="BT8" s="688">
        <v>59.3098958333333</v>
      </c>
      <c r="BU8" s="688">
        <v>21.8971197871046</v>
      </c>
      <c r="BV8" s="688">
        <v>15.649971332448199</v>
      </c>
      <c r="BW8" s="756">
        <v>17.207792207792199</v>
      </c>
      <c r="BX8" s="755">
        <f t="shared" ref="BX8:BX84" si="26">AX8</f>
        <v>12.130053515392101</v>
      </c>
      <c r="BY8" s="688">
        <v>9.9573483267269101</v>
      </c>
      <c r="BZ8" s="688"/>
      <c r="CA8" s="688">
        <v>14.827128694622299</v>
      </c>
      <c r="CB8" s="688">
        <v>10.0353539604855</v>
      </c>
      <c r="CC8" s="756">
        <v>9.4322991306432105</v>
      </c>
      <c r="CD8" s="755"/>
      <c r="CE8" s="688"/>
      <c r="CF8" s="688"/>
      <c r="CG8" s="688"/>
      <c r="CH8" s="688"/>
      <c r="CI8" s="756"/>
    </row>
    <row r="9" spans="1:87" ht="14.25" customHeight="1" x14ac:dyDescent="0.25">
      <c r="A9" s="9"/>
      <c r="B9" s="9"/>
      <c r="C9" s="9" t="s">
        <v>735</v>
      </c>
      <c r="D9" s="9"/>
      <c r="E9" s="651">
        <f>MEDIAN(L87:L92)</f>
        <v>22.056995880967349</v>
      </c>
      <c r="F9" s="651">
        <f>MEDIAN(R87:R92)</f>
        <v>19.606736024102197</v>
      </c>
      <c r="G9" s="651">
        <f>MEDIAN(X87:X92)</f>
        <v>9.6693798945821499</v>
      </c>
      <c r="H9" s="651">
        <f>MEDIAN(AD87:AD92)</f>
        <v>12.4849</v>
      </c>
      <c r="I9" s="64">
        <f>IF(I8=4,1,I8+1)</f>
        <v>1</v>
      </c>
      <c r="J9" s="3">
        <f t="shared" ref="J9:J85" si="27">IF(I9=1,J8+1,J8)</f>
        <v>2005</v>
      </c>
      <c r="K9" s="280" t="str">
        <f t="shared" si="18"/>
        <v>1Q05</v>
      </c>
      <c r="L9" s="755">
        <v>16.471291853479901</v>
      </c>
      <c r="M9" s="688"/>
      <c r="N9" s="688"/>
      <c r="O9" s="688">
        <v>11.610248447205</v>
      </c>
      <c r="P9" s="688">
        <v>12.0979020979021</v>
      </c>
      <c r="Q9" s="756"/>
      <c r="R9" s="755"/>
      <c r="S9" s="688"/>
      <c r="T9" s="688"/>
      <c r="U9" s="688"/>
      <c r="V9" s="688"/>
      <c r="W9" s="756"/>
      <c r="X9" s="755">
        <v>15.1910411113363</v>
      </c>
      <c r="Y9" s="688"/>
      <c r="Z9" s="688"/>
      <c r="AA9" s="688">
        <v>5.68330223675762</v>
      </c>
      <c r="AB9" s="688"/>
      <c r="AC9" s="756"/>
      <c r="AD9" s="688"/>
      <c r="AE9" s="688"/>
      <c r="AF9" s="688">
        <v>10.649817375112899</v>
      </c>
      <c r="AG9" s="688"/>
      <c r="AH9" s="688"/>
      <c r="AI9" s="756"/>
      <c r="AJ9" s="9"/>
      <c r="AK9" s="280" t="str">
        <f t="shared" si="19"/>
        <v>1Q05</v>
      </c>
      <c r="AL9" s="755">
        <f t="shared" si="20"/>
        <v>16.471291853479901</v>
      </c>
      <c r="AM9" s="688">
        <v>33.7378642338589</v>
      </c>
      <c r="AN9" s="688">
        <v>65.206127397706098</v>
      </c>
      <c r="AO9" s="688">
        <v>25.3105590062112</v>
      </c>
      <c r="AP9" s="688">
        <v>21.441532278677698</v>
      </c>
      <c r="AQ9" s="756"/>
      <c r="AR9" s="755">
        <f t="shared" si="21"/>
        <v>0</v>
      </c>
      <c r="AS9" s="688">
        <v>27.5903136165145</v>
      </c>
      <c r="AT9" s="688">
        <v>17.0317268699309</v>
      </c>
      <c r="AU9" s="688">
        <v>18.744250229990801</v>
      </c>
      <c r="AV9" s="688">
        <v>20.404834996162698</v>
      </c>
      <c r="AW9" s="756"/>
      <c r="AX9" s="755">
        <f t="shared" si="22"/>
        <v>15.1910411113363</v>
      </c>
      <c r="AY9" s="688">
        <v>15.4589819476129</v>
      </c>
      <c r="AZ9" s="688">
        <v>9.6315659597678493</v>
      </c>
      <c r="BA9" s="688">
        <v>16.510245053120101</v>
      </c>
      <c r="BB9" s="688">
        <v>12.6637918478585</v>
      </c>
      <c r="BC9" s="756">
        <v>10.578875904655099</v>
      </c>
      <c r="BD9" s="755"/>
      <c r="BE9" s="688"/>
      <c r="BF9" s="688"/>
      <c r="BG9" s="688"/>
      <c r="BH9" s="688"/>
      <c r="BI9" s="756"/>
      <c r="BJ9" s="9"/>
      <c r="BK9" s="280" t="str">
        <f t="shared" si="23"/>
        <v>1Q05</v>
      </c>
      <c r="BL9" s="755">
        <f t="shared" si="24"/>
        <v>16.471291853479901</v>
      </c>
      <c r="BM9" s="688">
        <v>22.662037037036999</v>
      </c>
      <c r="BN9" s="688">
        <v>171.07142857142901</v>
      </c>
      <c r="BO9" s="688">
        <v>18.492949119205299</v>
      </c>
      <c r="BP9" s="688">
        <v>16.853791886242298</v>
      </c>
      <c r="BQ9" s="756">
        <v>16.5206812652068</v>
      </c>
      <c r="BR9" s="755">
        <f t="shared" si="25"/>
        <v>0</v>
      </c>
      <c r="BS9" s="688">
        <v>19.627105052125099</v>
      </c>
      <c r="BT9" s="688">
        <v>55.439814814814802</v>
      </c>
      <c r="BU9" s="688">
        <v>16.882922110036301</v>
      </c>
      <c r="BV9" s="688">
        <v>14.339053379060401</v>
      </c>
      <c r="BW9" s="756">
        <v>15.68853974122</v>
      </c>
      <c r="BX9" s="755">
        <f t="shared" si="26"/>
        <v>15.1910411113363</v>
      </c>
      <c r="BY9" s="688">
        <v>7.8904420478266601</v>
      </c>
      <c r="BZ9" s="688"/>
      <c r="CA9" s="688">
        <v>10.898874644551899</v>
      </c>
      <c r="CB9" s="688">
        <v>9.5320641300941595</v>
      </c>
      <c r="CC9" s="756">
        <v>8.65171889647252</v>
      </c>
      <c r="CD9" s="755"/>
      <c r="CE9" s="688"/>
      <c r="CF9" s="688"/>
      <c r="CG9" s="688"/>
      <c r="CH9" s="688"/>
      <c r="CI9" s="756"/>
    </row>
    <row r="10" spans="1:87" ht="14.25" customHeight="1" x14ac:dyDescent="0.25">
      <c r="A10" s="9"/>
      <c r="B10" s="9"/>
      <c r="C10" s="9" t="s">
        <v>737</v>
      </c>
      <c r="D10" s="9"/>
      <c r="E10" s="651">
        <f>MEDIAN(L83:L92)</f>
        <v>20.275067570266451</v>
      </c>
      <c r="F10" s="651">
        <f>MEDIAN(R83:R92)</f>
        <v>17.990782855805648</v>
      </c>
      <c r="G10" s="651">
        <f>MEDIAN(X83:X92)</f>
        <v>8.7616522372950101</v>
      </c>
      <c r="H10" s="651">
        <f>MEDIAN(AD83:AD92)</f>
        <v>12.922555968119699</v>
      </c>
      <c r="I10" s="64">
        <f>IF(I9+1=5,1,I9+1)</f>
        <v>2</v>
      </c>
      <c r="J10" s="3">
        <f t="shared" si="27"/>
        <v>2005</v>
      </c>
      <c r="K10" s="280" t="str">
        <f t="shared" si="18"/>
        <v>2Q05</v>
      </c>
      <c r="L10" s="755">
        <v>16.474288579173699</v>
      </c>
      <c r="M10" s="688"/>
      <c r="N10" s="688"/>
      <c r="O10" s="688">
        <v>12.0861027190332</v>
      </c>
      <c r="P10" s="688">
        <v>12.1793103448276</v>
      </c>
      <c r="Q10" s="756"/>
      <c r="R10" s="755">
        <v>13.8803455824713</v>
      </c>
      <c r="S10" s="688"/>
      <c r="T10" s="688"/>
      <c r="U10" s="688">
        <v>10.863139299429401</v>
      </c>
      <c r="V10" s="688"/>
      <c r="W10" s="756"/>
      <c r="X10" s="755">
        <v>14.8688524151713</v>
      </c>
      <c r="Y10" s="688"/>
      <c r="Z10" s="688"/>
      <c r="AA10" s="688">
        <v>6.0174101682352497</v>
      </c>
      <c r="AB10" s="688"/>
      <c r="AC10" s="756"/>
      <c r="AD10" s="688"/>
      <c r="AE10" s="688"/>
      <c r="AF10" s="688">
        <v>13.678968373256801</v>
      </c>
      <c r="AG10" s="688"/>
      <c r="AH10" s="688"/>
      <c r="AI10" s="756"/>
      <c r="AJ10" s="9"/>
      <c r="AK10" s="280" t="str">
        <f t="shared" si="19"/>
        <v>2Q05</v>
      </c>
      <c r="AL10" s="755">
        <f t="shared" si="20"/>
        <v>16.474288579173699</v>
      </c>
      <c r="AM10" s="688">
        <v>28.240174554882401</v>
      </c>
      <c r="AN10" s="688">
        <v>61.521475380223102</v>
      </c>
      <c r="AO10" s="688">
        <v>15.668449197860999</v>
      </c>
      <c r="AP10" s="688">
        <v>15.640384615384599</v>
      </c>
      <c r="AQ10" s="756"/>
      <c r="AR10" s="755">
        <f t="shared" si="21"/>
        <v>13.8803455824713</v>
      </c>
      <c r="AS10" s="688">
        <v>25.460629921259802</v>
      </c>
      <c r="AT10" s="688">
        <v>17.211126753747301</v>
      </c>
      <c r="AU10" s="688">
        <v>13.5710977304308</v>
      </c>
      <c r="AV10" s="688">
        <v>15.6947124662293</v>
      </c>
      <c r="AW10" s="756"/>
      <c r="AX10" s="755">
        <f t="shared" si="22"/>
        <v>14.8688524151713</v>
      </c>
      <c r="AY10" s="688">
        <v>14.158169978354501</v>
      </c>
      <c r="AZ10" s="688">
        <v>9.5083560163820504</v>
      </c>
      <c r="BA10" s="688">
        <v>8.8106054983290107</v>
      </c>
      <c r="BB10" s="688">
        <v>9.70905162045044</v>
      </c>
      <c r="BC10" s="756">
        <v>6.7470807153880097</v>
      </c>
      <c r="BD10" s="755"/>
      <c r="BE10" s="688"/>
      <c r="BF10" s="688"/>
      <c r="BG10" s="688"/>
      <c r="BH10" s="688"/>
      <c r="BI10" s="756"/>
      <c r="BJ10" s="9"/>
      <c r="BK10" s="280" t="str">
        <f t="shared" si="23"/>
        <v>2Q05</v>
      </c>
      <c r="BL10" s="755">
        <f t="shared" si="24"/>
        <v>16.474288579173699</v>
      </c>
      <c r="BM10" s="688">
        <v>17.073394495412799</v>
      </c>
      <c r="BN10" s="688">
        <v>77.033898305084804</v>
      </c>
      <c r="BO10" s="688">
        <v>14.902419503144699</v>
      </c>
      <c r="BP10" s="688">
        <v>10.058718431346</v>
      </c>
      <c r="BQ10" s="756">
        <v>13.45</v>
      </c>
      <c r="BR10" s="755">
        <f t="shared" si="25"/>
        <v>13.8803455824713</v>
      </c>
      <c r="BS10" s="688">
        <v>18.371174728529098</v>
      </c>
      <c r="BT10" s="688">
        <v>42.6360225140713</v>
      </c>
      <c r="BU10" s="688">
        <v>14.395411306196801</v>
      </c>
      <c r="BV10" s="688">
        <v>10.177874029743</v>
      </c>
      <c r="BW10" s="756">
        <v>12.8503184713376</v>
      </c>
      <c r="BX10" s="755">
        <f t="shared" si="26"/>
        <v>14.8688524151713</v>
      </c>
      <c r="BY10" s="688">
        <v>6.2963293631215604</v>
      </c>
      <c r="BZ10" s="688"/>
      <c r="CA10" s="688">
        <v>9.2373047125244803</v>
      </c>
      <c r="CB10" s="688">
        <v>6.1883074259171602</v>
      </c>
      <c r="CC10" s="756">
        <v>7.0093251329130304</v>
      </c>
      <c r="CD10" s="755"/>
      <c r="CE10" s="688"/>
      <c r="CF10" s="688"/>
      <c r="CG10" s="688"/>
      <c r="CH10" s="688"/>
      <c r="CI10" s="756"/>
    </row>
    <row r="11" spans="1:87" ht="14.25" customHeight="1" x14ac:dyDescent="0.25">
      <c r="A11" s="9"/>
      <c r="B11" s="9"/>
      <c r="C11" s="9" t="s">
        <v>732</v>
      </c>
      <c r="D11" s="9"/>
      <c r="E11" s="651">
        <f>MEDIAN(L79:L92)</f>
        <v>19.138725633726001</v>
      </c>
      <c r="F11" s="651">
        <f>MEDIAN(R79:R92)</f>
        <v>16.795586512865199</v>
      </c>
      <c r="G11" s="651">
        <f>MEDIAN(X79:X92)</f>
        <v>9.0254957673511491</v>
      </c>
      <c r="H11" s="651">
        <f>MEDIAN(AD79:AD92)</f>
        <v>12.50866329339525</v>
      </c>
      <c r="I11" s="64">
        <f>IF(I10=4,1,I10+1)</f>
        <v>3</v>
      </c>
      <c r="J11" s="3">
        <f t="shared" si="27"/>
        <v>2005</v>
      </c>
      <c r="K11" s="280" t="str">
        <f t="shared" si="18"/>
        <v>3Q05</v>
      </c>
      <c r="L11" s="755">
        <v>17.170174676172401</v>
      </c>
      <c r="M11" s="688"/>
      <c r="N11" s="688"/>
      <c r="O11" s="688">
        <v>11.6087591240876</v>
      </c>
      <c r="P11" s="688">
        <v>12.520295202951999</v>
      </c>
      <c r="Q11" s="756"/>
      <c r="R11" s="755">
        <v>14.8529546704673</v>
      </c>
      <c r="S11" s="688"/>
      <c r="T11" s="688"/>
      <c r="U11" s="688">
        <v>10.4539230182283</v>
      </c>
      <c r="V11" s="688"/>
      <c r="W11" s="756"/>
      <c r="X11" s="755">
        <v>15.0899041272085</v>
      </c>
      <c r="Y11" s="688"/>
      <c r="Z11" s="688"/>
      <c r="AA11" s="688">
        <v>5.5341018833648201</v>
      </c>
      <c r="AB11" s="688"/>
      <c r="AC11" s="756"/>
      <c r="AD11" s="688"/>
      <c r="AE11" s="688"/>
      <c r="AF11" s="688">
        <v>13.044380632121699</v>
      </c>
      <c r="AG11" s="688"/>
      <c r="AH11" s="688"/>
      <c r="AI11" s="756"/>
      <c r="AJ11" s="9"/>
      <c r="AK11" s="280" t="str">
        <f t="shared" si="19"/>
        <v>3Q05</v>
      </c>
      <c r="AL11" s="755">
        <f t="shared" si="20"/>
        <v>17.170174676172401</v>
      </c>
      <c r="AM11" s="688">
        <v>22.470817037238</v>
      </c>
      <c r="AN11" s="688">
        <v>38.275667123239401</v>
      </c>
      <c r="AO11" s="688">
        <v>16.6216216216216</v>
      </c>
      <c r="AP11" s="688">
        <v>15.0037807183365</v>
      </c>
      <c r="AQ11" s="756"/>
      <c r="AR11" s="755">
        <f t="shared" si="21"/>
        <v>14.8529546704673</v>
      </c>
      <c r="AS11" s="688">
        <v>22.647058823529399</v>
      </c>
      <c r="AT11" s="688">
        <v>14.7843172547043</v>
      </c>
      <c r="AU11" s="688">
        <v>14.5047169811321</v>
      </c>
      <c r="AV11" s="688">
        <v>15.3283120896099</v>
      </c>
      <c r="AW11" s="756"/>
      <c r="AX11" s="755">
        <f t="shared" si="22"/>
        <v>15.0899041272085</v>
      </c>
      <c r="AY11" s="688">
        <v>12.438216454011799</v>
      </c>
      <c r="AZ11" s="688">
        <v>12.8718399686108</v>
      </c>
      <c r="BA11" s="688">
        <v>9.5505458050116392</v>
      </c>
      <c r="BB11" s="688">
        <v>9.3855530309703301</v>
      </c>
      <c r="BC11" s="756">
        <v>5.7445343172853498</v>
      </c>
      <c r="BD11" s="755"/>
      <c r="BE11" s="688"/>
      <c r="BF11" s="688"/>
      <c r="BG11" s="688"/>
      <c r="BH11" s="688"/>
      <c r="BI11" s="756"/>
      <c r="BJ11" s="9"/>
      <c r="BK11" s="280" t="str">
        <f t="shared" si="23"/>
        <v>3Q05</v>
      </c>
      <c r="BL11" s="755">
        <f t="shared" si="24"/>
        <v>17.170174676172401</v>
      </c>
      <c r="BM11" s="688">
        <v>19.878260869565199</v>
      </c>
      <c r="BN11" s="688">
        <v>33.713235294117602</v>
      </c>
      <c r="BO11" s="688">
        <v>15.5009745629139</v>
      </c>
      <c r="BP11" s="688">
        <v>11.424029243356999</v>
      </c>
      <c r="BQ11" s="756">
        <v>14.0772727272727</v>
      </c>
      <c r="BR11" s="755">
        <f t="shared" si="25"/>
        <v>14.8529546704673</v>
      </c>
      <c r="BS11" s="688">
        <v>21.8546845124283</v>
      </c>
      <c r="BT11" s="688">
        <v>19.362331081081098</v>
      </c>
      <c r="BU11" s="688">
        <v>15.470238988764001</v>
      </c>
      <c r="BV11" s="688">
        <v>11.4012267897774</v>
      </c>
      <c r="BW11" s="756">
        <v>14.0581025873808</v>
      </c>
      <c r="BX11" s="755">
        <f t="shared" si="26"/>
        <v>15.0899041272085</v>
      </c>
      <c r="BY11" s="688">
        <v>5.6028124647543498</v>
      </c>
      <c r="BZ11" s="688"/>
      <c r="CA11" s="688">
        <v>10.262349948648</v>
      </c>
      <c r="CB11" s="688">
        <v>7.1636422617175199</v>
      </c>
      <c r="CC11" s="756">
        <v>7.5613132749682803</v>
      </c>
      <c r="CD11" s="755"/>
      <c r="CE11" s="688"/>
      <c r="CF11" s="688"/>
      <c r="CG11" s="688"/>
      <c r="CH11" s="688"/>
      <c r="CI11" s="756"/>
    </row>
    <row r="12" spans="1:87" ht="14.25" customHeight="1" x14ac:dyDescent="0.25">
      <c r="A12" s="9"/>
      <c r="B12" s="9"/>
      <c r="C12" s="9" t="s">
        <v>738</v>
      </c>
      <c r="D12" s="9"/>
      <c r="E12" s="651">
        <f>MEDIAN(L71:L92)</f>
        <v>19.342186229105451</v>
      </c>
      <c r="F12" s="651">
        <f>MEDIAN(R71:R92)</f>
        <v>17.121107987737297</v>
      </c>
      <c r="G12" s="651">
        <f>MEDIAN(X71:X92)</f>
        <v>9.426130105016064</v>
      </c>
      <c r="H12" s="651">
        <f>MEDIAN(AD71:AD92)</f>
        <v>12.4849</v>
      </c>
      <c r="I12" s="64">
        <f>I8</f>
        <v>4</v>
      </c>
      <c r="J12" s="3">
        <f t="shared" si="27"/>
        <v>2005</v>
      </c>
      <c r="K12" s="280" t="str">
        <f t="shared" si="18"/>
        <v>4Q05</v>
      </c>
      <c r="L12" s="755">
        <v>17.8165052298333</v>
      </c>
      <c r="M12" s="688"/>
      <c r="N12" s="688"/>
      <c r="O12" s="688">
        <v>13.090909090909101</v>
      </c>
      <c r="P12" s="688">
        <v>13.8776223776224</v>
      </c>
      <c r="Q12" s="756"/>
      <c r="R12" s="755">
        <v>17.419753086419799</v>
      </c>
      <c r="S12" s="688"/>
      <c r="T12" s="688"/>
      <c r="U12" s="688">
        <v>11.2417265373084</v>
      </c>
      <c r="V12" s="688">
        <v>11.7321903635826</v>
      </c>
      <c r="W12" s="756"/>
      <c r="X12" s="755">
        <v>14.2086508200306</v>
      </c>
      <c r="Y12" s="688"/>
      <c r="Z12" s="688"/>
      <c r="AA12" s="688">
        <v>6.1675931208102801</v>
      </c>
      <c r="AB12" s="688"/>
      <c r="AC12" s="756"/>
      <c r="AD12" s="688"/>
      <c r="AE12" s="688"/>
      <c r="AF12" s="688">
        <v>17.965609012376898</v>
      </c>
      <c r="AG12" s="688"/>
      <c r="AH12" s="688"/>
      <c r="AI12" s="756"/>
      <c r="AJ12" s="9"/>
      <c r="AK12" s="280" t="str">
        <f t="shared" si="19"/>
        <v>4Q05</v>
      </c>
      <c r="AL12" s="755">
        <f t="shared" si="20"/>
        <v>17.8165052298333</v>
      </c>
      <c r="AM12" s="688">
        <v>18.1488548131938</v>
      </c>
      <c r="AN12" s="688">
        <v>13.8276219685405</v>
      </c>
      <c r="AO12" s="688">
        <v>16.211428571428598</v>
      </c>
      <c r="AP12" s="688">
        <v>10.4695817490494</v>
      </c>
      <c r="AQ12" s="756"/>
      <c r="AR12" s="755">
        <f t="shared" si="21"/>
        <v>17.419753086419799</v>
      </c>
      <c r="AS12" s="688">
        <v>21.5940054495913</v>
      </c>
      <c r="AT12" s="688">
        <v>20.175185023328101</v>
      </c>
      <c r="AU12" s="688">
        <v>16.455916473317899</v>
      </c>
      <c r="AV12" s="688">
        <v>10.935266084193801</v>
      </c>
      <c r="AW12" s="756"/>
      <c r="AX12" s="755">
        <f t="shared" si="22"/>
        <v>14.2086508200306</v>
      </c>
      <c r="AY12" s="688">
        <v>10.3640936852251</v>
      </c>
      <c r="AZ12" s="688">
        <v>10.863550802600701</v>
      </c>
      <c r="BA12" s="688">
        <v>9.7585633130094198</v>
      </c>
      <c r="BB12" s="688">
        <v>7.4360441182740997</v>
      </c>
      <c r="BC12" s="756">
        <v>5.3877467970278898</v>
      </c>
      <c r="BD12" s="755"/>
      <c r="BE12" s="688"/>
      <c r="BF12" s="688"/>
      <c r="BG12" s="688"/>
      <c r="BH12" s="688"/>
      <c r="BI12" s="756"/>
      <c r="BJ12" s="9"/>
      <c r="BK12" s="280" t="str">
        <f t="shared" si="23"/>
        <v>4Q05</v>
      </c>
      <c r="BL12" s="755">
        <f t="shared" si="24"/>
        <v>17.8165052298333</v>
      </c>
      <c r="BM12" s="688">
        <v>20.163934426229499</v>
      </c>
      <c r="BN12" s="688">
        <v>21.811111111111099</v>
      </c>
      <c r="BO12" s="688">
        <v>16.562101824324301</v>
      </c>
      <c r="BP12" s="688">
        <v>10.874209654104501</v>
      </c>
      <c r="BQ12" s="756">
        <v>12.84</v>
      </c>
      <c r="BR12" s="755">
        <f t="shared" si="25"/>
        <v>17.419753086419799</v>
      </c>
      <c r="BS12" s="688">
        <v>21.8278615794144</v>
      </c>
      <c r="BT12" s="688">
        <v>16.523569023568999</v>
      </c>
      <c r="BU12" s="688">
        <v>15.253211387678901</v>
      </c>
      <c r="BV12" s="688">
        <v>12.452401747198699</v>
      </c>
      <c r="BW12" s="756">
        <v>12.3093310609288</v>
      </c>
      <c r="BX12" s="755">
        <f t="shared" si="26"/>
        <v>14.2086508200306</v>
      </c>
      <c r="BY12" s="688">
        <v>6.9375454261654701</v>
      </c>
      <c r="BZ12" s="688"/>
      <c r="CA12" s="688">
        <v>10.9533057003254</v>
      </c>
      <c r="CB12" s="688">
        <v>6.9655827047635199</v>
      </c>
      <c r="CC12" s="756">
        <v>7.0399312759850696</v>
      </c>
      <c r="CD12" s="755"/>
      <c r="CE12" s="688"/>
      <c r="CF12" s="688"/>
      <c r="CG12" s="688"/>
      <c r="CH12" s="688"/>
      <c r="CI12" s="756"/>
    </row>
    <row r="13" spans="1:87" ht="14.25" customHeight="1" x14ac:dyDescent="0.25">
      <c r="A13" s="9"/>
      <c r="B13" s="9"/>
      <c r="C13" s="754" t="s">
        <v>766</v>
      </c>
      <c r="D13" s="754"/>
      <c r="E13" s="754"/>
      <c r="F13" s="754"/>
      <c r="G13" s="754"/>
      <c r="H13" s="754"/>
      <c r="I13" s="64">
        <f>IF(I12=4,1,I12+1)</f>
        <v>1</v>
      </c>
      <c r="J13" s="3">
        <f t="shared" si="27"/>
        <v>2006</v>
      </c>
      <c r="K13" s="280" t="str">
        <f t="shared" si="18"/>
        <v>1Q06</v>
      </c>
      <c r="L13" s="755">
        <v>21.361788617886202</v>
      </c>
      <c r="M13" s="688"/>
      <c r="N13" s="688"/>
      <c r="O13" s="688">
        <v>11.964338781575</v>
      </c>
      <c r="P13" s="688">
        <v>14.1152542372881</v>
      </c>
      <c r="Q13" s="756"/>
      <c r="R13" s="755">
        <v>17.2429018562508</v>
      </c>
      <c r="S13" s="688"/>
      <c r="T13" s="688"/>
      <c r="U13" s="688">
        <v>10.218362929933001</v>
      </c>
      <c r="V13" s="688">
        <v>11.9171992002195</v>
      </c>
      <c r="W13" s="756"/>
      <c r="X13" s="755">
        <v>11.752807184465301</v>
      </c>
      <c r="Y13" s="688"/>
      <c r="Z13" s="688"/>
      <c r="AA13" s="688">
        <v>6.2499625225876096</v>
      </c>
      <c r="AB13" s="688"/>
      <c r="AC13" s="756"/>
      <c r="AD13" s="688"/>
      <c r="AE13" s="688"/>
      <c r="AF13" s="688">
        <v>14.8753119407067</v>
      </c>
      <c r="AG13" s="688"/>
      <c r="AH13" s="688"/>
      <c r="AI13" s="756"/>
      <c r="AJ13" s="9"/>
      <c r="AK13" s="280" t="str">
        <f t="shared" si="19"/>
        <v>1Q06</v>
      </c>
      <c r="AL13" s="755">
        <f t="shared" si="20"/>
        <v>21.361788617886202</v>
      </c>
      <c r="AM13" s="688">
        <v>18.0189389708436</v>
      </c>
      <c r="AN13" s="688">
        <v>14.365974350033699</v>
      </c>
      <c r="AO13" s="688">
        <v>20.147239263803701</v>
      </c>
      <c r="AP13" s="688">
        <v>14.105058365758801</v>
      </c>
      <c r="AQ13" s="756"/>
      <c r="AR13" s="755">
        <f t="shared" si="21"/>
        <v>17.2429018562508</v>
      </c>
      <c r="AS13" s="688">
        <v>20.6736201651456</v>
      </c>
      <c r="AT13" s="688">
        <v>19.424412156575698</v>
      </c>
      <c r="AU13" s="688">
        <v>18.960739030023099</v>
      </c>
      <c r="AV13" s="688">
        <v>14.905427631578901</v>
      </c>
      <c r="AW13" s="756"/>
      <c r="AX13" s="755">
        <f t="shared" si="22"/>
        <v>11.752807184465301</v>
      </c>
      <c r="AY13" s="688">
        <v>10.3669599181416</v>
      </c>
      <c r="AZ13" s="688">
        <v>11.1857641603841</v>
      </c>
      <c r="BA13" s="688">
        <v>10.7758521211248</v>
      </c>
      <c r="BB13" s="688">
        <v>9.5850161557941806</v>
      </c>
      <c r="BC13" s="756">
        <v>5.6929665138237198</v>
      </c>
      <c r="BD13" s="755"/>
      <c r="BE13" s="688"/>
      <c r="BF13" s="688"/>
      <c r="BG13" s="688"/>
      <c r="BH13" s="688"/>
      <c r="BI13" s="756"/>
      <c r="BJ13" s="9"/>
      <c r="BK13" s="280" t="str">
        <f t="shared" si="23"/>
        <v>1Q06</v>
      </c>
      <c r="BL13" s="755">
        <f t="shared" si="24"/>
        <v>21.361788617886202</v>
      </c>
      <c r="BM13" s="688">
        <v>18.491694352159499</v>
      </c>
      <c r="BN13" s="688">
        <v>20.043859649122801</v>
      </c>
      <c r="BO13" s="688">
        <v>19.4145705295775</v>
      </c>
      <c r="BP13" s="688">
        <v>15.1250091313676</v>
      </c>
      <c r="BQ13" s="756">
        <v>15.635761589404</v>
      </c>
      <c r="BR13" s="755">
        <f t="shared" si="25"/>
        <v>17.2429018562508</v>
      </c>
      <c r="BS13" s="688">
        <v>24.498239436619698</v>
      </c>
      <c r="BT13" s="688">
        <v>19.664371772805499</v>
      </c>
      <c r="BU13" s="688">
        <v>17.284445236363599</v>
      </c>
      <c r="BV13" s="688">
        <v>16.4381128180137</v>
      </c>
      <c r="BW13" s="756">
        <v>15.291450777202099</v>
      </c>
      <c r="BX13" s="755">
        <f t="shared" si="26"/>
        <v>11.752807184465301</v>
      </c>
      <c r="BY13" s="688">
        <v>7.8802383832311698</v>
      </c>
      <c r="BZ13" s="688"/>
      <c r="CA13" s="688">
        <v>12.503325778467699</v>
      </c>
      <c r="CB13" s="688">
        <v>9.0789445856969593</v>
      </c>
      <c r="CC13" s="756">
        <v>8.2831119078969699</v>
      </c>
      <c r="CD13" s="755"/>
      <c r="CE13" s="688"/>
      <c r="CF13" s="688"/>
      <c r="CG13" s="688"/>
      <c r="CH13" s="688"/>
      <c r="CI13" s="756"/>
    </row>
    <row r="14" spans="1:87" ht="14.25" customHeight="1" x14ac:dyDescent="0.25">
      <c r="A14" s="9"/>
      <c r="B14" s="9"/>
      <c r="C14" s="64"/>
      <c r="D14" s="9"/>
      <c r="E14" s="64" t="s">
        <v>761</v>
      </c>
      <c r="F14" s="64" t="s">
        <v>762</v>
      </c>
      <c r="G14" s="64" t="s">
        <v>763</v>
      </c>
      <c r="H14" s="64" t="s">
        <v>764</v>
      </c>
      <c r="I14" s="64">
        <f>IF(I13+1=5,1,I13+1)</f>
        <v>2</v>
      </c>
      <c r="J14" s="3">
        <f t="shared" si="27"/>
        <v>2006</v>
      </c>
      <c r="K14" s="280" t="str">
        <f t="shared" si="18"/>
        <v>2Q06</v>
      </c>
      <c r="L14" s="755">
        <v>19.4945054945055</v>
      </c>
      <c r="M14" s="688"/>
      <c r="N14" s="688">
        <v>17.977528089887599</v>
      </c>
      <c r="O14" s="688">
        <v>11.3029100529101</v>
      </c>
      <c r="P14" s="688">
        <v>13.953488372093</v>
      </c>
      <c r="Q14" s="756"/>
      <c r="R14" s="755">
        <v>16.951315974007802</v>
      </c>
      <c r="S14" s="688"/>
      <c r="T14" s="688">
        <v>15.150991040852301</v>
      </c>
      <c r="U14" s="688">
        <v>10.505519832795599</v>
      </c>
      <c r="V14" s="688">
        <v>11.3341278599066</v>
      </c>
      <c r="W14" s="756"/>
      <c r="X14" s="755">
        <v>11.451097591075801</v>
      </c>
      <c r="Y14" s="688"/>
      <c r="Z14" s="688">
        <v>10.354075214107301</v>
      </c>
      <c r="AA14" s="688">
        <v>5.7414760170188499</v>
      </c>
      <c r="AB14" s="688"/>
      <c r="AC14" s="756"/>
      <c r="AD14" s="688"/>
      <c r="AE14" s="688"/>
      <c r="AF14" s="688">
        <v>17.457791896375699</v>
      </c>
      <c r="AG14" s="688"/>
      <c r="AH14" s="688"/>
      <c r="AI14" s="756"/>
      <c r="AJ14" s="9"/>
      <c r="AK14" s="280" t="str">
        <f t="shared" si="19"/>
        <v>2Q06</v>
      </c>
      <c r="AL14" s="755">
        <f t="shared" si="20"/>
        <v>19.4945054945055</v>
      </c>
      <c r="AM14" s="688">
        <v>17.481060195594502</v>
      </c>
      <c r="AN14" s="688">
        <v>15.522261708394099</v>
      </c>
      <c r="AO14" s="688">
        <v>18.6666666666667</v>
      </c>
      <c r="AP14" s="688">
        <v>15.4574257425743</v>
      </c>
      <c r="AQ14" s="756"/>
      <c r="AR14" s="755">
        <f t="shared" si="21"/>
        <v>16.951315974007802</v>
      </c>
      <c r="AS14" s="688">
        <v>19.755993150684901</v>
      </c>
      <c r="AT14" s="688">
        <v>18.1815152343096</v>
      </c>
      <c r="AU14" s="688">
        <v>16.147635524798201</v>
      </c>
      <c r="AV14" s="688">
        <v>15.731559854897201</v>
      </c>
      <c r="AW14" s="756"/>
      <c r="AX14" s="755">
        <f t="shared" si="22"/>
        <v>11.451097591075801</v>
      </c>
      <c r="AY14" s="688">
        <v>10.126900781465899</v>
      </c>
      <c r="AZ14" s="688">
        <v>10.116232479017301</v>
      </c>
      <c r="BA14" s="688">
        <v>11.263662924116799</v>
      </c>
      <c r="BB14" s="688">
        <v>11.3925268271013</v>
      </c>
      <c r="BC14" s="756">
        <v>6.4459823516460197</v>
      </c>
      <c r="BD14" s="755"/>
      <c r="BE14" s="688"/>
      <c r="BF14" s="688"/>
      <c r="BG14" s="688"/>
      <c r="BH14" s="688"/>
      <c r="BI14" s="756"/>
      <c r="BJ14" s="9"/>
      <c r="BK14" s="280" t="str">
        <f t="shared" si="23"/>
        <v>2Q06</v>
      </c>
      <c r="BL14" s="755">
        <f t="shared" si="24"/>
        <v>19.4945054945055</v>
      </c>
      <c r="BM14" s="688">
        <v>21.9936102236422</v>
      </c>
      <c r="BN14" s="688">
        <v>19.817843866171</v>
      </c>
      <c r="BO14" s="688">
        <v>20.3226270304026</v>
      </c>
      <c r="BP14" s="688">
        <v>15.776895731784901</v>
      </c>
      <c r="BQ14" s="756">
        <v>16.8366013071895</v>
      </c>
      <c r="BR14" s="755">
        <f t="shared" si="25"/>
        <v>16.951315974007802</v>
      </c>
      <c r="BS14" s="688">
        <v>22.049967969250499</v>
      </c>
      <c r="BT14" s="688">
        <v>20.922291993720599</v>
      </c>
      <c r="BU14" s="688">
        <v>18.2631639477374</v>
      </c>
      <c r="BV14" s="688">
        <v>15.9982552382258</v>
      </c>
      <c r="BW14" s="756">
        <v>16.612209802235601</v>
      </c>
      <c r="BX14" s="755">
        <f t="shared" si="26"/>
        <v>11.451097591075801</v>
      </c>
      <c r="BY14" s="688">
        <v>9.1184251053912302</v>
      </c>
      <c r="BZ14" s="688"/>
      <c r="CA14" s="688">
        <v>19.213044156261599</v>
      </c>
      <c r="CB14" s="688">
        <v>9.1039461729045499</v>
      </c>
      <c r="CC14" s="756">
        <v>9.1789122762902302</v>
      </c>
      <c r="CD14" s="755"/>
      <c r="CE14" s="688"/>
      <c r="CF14" s="688"/>
      <c r="CG14" s="688"/>
      <c r="CH14" s="688"/>
      <c r="CI14" s="756"/>
    </row>
    <row r="15" spans="1:87" ht="14.25" customHeight="1" x14ac:dyDescent="0.25">
      <c r="A15" s="9"/>
      <c r="B15" s="9"/>
      <c r="C15" s="9" t="s">
        <v>767</v>
      </c>
      <c r="D15" s="9"/>
      <c r="E15" s="651">
        <f>AVERAGE(L8:L75)</f>
        <v>17.3572883040246</v>
      </c>
      <c r="F15" s="651">
        <f>AVERAGE(R8:R75)</f>
        <v>14.544788704651456</v>
      </c>
      <c r="G15" s="651">
        <f>AVERAGE(X8:X75)</f>
        <v>10.854690520037513</v>
      </c>
      <c r="H15" s="651">
        <f>AVERAGE(AD8:AD75)</f>
        <v>13.321029633468475</v>
      </c>
      <c r="I15" s="64">
        <f>IF(I14=4,1,I14+1)</f>
        <v>3</v>
      </c>
      <c r="J15" s="3">
        <f t="shared" si="27"/>
        <v>2006</v>
      </c>
      <c r="K15" s="280" t="str">
        <f t="shared" si="18"/>
        <v>3Q06</v>
      </c>
      <c r="L15" s="755">
        <v>21.1622641509434</v>
      </c>
      <c r="M15" s="688"/>
      <c r="N15" s="688">
        <v>26.348314606741599</v>
      </c>
      <c r="O15" s="688">
        <v>10.760601915184701</v>
      </c>
      <c r="P15" s="688">
        <v>14.230303030303</v>
      </c>
      <c r="Q15" s="756"/>
      <c r="R15" s="755">
        <v>17.304508266881999</v>
      </c>
      <c r="S15" s="688"/>
      <c r="T15" s="688">
        <v>22.352079835851502</v>
      </c>
      <c r="U15" s="688">
        <v>9.6927999869224397</v>
      </c>
      <c r="V15" s="688">
        <v>12.0489256508189</v>
      </c>
      <c r="W15" s="756"/>
      <c r="X15" s="755">
        <v>11.7424058754337</v>
      </c>
      <c r="Y15" s="688"/>
      <c r="Z15" s="688">
        <v>16.790066118364699</v>
      </c>
      <c r="AA15" s="688">
        <v>5.6043785309596297</v>
      </c>
      <c r="AB15" s="688"/>
      <c r="AC15" s="756"/>
      <c r="AD15" s="688"/>
      <c r="AE15" s="688">
        <v>29.1460535295646</v>
      </c>
      <c r="AF15" s="688">
        <v>15.919632205932601</v>
      </c>
      <c r="AG15" s="688"/>
      <c r="AH15" s="688"/>
      <c r="AI15" s="756"/>
      <c r="AJ15" s="9"/>
      <c r="AK15" s="280" t="str">
        <f t="shared" si="19"/>
        <v>3Q06</v>
      </c>
      <c r="AL15" s="755">
        <f t="shared" si="20"/>
        <v>21.1622641509434</v>
      </c>
      <c r="AM15" s="688">
        <v>20.078124513820502</v>
      </c>
      <c r="AN15" s="688">
        <v>19.315413680224101</v>
      </c>
      <c r="AO15" s="688">
        <v>17.880952380952401</v>
      </c>
      <c r="AP15" s="688">
        <v>18.0419162535235</v>
      </c>
      <c r="AQ15" s="756"/>
      <c r="AR15" s="755">
        <f t="shared" si="21"/>
        <v>17.304508266881999</v>
      </c>
      <c r="AS15" s="688">
        <v>22.1075268817204</v>
      </c>
      <c r="AT15" s="688">
        <v>20.1782706468125</v>
      </c>
      <c r="AU15" s="688">
        <v>22.7059712773999</v>
      </c>
      <c r="AV15" s="688">
        <v>18.128760529482602</v>
      </c>
      <c r="AW15" s="756"/>
      <c r="AX15" s="755">
        <f t="shared" si="22"/>
        <v>11.7424058754337</v>
      </c>
      <c r="AY15" s="688">
        <v>10.883162475821999</v>
      </c>
      <c r="AZ15" s="688">
        <v>10.544632455636799</v>
      </c>
      <c r="BA15" s="688">
        <v>11.294114858806999</v>
      </c>
      <c r="BB15" s="688">
        <v>12.066726493507501</v>
      </c>
      <c r="BC15" s="756">
        <v>7.7573009425963004</v>
      </c>
      <c r="BD15" s="755"/>
      <c r="BE15" s="688"/>
      <c r="BF15" s="688"/>
      <c r="BG15" s="688"/>
      <c r="BH15" s="688"/>
      <c r="BI15" s="756"/>
      <c r="BJ15" s="9"/>
      <c r="BK15" s="280" t="str">
        <f t="shared" si="23"/>
        <v>3Q06</v>
      </c>
      <c r="BL15" s="755">
        <f t="shared" si="24"/>
        <v>21.1622641509434</v>
      </c>
      <c r="BM15" s="688">
        <v>25.7826086956522</v>
      </c>
      <c r="BN15" s="688">
        <v>24.640151515151501</v>
      </c>
      <c r="BO15" s="688">
        <v>19.212624682247601</v>
      </c>
      <c r="BP15" s="688">
        <v>20.142684472859901</v>
      </c>
      <c r="BQ15" s="756">
        <v>20.206823027718599</v>
      </c>
      <c r="BR15" s="755">
        <f t="shared" si="25"/>
        <v>17.304508266881999</v>
      </c>
      <c r="BS15" s="688">
        <v>26.7117117117117</v>
      </c>
      <c r="BT15" s="688">
        <v>18.660355708548501</v>
      </c>
      <c r="BU15" s="688">
        <v>19.187866219072198</v>
      </c>
      <c r="BV15" s="688">
        <v>20.479692063782899</v>
      </c>
      <c r="BW15" s="756">
        <v>20.328185328185299</v>
      </c>
      <c r="BX15" s="755">
        <f t="shared" si="26"/>
        <v>11.7424058754337</v>
      </c>
      <c r="BY15" s="688">
        <v>10.555738507716701</v>
      </c>
      <c r="BZ15" s="688"/>
      <c r="CA15" s="688">
        <v>12.0164333674176</v>
      </c>
      <c r="CB15" s="688">
        <v>11.1252626809564</v>
      </c>
      <c r="CC15" s="756">
        <v>10.547352379232899</v>
      </c>
      <c r="CD15" s="755"/>
      <c r="CE15" s="688"/>
      <c r="CF15" s="688"/>
      <c r="CG15" s="688"/>
      <c r="CH15" s="688"/>
      <c r="CI15" s="756"/>
    </row>
    <row r="16" spans="1:87" ht="14.25" customHeight="1" x14ac:dyDescent="0.25">
      <c r="A16" s="9"/>
      <c r="B16" s="9"/>
      <c r="C16" s="9" t="s">
        <v>768</v>
      </c>
      <c r="D16" s="9"/>
      <c r="E16" s="651">
        <f t="shared" ref="E16:H16" si="28">AVERAGE(E20,E24)</f>
        <v>17.495729800432265</v>
      </c>
      <c r="F16" s="651">
        <f t="shared" si="28"/>
        <v>15.218400644221397</v>
      </c>
      <c r="G16" s="651">
        <f t="shared" si="28"/>
        <v>12.062926341903811</v>
      </c>
      <c r="H16" s="651" t="e">
        <f t="shared" si="28"/>
        <v>#DIV/0!</v>
      </c>
      <c r="I16" s="64">
        <f>I12</f>
        <v>4</v>
      </c>
      <c r="J16" s="3">
        <f t="shared" si="27"/>
        <v>2006</v>
      </c>
      <c r="K16" s="280" t="str">
        <f t="shared" si="18"/>
        <v>4Q06</v>
      </c>
      <c r="L16" s="755">
        <v>21.902527075812301</v>
      </c>
      <c r="M16" s="688"/>
      <c r="N16" s="688">
        <v>36.887640449438202</v>
      </c>
      <c r="O16" s="688">
        <v>10.3951285520974</v>
      </c>
      <c r="P16" s="688">
        <v>13.9595375722543</v>
      </c>
      <c r="Q16" s="756"/>
      <c r="R16" s="755">
        <v>17.844117647058798</v>
      </c>
      <c r="S16" s="688"/>
      <c r="T16" s="688">
        <v>26.399381443298999</v>
      </c>
      <c r="U16" s="688">
        <v>9.4269844345411098</v>
      </c>
      <c r="V16" s="688">
        <v>12.091276718659699</v>
      </c>
      <c r="W16" s="756"/>
      <c r="X16" s="755">
        <v>12.1282919751993</v>
      </c>
      <c r="Y16" s="688"/>
      <c r="Z16" s="688">
        <v>24.339120086057701</v>
      </c>
      <c r="AA16" s="688">
        <v>6.2751366570091296</v>
      </c>
      <c r="AB16" s="688"/>
      <c r="AC16" s="756"/>
      <c r="AD16" s="688"/>
      <c r="AE16" s="688">
        <v>41.047643375896897</v>
      </c>
      <c r="AF16" s="688">
        <v>15.837547840780401</v>
      </c>
      <c r="AG16" s="688"/>
      <c r="AH16" s="688"/>
      <c r="AI16" s="756"/>
      <c r="AJ16" s="9"/>
      <c r="AK16" s="280" t="str">
        <f t="shared" si="19"/>
        <v>4Q06</v>
      </c>
      <c r="AL16" s="755">
        <f t="shared" si="20"/>
        <v>21.902527075812301</v>
      </c>
      <c r="AM16" s="688">
        <v>17.157894413887298</v>
      </c>
      <c r="AN16" s="688">
        <v>17.964677885175998</v>
      </c>
      <c r="AO16" s="688">
        <v>18.993939393939399</v>
      </c>
      <c r="AP16" s="688">
        <v>17.830339406209301</v>
      </c>
      <c r="AQ16" s="756"/>
      <c r="AR16" s="755">
        <f t="shared" si="21"/>
        <v>17.844117647058798</v>
      </c>
      <c r="AS16" s="688">
        <v>18.046658758402501</v>
      </c>
      <c r="AT16" s="688">
        <v>15.2884330339041</v>
      </c>
      <c r="AU16" s="688">
        <v>24.200772200772199</v>
      </c>
      <c r="AV16" s="688">
        <v>15.957484816005699</v>
      </c>
      <c r="AW16" s="756"/>
      <c r="AX16" s="755">
        <f t="shared" si="22"/>
        <v>12.1282919751993</v>
      </c>
      <c r="AY16" s="688">
        <v>9.4015377156013002</v>
      </c>
      <c r="AZ16" s="688">
        <v>10.175973794278899</v>
      </c>
      <c r="BA16" s="688">
        <v>12.1605676983264</v>
      </c>
      <c r="BB16" s="688">
        <v>12.000659807003</v>
      </c>
      <c r="BC16" s="756">
        <v>8.8729452528333503</v>
      </c>
      <c r="BD16" s="755"/>
      <c r="BE16" s="688"/>
      <c r="BF16" s="688"/>
      <c r="BG16" s="688"/>
      <c r="BH16" s="688"/>
      <c r="BI16" s="756"/>
      <c r="BJ16" s="9"/>
      <c r="BK16" s="280" t="str">
        <f t="shared" si="23"/>
        <v>4Q06</v>
      </c>
      <c r="BL16" s="755">
        <f t="shared" si="24"/>
        <v>21.902527075812301</v>
      </c>
      <c r="BM16" s="688">
        <v>19.718204488778099</v>
      </c>
      <c r="BN16" s="688">
        <v>22.7993421052632</v>
      </c>
      <c r="BO16" s="688">
        <v>18.9273500743124</v>
      </c>
      <c r="BP16" s="688">
        <v>19.892149685577898</v>
      </c>
      <c r="BQ16" s="756">
        <v>18.054393305439302</v>
      </c>
      <c r="BR16" s="755">
        <f t="shared" si="25"/>
        <v>17.844117647058798</v>
      </c>
      <c r="BS16" s="688">
        <v>17.784525416104401</v>
      </c>
      <c r="BT16" s="688">
        <v>17.2756729810568</v>
      </c>
      <c r="BU16" s="688">
        <v>18.698147054174601</v>
      </c>
      <c r="BV16" s="688">
        <v>21.0760513346214</v>
      </c>
      <c r="BW16" s="756">
        <v>16.551591868047598</v>
      </c>
      <c r="BX16" s="755">
        <f t="shared" si="26"/>
        <v>12.1282919751993</v>
      </c>
      <c r="BY16" s="688">
        <v>9.0262166141813296</v>
      </c>
      <c r="BZ16" s="688"/>
      <c r="CA16" s="688">
        <v>11.641835977457299</v>
      </c>
      <c r="CB16" s="688">
        <v>11.3025559147528</v>
      </c>
      <c r="CC16" s="756">
        <v>10.010972737361801</v>
      </c>
      <c r="CD16" s="755"/>
      <c r="CE16" s="688"/>
      <c r="CF16" s="688"/>
      <c r="CG16" s="688"/>
      <c r="CH16" s="688"/>
      <c r="CI16" s="756"/>
    </row>
    <row r="17" spans="1:87" ht="14.25" customHeight="1" x14ac:dyDescent="0.25">
      <c r="A17" s="9"/>
      <c r="B17" s="9"/>
      <c r="C17" s="9" t="s">
        <v>769</v>
      </c>
      <c r="D17" s="9"/>
      <c r="E17" s="651">
        <f t="shared" ref="E17:H17" si="29">AVERAGE(E21,E25)</f>
        <v>15.026634673570296</v>
      </c>
      <c r="F17" s="651">
        <f t="shared" si="29"/>
        <v>14.432281264119286</v>
      </c>
      <c r="G17" s="651">
        <f t="shared" si="29"/>
        <v>9.4581615457567558</v>
      </c>
      <c r="H17" s="651" t="e">
        <f t="shared" si="29"/>
        <v>#DIV/0!</v>
      </c>
      <c r="I17" s="64">
        <f>IF(I16=4,1,I16+1)</f>
        <v>1</v>
      </c>
      <c r="J17" s="3">
        <f t="shared" si="27"/>
        <v>2007</v>
      </c>
      <c r="K17" s="280" t="str">
        <f t="shared" si="18"/>
        <v>1Q07</v>
      </c>
      <c r="L17" s="755">
        <v>19.249146757679199</v>
      </c>
      <c r="M17" s="688"/>
      <c r="N17" s="688">
        <v>29.429362880886401</v>
      </c>
      <c r="O17" s="688">
        <v>10.0479360852197</v>
      </c>
      <c r="P17" s="688">
        <v>12.832891246684399</v>
      </c>
      <c r="Q17" s="756"/>
      <c r="R17" s="755">
        <v>16.0742950759394</v>
      </c>
      <c r="S17" s="688"/>
      <c r="T17" s="688">
        <v>24.206836879408399</v>
      </c>
      <c r="U17" s="688">
        <v>9.4173178936304591</v>
      </c>
      <c r="V17" s="688">
        <v>11.4815459381318</v>
      </c>
      <c r="W17" s="756"/>
      <c r="X17" s="755">
        <v>15.872917082243999</v>
      </c>
      <c r="Y17" s="688"/>
      <c r="Z17" s="688">
        <v>15.485043530102701</v>
      </c>
      <c r="AA17" s="688">
        <v>8.2730025133293008</v>
      </c>
      <c r="AB17" s="688"/>
      <c r="AC17" s="756"/>
      <c r="AD17" s="688"/>
      <c r="AE17" s="688">
        <v>26.606551288823098</v>
      </c>
      <c r="AF17" s="688">
        <v>9.1890655634812095</v>
      </c>
      <c r="AG17" s="688"/>
      <c r="AH17" s="688"/>
      <c r="AI17" s="756"/>
      <c r="AJ17" s="9"/>
      <c r="AK17" s="280" t="str">
        <f t="shared" si="19"/>
        <v>1Q07</v>
      </c>
      <c r="AL17" s="755">
        <f t="shared" si="20"/>
        <v>19.249146757679199</v>
      </c>
      <c r="AM17" s="688">
        <v>19.1470584543003</v>
      </c>
      <c r="AN17" s="688">
        <v>18.700749834614999</v>
      </c>
      <c r="AO17" s="688">
        <v>22.639240506329099</v>
      </c>
      <c r="AP17" s="688">
        <v>19.022988401484302</v>
      </c>
      <c r="AQ17" s="756">
        <v>24.914772727272702</v>
      </c>
      <c r="AR17" s="755">
        <f t="shared" si="21"/>
        <v>16.0742950759394</v>
      </c>
      <c r="AS17" s="688">
        <v>19.727272727272702</v>
      </c>
      <c r="AT17" s="688">
        <v>16.5025248069106</v>
      </c>
      <c r="AU17" s="688">
        <v>26.437546193643801</v>
      </c>
      <c r="AV17" s="688">
        <v>17.162115451088798</v>
      </c>
      <c r="AW17" s="756"/>
      <c r="AX17" s="755">
        <f t="shared" si="22"/>
        <v>15.872917082243999</v>
      </c>
      <c r="AY17" s="688">
        <v>9.9524539902565294</v>
      </c>
      <c r="AZ17" s="688">
        <v>10.214673565937</v>
      </c>
      <c r="BA17" s="688">
        <v>12.613183018927501</v>
      </c>
      <c r="BB17" s="688">
        <v>12.097290373279501</v>
      </c>
      <c r="BC17" s="756">
        <v>8.0199614628731695</v>
      </c>
      <c r="BD17" s="755"/>
      <c r="BE17" s="688"/>
      <c r="BF17" s="688"/>
      <c r="BG17" s="688"/>
      <c r="BH17" s="688"/>
      <c r="BI17" s="756"/>
      <c r="BJ17" s="9"/>
      <c r="BK17" s="280" t="str">
        <f t="shared" si="23"/>
        <v>1Q07</v>
      </c>
      <c r="BL17" s="755">
        <f t="shared" si="24"/>
        <v>19.249146757679199</v>
      </c>
      <c r="BM17" s="688">
        <v>18.0136054421769</v>
      </c>
      <c r="BN17" s="688">
        <v>18.218181818181801</v>
      </c>
      <c r="BO17" s="688">
        <v>20.093254993699901</v>
      </c>
      <c r="BP17" s="688">
        <v>20.512852509027699</v>
      </c>
      <c r="BQ17" s="756">
        <v>18.295999999999999</v>
      </c>
      <c r="BR17" s="755">
        <f t="shared" si="25"/>
        <v>16.0742950759394</v>
      </c>
      <c r="BS17" s="688">
        <v>14.443636363636401</v>
      </c>
      <c r="BT17" s="688">
        <v>14.955223880597</v>
      </c>
      <c r="BU17" s="688">
        <v>19.8499333078394</v>
      </c>
      <c r="BV17" s="688">
        <v>21.835848005852899</v>
      </c>
      <c r="BW17" s="756">
        <v>17.3652239939256</v>
      </c>
      <c r="BX17" s="755">
        <f t="shared" si="26"/>
        <v>15.872917082243999</v>
      </c>
      <c r="BY17" s="688">
        <v>8.5879729980468706</v>
      </c>
      <c r="BZ17" s="688"/>
      <c r="CA17" s="688">
        <v>13.557481281982801</v>
      </c>
      <c r="CB17" s="688">
        <v>12.8221316954229</v>
      </c>
      <c r="CC17" s="756">
        <v>9.8900476159815405</v>
      </c>
      <c r="CD17" s="755"/>
      <c r="CE17" s="688"/>
      <c r="CF17" s="688"/>
      <c r="CG17" s="688"/>
      <c r="CH17" s="688"/>
      <c r="CI17" s="756"/>
    </row>
    <row r="18" spans="1:87" ht="14.25" customHeight="1" x14ac:dyDescent="0.25">
      <c r="A18" s="9"/>
      <c r="B18" s="9"/>
      <c r="C18" s="9" t="s">
        <v>770</v>
      </c>
      <c r="D18" s="9"/>
      <c r="E18" s="651">
        <f t="shared" ref="E18:H18" si="30">AVERAGE(E22,E26)</f>
        <v>18.997531588284165</v>
      </c>
      <c r="F18" s="651">
        <f t="shared" si="30"/>
        <v>14.856392028061091</v>
      </c>
      <c r="G18" s="651">
        <f t="shared" si="30"/>
        <v>10.711806534128401</v>
      </c>
      <c r="H18" s="651" t="e">
        <f t="shared" si="30"/>
        <v>#DIV/0!</v>
      </c>
      <c r="I18" s="64">
        <f>IF(I17+1=5,1,I17+1)</f>
        <v>2</v>
      </c>
      <c r="J18" s="3">
        <f t="shared" si="27"/>
        <v>2007</v>
      </c>
      <c r="K18" s="280" t="str">
        <f t="shared" si="18"/>
        <v>2Q07</v>
      </c>
      <c r="L18" s="755">
        <v>19.799352750809099</v>
      </c>
      <c r="M18" s="688"/>
      <c r="N18" s="688">
        <v>45.947368421052602</v>
      </c>
      <c r="O18" s="688">
        <v>12.199066874028</v>
      </c>
      <c r="P18" s="688">
        <v>11.7597087378641</v>
      </c>
      <c r="Q18" s="756"/>
      <c r="R18" s="755">
        <v>16.681718927486699</v>
      </c>
      <c r="S18" s="688"/>
      <c r="T18" s="688">
        <v>31.0052046202408</v>
      </c>
      <c r="U18" s="688">
        <v>10.2077377515162</v>
      </c>
      <c r="V18" s="688">
        <v>10.3782091650308</v>
      </c>
      <c r="W18" s="756"/>
      <c r="X18" s="755">
        <v>11.450945080922899</v>
      </c>
      <c r="Y18" s="688"/>
      <c r="Z18" s="688">
        <v>25.960209422547099</v>
      </c>
      <c r="AA18" s="688">
        <v>5.5287049299397699</v>
      </c>
      <c r="AB18" s="688"/>
      <c r="AC18" s="756"/>
      <c r="AD18" s="688"/>
      <c r="AE18" s="688">
        <v>16.021804504218899</v>
      </c>
      <c r="AF18" s="688">
        <v>7.0170627062525099</v>
      </c>
      <c r="AG18" s="688"/>
      <c r="AH18" s="688"/>
      <c r="AI18" s="756"/>
      <c r="AJ18" s="9"/>
      <c r="AK18" s="280" t="str">
        <f t="shared" si="19"/>
        <v>2Q07</v>
      </c>
      <c r="AL18" s="755">
        <f t="shared" si="20"/>
        <v>19.799352750809099</v>
      </c>
      <c r="AM18" s="688">
        <v>20.283636187782001</v>
      </c>
      <c r="AN18" s="688">
        <v>17.005201226041201</v>
      </c>
      <c r="AO18" s="688">
        <v>24.346153846153801</v>
      </c>
      <c r="AP18" s="688">
        <v>18.768382056819298</v>
      </c>
      <c r="AQ18" s="756">
        <v>25.539772727272702</v>
      </c>
      <c r="AR18" s="755">
        <f t="shared" si="21"/>
        <v>16.681718927486699</v>
      </c>
      <c r="AS18" s="688">
        <v>20.782414307004501</v>
      </c>
      <c r="AT18" s="688">
        <v>16.131976461153702</v>
      </c>
      <c r="AU18" s="688">
        <v>27.8241758241758</v>
      </c>
      <c r="AV18" s="688">
        <v>17.287504232983402</v>
      </c>
      <c r="AW18" s="756"/>
      <c r="AX18" s="755">
        <f t="shared" si="22"/>
        <v>11.450945080922899</v>
      </c>
      <c r="AY18" s="688">
        <v>10.247520184527399</v>
      </c>
      <c r="AZ18" s="688">
        <v>9.5174318423695201</v>
      </c>
      <c r="BA18" s="688">
        <v>12.277601123113399</v>
      </c>
      <c r="BB18" s="688">
        <v>11.477847628534301</v>
      </c>
      <c r="BC18" s="756">
        <v>8.1771807700558199</v>
      </c>
      <c r="BD18" s="755"/>
      <c r="BE18" s="688"/>
      <c r="BF18" s="688"/>
      <c r="BG18" s="688"/>
      <c r="BH18" s="688"/>
      <c r="BI18" s="756"/>
      <c r="BJ18" s="9"/>
      <c r="BK18" s="280" t="str">
        <f t="shared" si="23"/>
        <v>2Q07</v>
      </c>
      <c r="BL18" s="755">
        <f t="shared" si="24"/>
        <v>19.799352750809099</v>
      </c>
      <c r="BM18" s="688">
        <v>15.8366141732283</v>
      </c>
      <c r="BN18" s="688">
        <v>14.6371882086168</v>
      </c>
      <c r="BO18" s="688">
        <v>21.097269288888899</v>
      </c>
      <c r="BP18" s="688">
        <v>19.287461801637502</v>
      </c>
      <c r="BQ18" s="756">
        <v>17.820610687022899</v>
      </c>
      <c r="BR18" s="755">
        <f t="shared" si="25"/>
        <v>16.681718927486699</v>
      </c>
      <c r="BS18" s="688">
        <v>14.143811533052</v>
      </c>
      <c r="BT18" s="688">
        <v>12.577942322681199</v>
      </c>
      <c r="BU18" s="688">
        <v>20.494490166349198</v>
      </c>
      <c r="BV18" s="688">
        <v>20.296556117062099</v>
      </c>
      <c r="BW18" s="756">
        <v>17.0215092963908</v>
      </c>
      <c r="BX18" s="755">
        <f t="shared" si="26"/>
        <v>11.450945080922899</v>
      </c>
      <c r="BY18" s="688">
        <v>8.0824033735712799</v>
      </c>
      <c r="BZ18" s="688"/>
      <c r="CA18" s="688">
        <v>13.695778645739599</v>
      </c>
      <c r="CB18" s="688">
        <v>12.8479606538945</v>
      </c>
      <c r="CC18" s="756">
        <v>9.6001621190547795</v>
      </c>
      <c r="CD18" s="755"/>
      <c r="CE18" s="688"/>
      <c r="CF18" s="688"/>
      <c r="CG18" s="688"/>
      <c r="CH18" s="688"/>
      <c r="CI18" s="756"/>
    </row>
    <row r="19" spans="1:87" ht="14.25" customHeight="1" x14ac:dyDescent="0.25">
      <c r="A19" s="9"/>
      <c r="B19" s="9"/>
      <c r="C19" s="9" t="s">
        <v>771</v>
      </c>
      <c r="D19" s="9"/>
      <c r="E19" s="651">
        <f>AVERAGE(L8:L35)</f>
        <v>17.693305281459839</v>
      </c>
      <c r="F19" s="651">
        <f>AVERAGE(R8:R35)</f>
        <v>14.955794863684067</v>
      </c>
      <c r="G19" s="651">
        <f>AVERAGE(X8:X35)</f>
        <v>11.420036089469978</v>
      </c>
      <c r="H19" s="651" t="e">
        <f>AVERAGE(AD8:AD35)</f>
        <v>#DIV/0!</v>
      </c>
      <c r="I19" s="64">
        <f>IF(I18=4,1,I18+1)</f>
        <v>3</v>
      </c>
      <c r="J19" s="3">
        <f t="shared" si="27"/>
        <v>2007</v>
      </c>
      <c r="K19" s="280" t="str">
        <f t="shared" si="18"/>
        <v>3Q07</v>
      </c>
      <c r="L19" s="755">
        <v>18.155963302752301</v>
      </c>
      <c r="M19" s="688"/>
      <c r="N19" s="688">
        <v>40.988919667589997</v>
      </c>
      <c r="O19" s="688">
        <v>9.9595202398800602</v>
      </c>
      <c r="P19" s="688">
        <v>10.4611872146119</v>
      </c>
      <c r="Q19" s="756"/>
      <c r="R19" s="755">
        <v>15.6346822810244</v>
      </c>
      <c r="S19" s="688"/>
      <c r="T19" s="688">
        <v>25.7994522600228</v>
      </c>
      <c r="U19" s="688">
        <v>8.9776331924944692</v>
      </c>
      <c r="V19" s="688">
        <v>9.5101181295763109</v>
      </c>
      <c r="W19" s="756"/>
      <c r="X19" s="755">
        <v>10.856647250039099</v>
      </c>
      <c r="Y19" s="688"/>
      <c r="Z19" s="688">
        <v>22.833014363609099</v>
      </c>
      <c r="AA19" s="688">
        <v>5.0539044603955103</v>
      </c>
      <c r="AB19" s="688"/>
      <c r="AC19" s="756"/>
      <c r="AD19" s="688"/>
      <c r="AE19" s="688">
        <v>16.722673701735701</v>
      </c>
      <c r="AF19" s="688">
        <v>8.2517154657145095</v>
      </c>
      <c r="AG19" s="688"/>
      <c r="AH19" s="688"/>
      <c r="AI19" s="756"/>
      <c r="AJ19" s="9"/>
      <c r="AK19" s="280" t="str">
        <f t="shared" si="19"/>
        <v>3Q07</v>
      </c>
      <c r="AL19" s="755">
        <f t="shared" si="20"/>
        <v>18.155963302752301</v>
      </c>
      <c r="AM19" s="688">
        <v>19.491227907120301</v>
      </c>
      <c r="AN19" s="688">
        <v>16.688389388832501</v>
      </c>
      <c r="AO19" s="688">
        <v>24.732484076433099</v>
      </c>
      <c r="AP19" s="688">
        <v>17.491638377558701</v>
      </c>
      <c r="AQ19" s="756">
        <v>16.232394366197202</v>
      </c>
      <c r="AR19" s="755">
        <f t="shared" si="21"/>
        <v>15.6346822810244</v>
      </c>
      <c r="AS19" s="688">
        <v>20.362903225806399</v>
      </c>
      <c r="AT19" s="688">
        <v>16.26994082613</v>
      </c>
      <c r="AU19" s="688">
        <v>29.327794561933501</v>
      </c>
      <c r="AV19" s="688">
        <v>17.329357190192201</v>
      </c>
      <c r="AW19" s="756"/>
      <c r="AX19" s="755">
        <f t="shared" si="22"/>
        <v>10.856647250039099</v>
      </c>
      <c r="AY19" s="688">
        <v>10.7674086640521</v>
      </c>
      <c r="AZ19" s="688">
        <v>8.6047449158160294</v>
      </c>
      <c r="BA19" s="688">
        <v>12.2104350605702</v>
      </c>
      <c r="BB19" s="688">
        <v>10.269674631440299</v>
      </c>
      <c r="BC19" s="756">
        <v>5.4010331768011701</v>
      </c>
      <c r="BD19" s="755"/>
      <c r="BE19" s="688"/>
      <c r="BF19" s="688"/>
      <c r="BG19" s="688"/>
      <c r="BH19" s="688"/>
      <c r="BI19" s="756"/>
      <c r="BJ19" s="9"/>
      <c r="BK19" s="280" t="str">
        <f t="shared" si="23"/>
        <v>3Q07</v>
      </c>
      <c r="BL19" s="755">
        <f t="shared" si="24"/>
        <v>18.155963302752301</v>
      </c>
      <c r="BM19" s="688">
        <v>17.258407079645998</v>
      </c>
      <c r="BN19" s="688">
        <v>13.3333333333333</v>
      </c>
      <c r="BO19" s="688">
        <v>21.792345403726699</v>
      </c>
      <c r="BP19" s="688">
        <v>18.221841239066201</v>
      </c>
      <c r="BQ19" s="756">
        <v>19.210037174721201</v>
      </c>
      <c r="BR19" s="755">
        <f t="shared" si="25"/>
        <v>15.6346822810244</v>
      </c>
      <c r="BS19" s="688">
        <v>16.9937260369467</v>
      </c>
      <c r="BT19" s="688">
        <v>12.330129267484301</v>
      </c>
      <c r="BU19" s="688">
        <v>22.206124113924101</v>
      </c>
      <c r="BV19" s="688">
        <v>20.0418586755485</v>
      </c>
      <c r="BW19" s="756">
        <v>18.797744634412499</v>
      </c>
      <c r="BX19" s="755">
        <f t="shared" si="26"/>
        <v>10.856647250039099</v>
      </c>
      <c r="BY19" s="688">
        <v>9.0195886328454105</v>
      </c>
      <c r="BZ19" s="688"/>
      <c r="CA19" s="688">
        <v>13.8749350159271</v>
      </c>
      <c r="CB19" s="688">
        <v>13.6789537402863</v>
      </c>
      <c r="CC19" s="756">
        <v>10.451056246976799</v>
      </c>
      <c r="CD19" s="755"/>
      <c r="CE19" s="688"/>
      <c r="CF19" s="688"/>
      <c r="CG19" s="688"/>
      <c r="CH19" s="688"/>
      <c r="CI19" s="756"/>
    </row>
    <row r="20" spans="1:87" ht="14.25" customHeight="1" x14ac:dyDescent="0.25">
      <c r="A20" s="9"/>
      <c r="B20" s="9"/>
      <c r="C20" s="9" t="s">
        <v>772</v>
      </c>
      <c r="D20" s="9"/>
      <c r="E20" s="651">
        <f>AVERAGE(L8:L19)</f>
        <v>18.984962074974476</v>
      </c>
      <c r="F20" s="651">
        <f>AVERAGE(R8:R19)</f>
        <v>16.3557944692622</v>
      </c>
      <c r="G20" s="651">
        <f>AVERAGE(X8:X19)</f>
        <v>13.061967835709908</v>
      </c>
      <c r="H20" s="651" t="e">
        <f>AVERAGE(AD8:AD19)</f>
        <v>#DIV/0!</v>
      </c>
      <c r="I20" s="64">
        <f>I16</f>
        <v>4</v>
      </c>
      <c r="J20" s="3">
        <f t="shared" si="27"/>
        <v>2007</v>
      </c>
      <c r="K20" s="280" t="str">
        <f t="shared" si="18"/>
        <v>4Q07</v>
      </c>
      <c r="L20" s="755">
        <v>15.3</v>
      </c>
      <c r="M20" s="688"/>
      <c r="N20" s="688">
        <v>59.612188365651001</v>
      </c>
      <c r="O20" s="688">
        <v>6.8492753623188403</v>
      </c>
      <c r="P20" s="688">
        <v>9.8089887640449493</v>
      </c>
      <c r="Q20" s="756"/>
      <c r="R20" s="755">
        <v>13.6178010471204</v>
      </c>
      <c r="S20" s="688"/>
      <c r="T20" s="688">
        <v>30.9392971246006</v>
      </c>
      <c r="U20" s="688">
        <v>7.0040755835494597</v>
      </c>
      <c r="V20" s="688">
        <v>9.5785465341422498</v>
      </c>
      <c r="W20" s="756"/>
      <c r="X20" s="755">
        <v>9.5448203766026793</v>
      </c>
      <c r="Y20" s="688"/>
      <c r="Z20" s="688">
        <v>33.690055753862097</v>
      </c>
      <c r="AA20" s="688">
        <v>4.3236883866104598</v>
      </c>
      <c r="AB20" s="688"/>
      <c r="AC20" s="756"/>
      <c r="AD20" s="688"/>
      <c r="AE20" s="688">
        <v>17.332715310388899</v>
      </c>
      <c r="AF20" s="688">
        <v>7.8711093620170702</v>
      </c>
      <c r="AG20" s="688"/>
      <c r="AH20" s="688"/>
      <c r="AI20" s="756"/>
      <c r="AJ20" s="9"/>
      <c r="AK20" s="280" t="str">
        <f t="shared" si="19"/>
        <v>4Q07</v>
      </c>
      <c r="AL20" s="755">
        <f t="shared" si="20"/>
        <v>15.3</v>
      </c>
      <c r="AM20" s="688">
        <v>20.3533331715796</v>
      </c>
      <c r="AN20" s="688">
        <v>14.8843352711246</v>
      </c>
      <c r="AO20" s="688">
        <v>21.6201117318436</v>
      </c>
      <c r="AP20" s="688">
        <v>17.9013373644136</v>
      </c>
      <c r="AQ20" s="756">
        <v>18.274647887323901</v>
      </c>
      <c r="AR20" s="755">
        <f t="shared" si="21"/>
        <v>13.6178010471204</v>
      </c>
      <c r="AS20" s="688">
        <v>18.275965279856301</v>
      </c>
      <c r="AT20" s="688">
        <v>13.572467583702901</v>
      </c>
      <c r="AU20" s="688">
        <v>20.5087440381558</v>
      </c>
      <c r="AV20" s="688">
        <v>15.719530102789999</v>
      </c>
      <c r="AW20" s="756">
        <v>13.586387434555</v>
      </c>
      <c r="AX20" s="755">
        <f t="shared" si="22"/>
        <v>9.5448203766026793</v>
      </c>
      <c r="AY20" s="688">
        <v>10.377498226542199</v>
      </c>
      <c r="AZ20" s="688">
        <v>8.3226000907228208</v>
      </c>
      <c r="BA20" s="688">
        <v>11.631107683498801</v>
      </c>
      <c r="BB20" s="688">
        <v>10.5217939917218</v>
      </c>
      <c r="BC20" s="756">
        <v>6.0220379057999196</v>
      </c>
      <c r="BD20" s="755"/>
      <c r="BE20" s="688"/>
      <c r="BF20" s="688"/>
      <c r="BG20" s="688"/>
      <c r="BH20" s="688"/>
      <c r="BI20" s="756">
        <v>6.3204672990607103</v>
      </c>
      <c r="BJ20" s="9"/>
      <c r="BK20" s="280" t="str">
        <f t="shared" si="23"/>
        <v>4Q07</v>
      </c>
      <c r="BL20" s="755">
        <f t="shared" si="24"/>
        <v>15.3</v>
      </c>
      <c r="BM20" s="688">
        <v>14.9411764705882</v>
      </c>
      <c r="BN20" s="688">
        <v>11.6545138888889</v>
      </c>
      <c r="BO20" s="688">
        <v>21.396744125925899</v>
      </c>
      <c r="BP20" s="688">
        <v>17.890914484230301</v>
      </c>
      <c r="BQ20" s="756">
        <v>18.1860465116279</v>
      </c>
      <c r="BR20" s="755">
        <f t="shared" si="25"/>
        <v>13.6178010471204</v>
      </c>
      <c r="BS20" s="688">
        <v>12.515740487270699</v>
      </c>
      <c r="BT20" s="688">
        <v>11.2219993313273</v>
      </c>
      <c r="BU20" s="688">
        <v>19.171861440265499</v>
      </c>
      <c r="BV20" s="688">
        <v>17.571433868440501</v>
      </c>
      <c r="BW20" s="756">
        <v>16.753460777851</v>
      </c>
      <c r="BX20" s="755">
        <f t="shared" si="26"/>
        <v>9.5448203766026793</v>
      </c>
      <c r="BY20" s="688">
        <v>8.2738549462753905</v>
      </c>
      <c r="BZ20" s="688"/>
      <c r="CA20" s="688">
        <v>13.808439568671201</v>
      </c>
      <c r="CB20" s="688">
        <v>13.7812305778841</v>
      </c>
      <c r="CC20" s="756">
        <v>10.06424152212</v>
      </c>
      <c r="CD20" s="755"/>
      <c r="CE20" s="688"/>
      <c r="CF20" s="688"/>
      <c r="CG20" s="688">
        <v>27.8906291783535</v>
      </c>
      <c r="CH20" s="688"/>
      <c r="CI20" s="756"/>
    </row>
    <row r="21" spans="1:87" ht="14.25" customHeight="1" x14ac:dyDescent="0.25">
      <c r="A21" s="9"/>
      <c r="B21" s="9"/>
      <c r="C21" s="9" t="s">
        <v>773</v>
      </c>
      <c r="D21" s="9"/>
      <c r="E21" s="651">
        <f>AVERAGE(L16:L27)</f>
        <v>14.553446003118159</v>
      </c>
      <c r="F21" s="651">
        <f>AVERAGE(R16:R27)</f>
        <v>15.559012868555685</v>
      </c>
      <c r="G21" s="651">
        <f>AVERAGE(X16:X27)</f>
        <v>9.3019208184898599</v>
      </c>
      <c r="H21" s="651" t="e">
        <f>AVERAGE(AD16:AD27)</f>
        <v>#DIV/0!</v>
      </c>
      <c r="I21" s="64">
        <f>IF(I20=4,1,I20+1)</f>
        <v>1</v>
      </c>
      <c r="J21" s="3">
        <f t="shared" si="27"/>
        <v>2008</v>
      </c>
      <c r="K21" s="280" t="str">
        <f t="shared" si="18"/>
        <v>1Q08</v>
      </c>
      <c r="L21" s="755">
        <v>12.783625730994199</v>
      </c>
      <c r="M21" s="688">
        <v>75.132530120481903</v>
      </c>
      <c r="N21" s="688">
        <v>38.385664118983698</v>
      </c>
      <c r="O21" s="688">
        <v>7.2595870206489703</v>
      </c>
      <c r="P21" s="688">
        <v>9.9651972157772608</v>
      </c>
      <c r="Q21" s="756"/>
      <c r="R21" s="755">
        <v>12.736141197492501</v>
      </c>
      <c r="S21" s="688">
        <v>29.7425778799917</v>
      </c>
      <c r="T21" s="688">
        <v>28.074568427968401</v>
      </c>
      <c r="U21" s="688">
        <v>8.4130696596814794</v>
      </c>
      <c r="V21" s="688">
        <v>11.599903645655401</v>
      </c>
      <c r="W21" s="756"/>
      <c r="X21" s="755">
        <v>11.075241147450299</v>
      </c>
      <c r="Y21" s="688"/>
      <c r="Z21" s="688">
        <v>21.563907632307</v>
      </c>
      <c r="AA21" s="688">
        <v>5.5061224166369103</v>
      </c>
      <c r="AB21" s="688"/>
      <c r="AC21" s="756"/>
      <c r="AD21" s="688"/>
      <c r="AE21" s="688">
        <v>17.5212231756521</v>
      </c>
      <c r="AF21" s="688">
        <v>8.8420798008807999</v>
      </c>
      <c r="AG21" s="688"/>
      <c r="AH21" s="688"/>
      <c r="AI21" s="756"/>
      <c r="AJ21" s="9"/>
      <c r="AK21" s="280" t="str">
        <f t="shared" si="19"/>
        <v>1Q08</v>
      </c>
      <c r="AL21" s="755">
        <f t="shared" si="20"/>
        <v>12.783625730994199</v>
      </c>
      <c r="AM21" s="688">
        <v>19.657575771777999</v>
      </c>
      <c r="AN21" s="688">
        <v>14.2796521296296</v>
      </c>
      <c r="AO21" s="688">
        <v>20.0615384615385</v>
      </c>
      <c r="AP21" s="688">
        <v>17.115624757709501</v>
      </c>
      <c r="AQ21" s="756">
        <v>16.214689265536698</v>
      </c>
      <c r="AR21" s="755">
        <f t="shared" si="21"/>
        <v>12.736141197492501</v>
      </c>
      <c r="AS21" s="688">
        <v>18.304176072234799</v>
      </c>
      <c r="AT21" s="688">
        <v>13.1036807777778</v>
      </c>
      <c r="AU21" s="688">
        <v>19.928680590932199</v>
      </c>
      <c r="AV21" s="688">
        <v>15.7024082568807</v>
      </c>
      <c r="AW21" s="756">
        <v>15.026178010471201</v>
      </c>
      <c r="AX21" s="755">
        <f t="shared" si="22"/>
        <v>11.075241147450299</v>
      </c>
      <c r="AY21" s="688">
        <v>10.022293535005</v>
      </c>
      <c r="AZ21" s="688">
        <v>7.9050144379231897</v>
      </c>
      <c r="BA21" s="688">
        <v>10.9872619593073</v>
      </c>
      <c r="BB21" s="688"/>
      <c r="BC21" s="756">
        <v>8.8058295051038105</v>
      </c>
      <c r="BD21" s="755"/>
      <c r="BE21" s="688"/>
      <c r="BF21" s="688"/>
      <c r="BG21" s="688"/>
      <c r="BH21" s="688"/>
      <c r="BI21" s="756">
        <v>8.5192492549377103</v>
      </c>
      <c r="BJ21" s="9"/>
      <c r="BK21" s="280" t="str">
        <f t="shared" si="23"/>
        <v>1Q08</v>
      </c>
      <c r="BL21" s="755">
        <f t="shared" si="24"/>
        <v>12.783625730994199</v>
      </c>
      <c r="BM21" s="688">
        <v>14.161961367013401</v>
      </c>
      <c r="BN21" s="688">
        <v>10.411764705882399</v>
      </c>
      <c r="BO21" s="688">
        <v>20.1862794</v>
      </c>
      <c r="BP21" s="688">
        <v>16.6056425073082</v>
      </c>
      <c r="BQ21" s="756">
        <v>17.615780445969101</v>
      </c>
      <c r="BR21" s="755">
        <f t="shared" si="25"/>
        <v>12.736141197492501</v>
      </c>
      <c r="BS21" s="688">
        <v>12.073726881175601</v>
      </c>
      <c r="BT21" s="688">
        <v>10.378763866878</v>
      </c>
      <c r="BU21" s="688">
        <v>18.371407065637101</v>
      </c>
      <c r="BV21" s="688">
        <v>17.0522490295096</v>
      </c>
      <c r="BW21" s="756">
        <v>16.825032765399701</v>
      </c>
      <c r="BX21" s="755">
        <f t="shared" si="26"/>
        <v>11.075241147450299</v>
      </c>
      <c r="BY21" s="688">
        <v>7.9850694368241601</v>
      </c>
      <c r="BZ21" s="688"/>
      <c r="CA21" s="688">
        <v>12.9726266960503</v>
      </c>
      <c r="CB21" s="688">
        <v>12.827709382321499</v>
      </c>
      <c r="CC21" s="756">
        <v>10.1722518312873</v>
      </c>
      <c r="CD21" s="755"/>
      <c r="CE21" s="688">
        <v>7.8171070404282004</v>
      </c>
      <c r="CF21" s="688"/>
      <c r="CG21" s="688">
        <v>26.766116185278602</v>
      </c>
      <c r="CH21" s="688"/>
      <c r="CI21" s="756">
        <v>9.8004068720064108</v>
      </c>
    </row>
    <row r="22" spans="1:87" ht="14.25" customHeight="1" x14ac:dyDescent="0.25">
      <c r="A22" s="9"/>
      <c r="B22" s="9"/>
      <c r="C22" s="9" t="s">
        <v>774</v>
      </c>
      <c r="D22" s="9"/>
      <c r="E22" s="651">
        <f>AVERAGE(L24:L35)</f>
        <v>18.088810425756851</v>
      </c>
      <c r="F22" s="651">
        <f>AVERAGE(R24:R35)</f>
        <v>14.506833388061112</v>
      </c>
      <c r="G22" s="651">
        <f>AVERAGE(X24:X35)</f>
        <v>10.791334635363768</v>
      </c>
      <c r="H22" s="651" t="e">
        <f>AVERAGE(AD24:AD35)</f>
        <v>#DIV/0!</v>
      </c>
      <c r="I22" s="64">
        <f>IF(I21+1=5,1,I21+1)</f>
        <v>2</v>
      </c>
      <c r="J22" s="3">
        <f t="shared" si="27"/>
        <v>2008</v>
      </c>
      <c r="K22" s="280" t="str">
        <f t="shared" si="18"/>
        <v>2Q08</v>
      </c>
      <c r="L22" s="755">
        <v>11.014619883040901</v>
      </c>
      <c r="M22" s="688">
        <v>97.963855421686802</v>
      </c>
      <c r="N22" s="688">
        <v>45.706809887764202</v>
      </c>
      <c r="O22" s="688">
        <v>5.5651537335285504</v>
      </c>
      <c r="P22" s="688">
        <v>10.3343373493976</v>
      </c>
      <c r="Q22" s="756"/>
      <c r="R22" s="755">
        <v>10.946491868043299</v>
      </c>
      <c r="S22" s="688">
        <v>33.576492290272</v>
      </c>
      <c r="T22" s="688">
        <v>26.828625055810299</v>
      </c>
      <c r="U22" s="688">
        <v>7.0984697382689301</v>
      </c>
      <c r="V22" s="688">
        <v>10.423989705017901</v>
      </c>
      <c r="W22" s="756"/>
      <c r="X22" s="755">
        <v>6.5670424305715098</v>
      </c>
      <c r="Y22" s="688"/>
      <c r="Z22" s="688">
        <v>25.859300447846</v>
      </c>
      <c r="AA22" s="688">
        <v>3.5599015441667001</v>
      </c>
      <c r="AB22" s="688"/>
      <c r="AC22" s="756"/>
      <c r="AD22" s="688"/>
      <c r="AE22" s="688">
        <v>19.764029648375601</v>
      </c>
      <c r="AF22" s="688">
        <v>10.575763126922499</v>
      </c>
      <c r="AG22" s="688"/>
      <c r="AH22" s="688"/>
      <c r="AI22" s="756"/>
      <c r="AJ22" s="9"/>
      <c r="AK22" s="280" t="str">
        <f t="shared" si="19"/>
        <v>2Q08</v>
      </c>
      <c r="AL22" s="755">
        <f t="shared" si="20"/>
        <v>11.014619883040901</v>
      </c>
      <c r="AM22" s="688">
        <v>17.098039215686299</v>
      </c>
      <c r="AN22" s="688">
        <v>14.6741425193452</v>
      </c>
      <c r="AO22" s="688">
        <v>18.546341463414599</v>
      </c>
      <c r="AP22" s="688">
        <v>17.503660322108299</v>
      </c>
      <c r="AQ22" s="756">
        <v>19.406779661017001</v>
      </c>
      <c r="AR22" s="755">
        <f t="shared" si="21"/>
        <v>10.946491868043299</v>
      </c>
      <c r="AS22" s="688">
        <v>16.0758493547538</v>
      </c>
      <c r="AT22" s="688">
        <v>12.507640503551499</v>
      </c>
      <c r="AU22" s="688">
        <v>19.000499750124899</v>
      </c>
      <c r="AV22" s="688">
        <v>16.852269523541</v>
      </c>
      <c r="AW22" s="756">
        <v>16.202830188679201</v>
      </c>
      <c r="AX22" s="755">
        <f t="shared" si="22"/>
        <v>6.5670424305715098</v>
      </c>
      <c r="AY22" s="688">
        <v>8.8558565987507194</v>
      </c>
      <c r="AZ22" s="688">
        <v>7.8630487779520299</v>
      </c>
      <c r="BA22" s="688">
        <v>10.2621107586187</v>
      </c>
      <c r="BB22" s="688"/>
      <c r="BC22" s="756">
        <v>10.1926114955517</v>
      </c>
      <c r="BD22" s="755">
        <f t="shared" ref="BD22:BD84" si="31">AD22</f>
        <v>0</v>
      </c>
      <c r="BE22" s="688">
        <v>8.0205296136061097</v>
      </c>
      <c r="BF22" s="688">
        <v>7.3318871095675799</v>
      </c>
      <c r="BG22" s="688">
        <v>9.4429422682377293</v>
      </c>
      <c r="BH22" s="688">
        <v>9.4176624276580192</v>
      </c>
      <c r="BI22" s="756">
        <v>10.2188931136207</v>
      </c>
      <c r="BJ22" s="9"/>
      <c r="BK22" s="280" t="str">
        <f t="shared" si="23"/>
        <v>2Q08</v>
      </c>
      <c r="BL22" s="755">
        <f t="shared" si="24"/>
        <v>11.014619883040901</v>
      </c>
      <c r="BM22" s="688">
        <v>16.296809986130398</v>
      </c>
      <c r="BN22" s="688">
        <v>9.7763578274760405</v>
      </c>
      <c r="BO22" s="688">
        <v>19.038432140000001</v>
      </c>
      <c r="BP22" s="688">
        <v>16.227314266132101</v>
      </c>
      <c r="BQ22" s="756">
        <v>17.222591362126199</v>
      </c>
      <c r="BR22" s="755">
        <f t="shared" si="25"/>
        <v>10.946491868043299</v>
      </c>
      <c r="BS22" s="688">
        <v>14.2458777885548</v>
      </c>
      <c r="BT22" s="688">
        <v>10.662020905923301</v>
      </c>
      <c r="BU22" s="688">
        <v>17.822320835903099</v>
      </c>
      <c r="BV22" s="688">
        <v>17.000043516900298</v>
      </c>
      <c r="BW22" s="756">
        <v>16.869508623495001</v>
      </c>
      <c r="BX22" s="755">
        <f t="shared" si="26"/>
        <v>6.5670424305715098</v>
      </c>
      <c r="BY22" s="688">
        <v>8.8394808862530994</v>
      </c>
      <c r="BZ22" s="688"/>
      <c r="CA22" s="688">
        <v>12.158388083180601</v>
      </c>
      <c r="CB22" s="688">
        <v>12.5701333982331</v>
      </c>
      <c r="CC22" s="756">
        <v>10.029459341426101</v>
      </c>
      <c r="CD22" s="755">
        <f t="shared" ref="CD22:CD84" si="32">BD22</f>
        <v>0</v>
      </c>
      <c r="CE22" s="688">
        <v>8.3839336764004795</v>
      </c>
      <c r="CF22" s="688">
        <v>5.3382169469856402</v>
      </c>
      <c r="CG22" s="688">
        <v>9.8634688285857202</v>
      </c>
      <c r="CH22" s="688">
        <v>10.4046216084725</v>
      </c>
      <c r="CI22" s="756">
        <v>9.7352923736149606</v>
      </c>
    </row>
    <row r="23" spans="1:87" ht="14.25" customHeight="1" x14ac:dyDescent="0.25">
      <c r="A23" s="9"/>
      <c r="B23" s="9"/>
      <c r="C23" s="9" t="s">
        <v>775</v>
      </c>
      <c r="D23" s="9"/>
      <c r="E23" s="651">
        <f>AVERAGE(L36:L75)</f>
        <v>17.12207641981993</v>
      </c>
      <c r="F23" s="651">
        <f>AVERAGE(R36:R75)</f>
        <v>14.267359547304448</v>
      </c>
      <c r="G23" s="651">
        <f>AVERAGE(X36:X75)</f>
        <v>10.458948621434779</v>
      </c>
      <c r="H23" s="651">
        <f>AVERAGE(AD36:AD75)</f>
        <v>13.321029633468475</v>
      </c>
      <c r="I23" s="64">
        <f>IF(I22=4,1,I22+1)</f>
        <v>3</v>
      </c>
      <c r="J23" s="3">
        <f t="shared" si="27"/>
        <v>2008</v>
      </c>
      <c r="K23" s="280" t="str">
        <f t="shared" si="18"/>
        <v>3Q08</v>
      </c>
      <c r="L23" s="755">
        <v>11.429032258064501</v>
      </c>
      <c r="M23" s="688">
        <v>73.963855421686702</v>
      </c>
      <c r="N23" s="688">
        <v>30.525717826895299</v>
      </c>
      <c r="O23" s="688">
        <v>8.4019769357495893</v>
      </c>
      <c r="P23" s="688">
        <v>17.622641509434001</v>
      </c>
      <c r="Q23" s="756"/>
      <c r="R23" s="755">
        <v>12.510287388196</v>
      </c>
      <c r="S23" s="688">
        <v>22.0683006535948</v>
      </c>
      <c r="T23" s="688">
        <v>16.827660481273501</v>
      </c>
      <c r="U23" s="688">
        <v>11.2966548358949</v>
      </c>
      <c r="V23" s="688">
        <v>15.402465724796199</v>
      </c>
      <c r="W23" s="756"/>
      <c r="X23" s="755">
        <v>6.3342768976507102</v>
      </c>
      <c r="Y23" s="688"/>
      <c r="Z23" s="688">
        <v>16.410556170196301</v>
      </c>
      <c r="AA23" s="688">
        <v>4.0264265684665004</v>
      </c>
      <c r="AB23" s="688"/>
      <c r="AC23" s="756"/>
      <c r="AD23" s="688"/>
      <c r="AE23" s="688">
        <v>19.0465333686459</v>
      </c>
      <c r="AF23" s="688">
        <v>10.122795193636501</v>
      </c>
      <c r="AG23" s="688"/>
      <c r="AH23" s="688"/>
      <c r="AI23" s="756"/>
      <c r="AJ23" s="9"/>
      <c r="AK23" s="280" t="str">
        <f t="shared" si="19"/>
        <v>3Q08</v>
      </c>
      <c r="AL23" s="755">
        <f t="shared" si="20"/>
        <v>11.429032258064501</v>
      </c>
      <c r="AM23" s="688">
        <v>17.098039215686299</v>
      </c>
      <c r="AN23" s="688">
        <v>14.9398530326027</v>
      </c>
      <c r="AO23" s="688">
        <v>19.119047619047599</v>
      </c>
      <c r="AP23" s="688">
        <v>15.9287709497207</v>
      </c>
      <c r="AQ23" s="756">
        <v>27.464028776978399</v>
      </c>
      <c r="AR23" s="755">
        <f t="shared" si="21"/>
        <v>12.510287388196</v>
      </c>
      <c r="AS23" s="688">
        <v>16.072240464763802</v>
      </c>
      <c r="AT23" s="688">
        <v>14.7619013451543</v>
      </c>
      <c r="AU23" s="688">
        <v>19.575816674792801</v>
      </c>
      <c r="AV23" s="688">
        <v>15.822697003329599</v>
      </c>
      <c r="AW23" s="756">
        <v>18.007075471698101</v>
      </c>
      <c r="AX23" s="755">
        <f t="shared" si="22"/>
        <v>6.3342768976507102</v>
      </c>
      <c r="AY23" s="688">
        <v>8.1439398810986905</v>
      </c>
      <c r="AZ23" s="688">
        <v>8.5150689679768199</v>
      </c>
      <c r="BA23" s="688">
        <v>9.9994970091627806</v>
      </c>
      <c r="BB23" s="688">
        <v>9.5163443593071904</v>
      </c>
      <c r="BC23" s="756">
        <v>11.144456998288</v>
      </c>
      <c r="BD23" s="755">
        <f t="shared" si="31"/>
        <v>0</v>
      </c>
      <c r="BE23" s="688">
        <v>7.8900350889566901</v>
      </c>
      <c r="BF23" s="688">
        <v>7.6970174886784104</v>
      </c>
      <c r="BG23" s="688">
        <v>8.5520770337793497</v>
      </c>
      <c r="BH23" s="688">
        <v>8.1433103036042898</v>
      </c>
      <c r="BI23" s="756">
        <v>8.6945418722643506</v>
      </c>
      <c r="BJ23" s="9"/>
      <c r="BK23" s="280" t="str">
        <f t="shared" si="23"/>
        <v>3Q08</v>
      </c>
      <c r="BL23" s="755">
        <f t="shared" si="24"/>
        <v>11.429032258064501</v>
      </c>
      <c r="BM23" s="688">
        <v>14.3172242874845</v>
      </c>
      <c r="BN23" s="688">
        <v>11.886561954624799</v>
      </c>
      <c r="BO23" s="688">
        <v>19.2524923257143</v>
      </c>
      <c r="BP23" s="688">
        <v>15.485629159936201</v>
      </c>
      <c r="BQ23" s="756">
        <v>17.805732484076401</v>
      </c>
      <c r="BR23" s="755">
        <f t="shared" si="25"/>
        <v>12.510287388196</v>
      </c>
      <c r="BS23" s="688">
        <v>14.6401419158642</v>
      </c>
      <c r="BT23" s="688">
        <v>10.7768987341772</v>
      </c>
      <c r="BU23" s="688">
        <v>19.4077543605991</v>
      </c>
      <c r="BV23" s="688">
        <v>16.8786724303922</v>
      </c>
      <c r="BW23" s="756">
        <v>17.994850337946598</v>
      </c>
      <c r="BX23" s="755">
        <f t="shared" si="26"/>
        <v>6.3342768976507102</v>
      </c>
      <c r="BY23" s="688">
        <v>8.04174963302337</v>
      </c>
      <c r="BZ23" s="688">
        <v>5.5728648409361803</v>
      </c>
      <c r="CA23" s="688">
        <v>12.3021853597381</v>
      </c>
      <c r="CB23" s="688">
        <v>11.4719491585091</v>
      </c>
      <c r="CC23" s="756">
        <v>10.334716635823799</v>
      </c>
      <c r="CD23" s="755">
        <f t="shared" si="32"/>
        <v>0</v>
      </c>
      <c r="CE23" s="688">
        <v>7.0964548994156003</v>
      </c>
      <c r="CF23" s="688">
        <v>5.7727633962248301</v>
      </c>
      <c r="CG23" s="688">
        <v>9.4433913800446394</v>
      </c>
      <c r="CH23" s="688">
        <v>8.6521630580195108</v>
      </c>
      <c r="CI23" s="756">
        <v>9.2656518557282492</v>
      </c>
    </row>
    <row r="24" spans="1:87" ht="14.25" customHeight="1" x14ac:dyDescent="0.25">
      <c r="A24" s="9"/>
      <c r="B24" s="9"/>
      <c r="C24" s="9" t="s">
        <v>776</v>
      </c>
      <c r="D24" s="9"/>
      <c r="E24" s="651">
        <f>AVERAGE(L36:L51)</f>
        <v>16.006497525890058</v>
      </c>
      <c r="F24" s="651">
        <f>AVERAGE(R36:R51)</f>
        <v>14.081006819180594</v>
      </c>
      <c r="G24" s="651">
        <f>AVERAGE(X36:X51)</f>
        <v>11.063884848097713</v>
      </c>
      <c r="H24" s="651">
        <f>AVERAGE(AD36:AD51)</f>
        <v>15.750372824209</v>
      </c>
      <c r="I24" s="64">
        <f>I20</f>
        <v>4</v>
      </c>
      <c r="J24" s="3">
        <f t="shared" si="27"/>
        <v>2008</v>
      </c>
      <c r="K24" s="280" t="str">
        <f t="shared" si="18"/>
        <v>4Q08</v>
      </c>
      <c r="L24" s="755">
        <v>6.3095238095238102</v>
      </c>
      <c r="M24" s="688">
        <v>21.624282523209502</v>
      </c>
      <c r="N24" s="688">
        <v>24.604076292776998</v>
      </c>
      <c r="O24" s="688">
        <v>6.3652694610778404</v>
      </c>
      <c r="P24" s="688">
        <v>16.169230769230801</v>
      </c>
      <c r="Q24" s="756"/>
      <c r="R24" s="755">
        <v>9.5643207012116491</v>
      </c>
      <c r="S24" s="688">
        <v>18.608773100381701</v>
      </c>
      <c r="T24" s="688">
        <v>13.764166244298</v>
      </c>
      <c r="U24" s="688">
        <v>10.793704518531101</v>
      </c>
      <c r="V24" s="688">
        <v>13.108370288248301</v>
      </c>
      <c r="W24" s="756"/>
      <c r="X24" s="755">
        <v>5.1331218541216099</v>
      </c>
      <c r="Y24" s="688">
        <v>20.083242947592101</v>
      </c>
      <c r="Z24" s="688">
        <v>12.8024242291894</v>
      </c>
      <c r="AA24" s="688">
        <v>2.8248416106519501</v>
      </c>
      <c r="AB24" s="688"/>
      <c r="AC24" s="756"/>
      <c r="AD24" s="688"/>
      <c r="AE24" s="688">
        <v>12.570276974631399</v>
      </c>
      <c r="AF24" s="688">
        <v>7.2768723628478904</v>
      </c>
      <c r="AG24" s="688"/>
      <c r="AH24" s="688"/>
      <c r="AI24" s="756"/>
      <c r="AJ24" s="9"/>
      <c r="AK24" s="280" t="str">
        <f t="shared" si="19"/>
        <v>4Q08</v>
      </c>
      <c r="AL24" s="755">
        <f t="shared" si="20"/>
        <v>6.3095238095238102</v>
      </c>
      <c r="AM24" s="688">
        <v>17.472093023255798</v>
      </c>
      <c r="AN24" s="688">
        <v>16.653542685752701</v>
      </c>
      <c r="AO24" s="688">
        <v>20.648648648648599</v>
      </c>
      <c r="AP24" s="688">
        <v>17.4808743169399</v>
      </c>
      <c r="AQ24" s="756">
        <v>30.2697841726619</v>
      </c>
      <c r="AR24" s="755">
        <f t="shared" si="21"/>
        <v>9.5643207012116491</v>
      </c>
      <c r="AS24" s="688">
        <v>16.150042992261401</v>
      </c>
      <c r="AT24" s="688">
        <v>14.271176869615299</v>
      </c>
      <c r="AU24" s="688">
        <v>17.685185185185201</v>
      </c>
      <c r="AV24" s="688">
        <v>16.019028542814201</v>
      </c>
      <c r="AW24" s="756">
        <v>16.564960629921298</v>
      </c>
      <c r="AX24" s="755">
        <f t="shared" si="22"/>
        <v>5.1331218541216099</v>
      </c>
      <c r="AY24" s="688">
        <v>8.6155583324144605</v>
      </c>
      <c r="AZ24" s="688">
        <v>9.7716478342702509</v>
      </c>
      <c r="BA24" s="688">
        <v>11.101020374870201</v>
      </c>
      <c r="BB24" s="688">
        <v>10.616211642331001</v>
      </c>
      <c r="BC24" s="756">
        <v>12.2117798159006</v>
      </c>
      <c r="BD24" s="755">
        <f t="shared" si="31"/>
        <v>0</v>
      </c>
      <c r="BE24" s="688">
        <v>8.4792362069015699</v>
      </c>
      <c r="BF24" s="688">
        <v>8.7349166413010906</v>
      </c>
      <c r="BG24" s="688">
        <v>9.6616564855328697</v>
      </c>
      <c r="BH24" s="688">
        <v>9.2014795799707692</v>
      </c>
      <c r="BI24" s="756">
        <v>9.4477720729985801</v>
      </c>
      <c r="BJ24" s="9"/>
      <c r="BK24" s="280" t="str">
        <f t="shared" si="23"/>
        <v>4Q08</v>
      </c>
      <c r="BL24" s="755">
        <f t="shared" si="24"/>
        <v>6.3095238095238102</v>
      </c>
      <c r="BM24" s="688">
        <v>16.246606334841601</v>
      </c>
      <c r="BN24" s="688">
        <v>13.605851979345999</v>
      </c>
      <c r="BO24" s="688">
        <v>18.573513162222199</v>
      </c>
      <c r="BP24" s="688">
        <v>16.895080592613301</v>
      </c>
      <c r="BQ24" s="756">
        <v>17.8369230769231</v>
      </c>
      <c r="BR24" s="755">
        <f t="shared" si="25"/>
        <v>9.5643207012116491</v>
      </c>
      <c r="BS24" s="688">
        <v>14.4632426988922</v>
      </c>
      <c r="BT24" s="688">
        <v>12.6237623762376</v>
      </c>
      <c r="BU24" s="688">
        <v>18.1205006460705</v>
      </c>
      <c r="BV24" s="688">
        <v>16.498032507373601</v>
      </c>
      <c r="BW24" s="756">
        <v>16.436064644173499</v>
      </c>
      <c r="BX24" s="755">
        <f t="shared" si="26"/>
        <v>5.1331218541216099</v>
      </c>
      <c r="BY24" s="688">
        <v>8.9299204893714101</v>
      </c>
      <c r="BZ24" s="688">
        <v>6.3916241510924197</v>
      </c>
      <c r="CA24" s="688">
        <v>12.243837332000099</v>
      </c>
      <c r="CB24" s="688">
        <v>12.2282689647088</v>
      </c>
      <c r="CC24" s="756">
        <v>10.240905029640301</v>
      </c>
      <c r="CD24" s="755">
        <f t="shared" si="32"/>
        <v>0</v>
      </c>
      <c r="CE24" s="688">
        <v>8.6345210767727298</v>
      </c>
      <c r="CF24" s="688">
        <v>7.6371273064072804</v>
      </c>
      <c r="CG24" s="688">
        <v>12.804627471440799</v>
      </c>
      <c r="CH24" s="688">
        <v>9.4470022769671207</v>
      </c>
      <c r="CI24" s="756">
        <v>9.3908510087350496</v>
      </c>
    </row>
    <row r="25" spans="1:87" ht="14.25" customHeight="1" x14ac:dyDescent="0.25">
      <c r="A25" s="9"/>
      <c r="B25" s="9"/>
      <c r="C25" s="9" t="s">
        <v>777</v>
      </c>
      <c r="D25" s="9"/>
      <c r="E25" s="651">
        <f>AVERAGE(L48:L63)</f>
        <v>15.499823344022431</v>
      </c>
      <c r="F25" s="651">
        <f>AVERAGE(R48:R63)</f>
        <v>13.305549659682889</v>
      </c>
      <c r="G25" s="651">
        <f>AVERAGE(X48:X63)</f>
        <v>9.61440227302365</v>
      </c>
      <c r="H25" s="651" t="e">
        <f>AVERAGE(AD48:AD63)</f>
        <v>#DIV/0!</v>
      </c>
      <c r="I25" s="64">
        <f>IF(I24=4,1,I24+1)</f>
        <v>1</v>
      </c>
      <c r="J25" s="3">
        <f t="shared" si="27"/>
        <v>2009</v>
      </c>
      <c r="K25" s="280" t="str">
        <f t="shared" si="18"/>
        <v>1Q09</v>
      </c>
      <c r="L25" s="755">
        <v>4.99267399267399</v>
      </c>
      <c r="M25" s="688">
        <v>22.922976325842701</v>
      </c>
      <c r="N25" s="688">
        <v>17.629473684210499</v>
      </c>
      <c r="O25" s="688">
        <v>4.8188976377952804</v>
      </c>
      <c r="P25" s="688">
        <v>25.557692307692299</v>
      </c>
      <c r="Q25" s="756"/>
      <c r="R25" s="755">
        <v>19.088259401233699</v>
      </c>
      <c r="S25" s="688">
        <v>18.866665882757601</v>
      </c>
      <c r="T25" s="688">
        <v>15.4957722140303</v>
      </c>
      <c r="U25" s="688">
        <v>169.70940170940301</v>
      </c>
      <c r="V25" s="688">
        <v>14.068056193313801</v>
      </c>
      <c r="W25" s="756"/>
      <c r="X25" s="755">
        <v>7.7676849518980902</v>
      </c>
      <c r="Y25" s="688">
        <v>21.0260653686375</v>
      </c>
      <c r="Z25" s="688">
        <v>9.7411278859429995</v>
      </c>
      <c r="AA25" s="688">
        <v>3.8144332519603199</v>
      </c>
      <c r="AB25" s="688"/>
      <c r="AC25" s="756"/>
      <c r="AD25" s="688"/>
      <c r="AE25" s="688">
        <v>12.374767560982299</v>
      </c>
      <c r="AF25" s="688">
        <v>7.9660561650452504</v>
      </c>
      <c r="AG25" s="688"/>
      <c r="AH25" s="688"/>
      <c r="AI25" s="756"/>
      <c r="AJ25" s="9"/>
      <c r="AK25" s="280" t="str">
        <f t="shared" si="19"/>
        <v>1Q09</v>
      </c>
      <c r="AL25" s="755">
        <f t="shared" si="20"/>
        <v>4.99267399267399</v>
      </c>
      <c r="AM25" s="688">
        <v>15.427956989247299</v>
      </c>
      <c r="AN25" s="688">
        <v>15.055392817098401</v>
      </c>
      <c r="AO25" s="688">
        <v>19.5482456140351</v>
      </c>
      <c r="AP25" s="688">
        <v>16.958549222797899</v>
      </c>
      <c r="AQ25" s="756">
        <v>30.5578512396694</v>
      </c>
      <c r="AR25" s="755">
        <f t="shared" si="21"/>
        <v>19.088259401233699</v>
      </c>
      <c r="AS25" s="688">
        <v>14.599104599104599</v>
      </c>
      <c r="AT25" s="688">
        <v>13.249844111719099</v>
      </c>
      <c r="AU25" s="688">
        <v>16.4404278863888</v>
      </c>
      <c r="AV25" s="688">
        <v>15.667783628530399</v>
      </c>
      <c r="AW25" s="756">
        <v>14.9092741935484</v>
      </c>
      <c r="AX25" s="755">
        <f t="shared" si="22"/>
        <v>7.7676849518980902</v>
      </c>
      <c r="AY25" s="688">
        <v>7.6377929995554803</v>
      </c>
      <c r="AZ25" s="688">
        <v>8.8135309298881204</v>
      </c>
      <c r="BA25" s="688">
        <v>10.684342563630899</v>
      </c>
      <c r="BB25" s="688">
        <v>10.043763313574001</v>
      </c>
      <c r="BC25" s="756">
        <v>9.8959616372019994</v>
      </c>
      <c r="BD25" s="755">
        <f t="shared" si="31"/>
        <v>0</v>
      </c>
      <c r="BE25" s="688">
        <v>7.6554872862075598</v>
      </c>
      <c r="BF25" s="688">
        <v>7.9930846590353202</v>
      </c>
      <c r="BG25" s="688">
        <v>8.9566616384480398</v>
      </c>
      <c r="BH25" s="688">
        <v>9.6289268838999007</v>
      </c>
      <c r="BI25" s="756">
        <v>8.6367068787405596</v>
      </c>
      <c r="BJ25" s="9"/>
      <c r="BK25" s="280" t="str">
        <f t="shared" si="23"/>
        <v>1Q09</v>
      </c>
      <c r="BL25" s="755">
        <f t="shared" si="24"/>
        <v>4.99267399267399</v>
      </c>
      <c r="BM25" s="688">
        <v>15.325102880658401</v>
      </c>
      <c r="BN25" s="688">
        <v>14.469670710571901</v>
      </c>
      <c r="BO25" s="688">
        <v>17.125862780540501</v>
      </c>
      <c r="BP25" s="688">
        <v>14.928287240832899</v>
      </c>
      <c r="BQ25" s="756">
        <v>18.5982404692082</v>
      </c>
      <c r="BR25" s="755">
        <f t="shared" si="25"/>
        <v>19.088259401233699</v>
      </c>
      <c r="BS25" s="688">
        <v>14.0927152317881</v>
      </c>
      <c r="BT25" s="688">
        <v>13.0493904345108</v>
      </c>
      <c r="BU25" s="688">
        <v>15.9290327521368</v>
      </c>
      <c r="BV25" s="688">
        <v>15.4017254953595</v>
      </c>
      <c r="BW25" s="756">
        <v>17.597114317425099</v>
      </c>
      <c r="BX25" s="755">
        <f t="shared" si="26"/>
        <v>7.7676849518980902</v>
      </c>
      <c r="BY25" s="688">
        <v>8.7134224657271808</v>
      </c>
      <c r="BZ25" s="688">
        <v>6.5845298085852102</v>
      </c>
      <c r="CA25" s="688">
        <v>11.187926702140899</v>
      </c>
      <c r="CB25" s="688">
        <v>10.8915271624449</v>
      </c>
      <c r="CC25" s="756">
        <v>10.6184235577362</v>
      </c>
      <c r="CD25" s="755">
        <f t="shared" si="32"/>
        <v>0</v>
      </c>
      <c r="CE25" s="688">
        <v>8.7319668736572904</v>
      </c>
      <c r="CF25" s="688">
        <v>7.9292794875331003</v>
      </c>
      <c r="CG25" s="688">
        <v>11.8924594472119</v>
      </c>
      <c r="CH25" s="688">
        <v>9.0616721100844302</v>
      </c>
      <c r="CI25" s="756">
        <v>10.029401854887499</v>
      </c>
    </row>
    <row r="26" spans="1:87" ht="14.25" customHeight="1" x14ac:dyDescent="0.25">
      <c r="A26" s="9"/>
      <c r="B26" s="9"/>
      <c r="C26" s="9" t="s">
        <v>778</v>
      </c>
      <c r="D26" s="9"/>
      <c r="E26" s="651">
        <f>AVERAGE(L60:L75)</f>
        <v>19.906252750811479</v>
      </c>
      <c r="F26" s="651">
        <f>AVERAGE(R60:R75)</f>
        <v>15.205950668061071</v>
      </c>
      <c r="G26" s="651">
        <f>AVERAGE(X60:X75)</f>
        <v>10.632278432893035</v>
      </c>
      <c r="H26" s="651">
        <f>AVERAGE(AD60:AD75)</f>
        <v>13.078095314394423</v>
      </c>
      <c r="I26" s="64">
        <f>IF(I25+1=5,1,I25+1)</f>
        <v>2</v>
      </c>
      <c r="J26" s="3">
        <f t="shared" si="27"/>
        <v>2009</v>
      </c>
      <c r="K26" s="280" t="str">
        <f t="shared" si="18"/>
        <v>2Q09</v>
      </c>
      <c r="L26" s="755">
        <v>11.5781334693747</v>
      </c>
      <c r="M26" s="688">
        <v>25.668786079981398</v>
      </c>
      <c r="N26" s="688">
        <v>17.6115789473684</v>
      </c>
      <c r="O26" s="688">
        <v>47.633146400083596</v>
      </c>
      <c r="P26" s="688">
        <v>35.447947323789101</v>
      </c>
      <c r="Q26" s="756"/>
      <c r="R26" s="755">
        <v>21.060729663968701</v>
      </c>
      <c r="S26" s="688">
        <v>19.190859024112001</v>
      </c>
      <c r="T26" s="688">
        <v>14.7066151889256</v>
      </c>
      <c r="U26" s="688"/>
      <c r="V26" s="688">
        <v>15.9507976921082</v>
      </c>
      <c r="W26" s="756"/>
      <c r="X26" s="755">
        <v>6.0874038014440703</v>
      </c>
      <c r="Y26" s="688">
        <v>23.771608884918901</v>
      </c>
      <c r="Z26" s="688">
        <v>9.7302978810732199</v>
      </c>
      <c r="AA26" s="688">
        <v>3.1894917964288898</v>
      </c>
      <c r="AB26" s="688"/>
      <c r="AC26" s="756"/>
      <c r="AD26" s="688"/>
      <c r="AE26" s="688">
        <v>11.399307542135</v>
      </c>
      <c r="AF26" s="688">
        <v>7.5373575834751803</v>
      </c>
      <c r="AG26" s="688"/>
      <c r="AH26" s="688"/>
      <c r="AI26" s="756"/>
      <c r="AJ26" s="9"/>
      <c r="AK26" s="280" t="str">
        <f t="shared" si="19"/>
        <v>2Q09</v>
      </c>
      <c r="AL26" s="755">
        <f t="shared" si="20"/>
        <v>11.5781334693747</v>
      </c>
      <c r="AM26" s="688">
        <v>17.246492985971901</v>
      </c>
      <c r="AN26" s="688">
        <v>14.3943122734266</v>
      </c>
      <c r="AO26" s="688">
        <v>20.172268907563002</v>
      </c>
      <c r="AP26" s="688">
        <v>17.740099009901002</v>
      </c>
      <c r="AQ26" s="756">
        <v>32.665289256198299</v>
      </c>
      <c r="AR26" s="755">
        <f t="shared" si="21"/>
        <v>21.060729663968701</v>
      </c>
      <c r="AS26" s="688">
        <v>16.4929091605979</v>
      </c>
      <c r="AT26" s="688">
        <v>13.759269084893001</v>
      </c>
      <c r="AU26" s="688">
        <v>17.592524734334901</v>
      </c>
      <c r="AV26" s="688">
        <v>17.100930565497499</v>
      </c>
      <c r="AW26" s="756">
        <v>14.971590909090899</v>
      </c>
      <c r="AX26" s="755">
        <f t="shared" si="22"/>
        <v>6.0874038014440703</v>
      </c>
      <c r="AY26" s="688">
        <v>8.59690566989158</v>
      </c>
      <c r="AZ26" s="688">
        <v>8.8010836613823695</v>
      </c>
      <c r="BA26" s="688">
        <v>11.094052717673801</v>
      </c>
      <c r="BB26" s="688">
        <v>9.8591070409381203</v>
      </c>
      <c r="BC26" s="756">
        <v>10.5383628649705</v>
      </c>
      <c r="BD26" s="755">
        <f t="shared" si="31"/>
        <v>0</v>
      </c>
      <c r="BE26" s="688">
        <v>8.7427931686696798</v>
      </c>
      <c r="BF26" s="688">
        <v>8.1529186511967193</v>
      </c>
      <c r="BG26" s="688">
        <v>9.7023588296931198</v>
      </c>
      <c r="BH26" s="688">
        <v>10.233524072478801</v>
      </c>
      <c r="BI26" s="756">
        <v>8.7209608596160209</v>
      </c>
      <c r="BJ26" s="9"/>
      <c r="BK26" s="280" t="str">
        <f t="shared" si="23"/>
        <v>2Q09</v>
      </c>
      <c r="BL26" s="755">
        <f t="shared" si="24"/>
        <v>11.5781334693747</v>
      </c>
      <c r="BM26" s="688">
        <v>12.801556420233499</v>
      </c>
      <c r="BN26" s="688">
        <v>13.8237232289951</v>
      </c>
      <c r="BO26" s="688">
        <v>18.049028946808502</v>
      </c>
      <c r="BP26" s="688">
        <v>14.1588726076758</v>
      </c>
      <c r="BQ26" s="756">
        <v>17.745098039215701</v>
      </c>
      <c r="BR26" s="755">
        <f t="shared" si="25"/>
        <v>21.060729663968701</v>
      </c>
      <c r="BS26" s="688">
        <v>12.016070124178199</v>
      </c>
      <c r="BT26" s="688">
        <v>13.4773530356569</v>
      </c>
      <c r="BU26" s="688">
        <v>17.094294418135998</v>
      </c>
      <c r="BV26" s="688">
        <v>15.531272305986599</v>
      </c>
      <c r="BW26" s="756">
        <v>17.403846153846199</v>
      </c>
      <c r="BX26" s="755">
        <f t="shared" si="26"/>
        <v>6.0874038014440703</v>
      </c>
      <c r="BY26" s="688">
        <v>10.894218735942699</v>
      </c>
      <c r="BZ26" s="688">
        <v>5.7967657341768799</v>
      </c>
      <c r="CA26" s="688">
        <v>12.024869795762701</v>
      </c>
      <c r="CB26" s="688">
        <v>10.1625572132205</v>
      </c>
      <c r="CC26" s="756">
        <v>10.1605825557342</v>
      </c>
      <c r="CD26" s="755">
        <f t="shared" si="32"/>
        <v>0</v>
      </c>
      <c r="CE26" s="688">
        <v>10.597373538778101</v>
      </c>
      <c r="CF26" s="688">
        <v>7.73496272319748</v>
      </c>
      <c r="CG26" s="688">
        <v>12.5738819755107</v>
      </c>
      <c r="CH26" s="688">
        <v>8.9556600334891403</v>
      </c>
      <c r="CI26" s="756">
        <v>9.88405890122222</v>
      </c>
    </row>
    <row r="27" spans="1:87" ht="14.25" customHeight="1" x14ac:dyDescent="0.25">
      <c r="A27" s="9"/>
      <c r="B27" s="9"/>
      <c r="C27" s="9"/>
      <c r="D27" s="9"/>
      <c r="E27" s="9"/>
      <c r="F27" s="9"/>
      <c r="G27" s="9"/>
      <c r="H27" s="9"/>
      <c r="I27" s="64">
        <f>IF(I26=4,1,I26+1)</f>
        <v>3</v>
      </c>
      <c r="J27" s="3">
        <f t="shared" si="27"/>
        <v>2009</v>
      </c>
      <c r="K27" s="280" t="str">
        <f t="shared" si="18"/>
        <v>3Q09</v>
      </c>
      <c r="L27" s="755">
        <v>22.126753006692901</v>
      </c>
      <c r="M27" s="688">
        <v>28.492929746024998</v>
      </c>
      <c r="N27" s="688">
        <v>21.2789473684211</v>
      </c>
      <c r="O27" s="688"/>
      <c r="P27" s="688">
        <v>37.685125383451698</v>
      </c>
      <c r="Q27" s="756"/>
      <c r="R27" s="755">
        <v>20.949309223892701</v>
      </c>
      <c r="S27" s="688">
        <v>19.859195402298901</v>
      </c>
      <c r="T27" s="688">
        <v>16.320740035995399</v>
      </c>
      <c r="U27" s="688">
        <v>81.780776165739894</v>
      </c>
      <c r="V27" s="688">
        <v>16.1180869074492</v>
      </c>
      <c r="W27" s="756"/>
      <c r="X27" s="755">
        <v>8.8046569737340707</v>
      </c>
      <c r="Y27" s="688">
        <v>25.582602308264502</v>
      </c>
      <c r="Z27" s="688">
        <v>12.0053980394114</v>
      </c>
      <c r="AA27" s="688">
        <v>4.5990194304413299</v>
      </c>
      <c r="AB27" s="688"/>
      <c r="AC27" s="756"/>
      <c r="AD27" s="688"/>
      <c r="AE27" s="688">
        <v>11.268896868930399</v>
      </c>
      <c r="AF27" s="688">
        <v>8.1886287948721801</v>
      </c>
      <c r="AG27" s="688"/>
      <c r="AH27" s="688"/>
      <c r="AI27" s="756"/>
      <c r="AJ27" s="9"/>
      <c r="AK27" s="280" t="str">
        <f t="shared" si="19"/>
        <v>3Q09</v>
      </c>
      <c r="AL27" s="755">
        <f t="shared" si="20"/>
        <v>22.126753006692901</v>
      </c>
      <c r="AM27" s="688">
        <v>16.709618874773099</v>
      </c>
      <c r="AN27" s="688">
        <v>13.7703909932735</v>
      </c>
      <c r="AO27" s="688">
        <v>20.952380952380999</v>
      </c>
      <c r="AP27" s="688">
        <v>17.744630071599001</v>
      </c>
      <c r="AQ27" s="756">
        <v>25.9249561574435</v>
      </c>
      <c r="AR27" s="755">
        <f t="shared" si="21"/>
        <v>20.949309223892701</v>
      </c>
      <c r="AS27" s="688">
        <v>16.773547094188402</v>
      </c>
      <c r="AT27" s="688">
        <v>13.9518273125852</v>
      </c>
      <c r="AU27" s="688">
        <v>20.449264136328399</v>
      </c>
      <c r="AV27" s="688">
        <v>17.727706247019601</v>
      </c>
      <c r="AW27" s="756">
        <v>16.894841269841301</v>
      </c>
      <c r="AX27" s="755">
        <f t="shared" si="22"/>
        <v>8.8046569737340707</v>
      </c>
      <c r="AY27" s="688">
        <v>8.7288716349016404</v>
      </c>
      <c r="AZ27" s="688">
        <v>8.5014019169285699</v>
      </c>
      <c r="BA27" s="688">
        <v>11.1070955202352</v>
      </c>
      <c r="BB27" s="688">
        <v>9.5632617762563594</v>
      </c>
      <c r="BC27" s="756">
        <v>9.7001516869167794</v>
      </c>
      <c r="BD27" s="755">
        <f t="shared" si="31"/>
        <v>0</v>
      </c>
      <c r="BE27" s="688">
        <v>8.5457104464064795</v>
      </c>
      <c r="BF27" s="688">
        <v>7.6855323452255799</v>
      </c>
      <c r="BG27" s="688">
        <v>9.4236432384612492</v>
      </c>
      <c r="BH27" s="688">
        <v>9.2549822526974808</v>
      </c>
      <c r="BI27" s="756">
        <v>7.8925918150018299</v>
      </c>
      <c r="BJ27" s="9"/>
      <c r="BK27" s="280" t="str">
        <f t="shared" si="23"/>
        <v>3Q09</v>
      </c>
      <c r="BL27" s="755">
        <f t="shared" si="24"/>
        <v>22.126753006692901</v>
      </c>
      <c r="BM27" s="688">
        <v>11.659695817490499</v>
      </c>
      <c r="BN27" s="688">
        <v>14.9481132075472</v>
      </c>
      <c r="BO27" s="688">
        <v>19.025619464893602</v>
      </c>
      <c r="BP27" s="688">
        <v>15.326900443934401</v>
      </c>
      <c r="BQ27" s="756">
        <v>16.806451612903199</v>
      </c>
      <c r="BR27" s="755">
        <f t="shared" si="25"/>
        <v>20.949309223892701</v>
      </c>
      <c r="BS27" s="688">
        <v>11.755798351543</v>
      </c>
      <c r="BT27" s="688">
        <v>15.047483380816701</v>
      </c>
      <c r="BU27" s="688">
        <v>18.0647295929293</v>
      </c>
      <c r="BV27" s="688">
        <v>17.104285245216801</v>
      </c>
      <c r="BW27" s="756">
        <v>17.0215083038388</v>
      </c>
      <c r="BX27" s="755">
        <f t="shared" si="26"/>
        <v>8.8046569737340707</v>
      </c>
      <c r="BY27" s="688">
        <v>10.2197271127802</v>
      </c>
      <c r="BZ27" s="688">
        <v>6.2842439512966699</v>
      </c>
      <c r="CA27" s="688">
        <v>12.6356232363168</v>
      </c>
      <c r="CB27" s="688">
        <v>10.57792595541</v>
      </c>
      <c r="CC27" s="756">
        <v>9.6717505187517503</v>
      </c>
      <c r="CD27" s="755">
        <f t="shared" si="32"/>
        <v>0</v>
      </c>
      <c r="CE27" s="688">
        <v>10.0449453713049</v>
      </c>
      <c r="CF27" s="688">
        <v>9.2373324005712192</v>
      </c>
      <c r="CG27" s="688">
        <v>10.897307886223</v>
      </c>
      <c r="CH27" s="688">
        <v>8.8081389308221993</v>
      </c>
      <c r="CI27" s="756">
        <v>8.9464228318528694</v>
      </c>
    </row>
    <row r="28" spans="1:87" ht="14.25" customHeight="1" x14ac:dyDescent="0.25">
      <c r="A28" s="205" t="s">
        <v>0</v>
      </c>
      <c r="B28" s="9"/>
      <c r="C28" s="746" t="str">
        <f>Comparables!S84</f>
        <v>Primary Peer Group</v>
      </c>
      <c r="D28" s="76"/>
      <c r="E28" s="76"/>
      <c r="F28" s="76"/>
      <c r="G28" s="76"/>
      <c r="H28" s="78"/>
      <c r="I28" s="64">
        <f>I24</f>
        <v>4</v>
      </c>
      <c r="J28" s="3">
        <f t="shared" si="27"/>
        <v>2009</v>
      </c>
      <c r="K28" s="280" t="str">
        <f t="shared" si="18"/>
        <v>4Q09</v>
      </c>
      <c r="L28" s="755">
        <v>33.145953445150496</v>
      </c>
      <c r="M28" s="688">
        <v>46.3825483673035</v>
      </c>
      <c r="N28" s="688">
        <v>26.945263157894701</v>
      </c>
      <c r="O28" s="688"/>
      <c r="P28" s="688">
        <v>25.467733536732901</v>
      </c>
      <c r="Q28" s="756"/>
      <c r="R28" s="755">
        <v>17.181625441696099</v>
      </c>
      <c r="S28" s="688">
        <v>23.092833975136799</v>
      </c>
      <c r="T28" s="688">
        <v>18.913171974522299</v>
      </c>
      <c r="U28" s="688">
        <v>19.762886597938099</v>
      </c>
      <c r="V28" s="688">
        <v>13.0112679880532</v>
      </c>
      <c r="W28" s="756"/>
      <c r="X28" s="755">
        <v>12.134434156208499</v>
      </c>
      <c r="Y28" s="688">
        <v>24.992009132904599</v>
      </c>
      <c r="Z28" s="688">
        <v>15.493860520794801</v>
      </c>
      <c r="AA28" s="688">
        <v>5.4860871943176699</v>
      </c>
      <c r="AB28" s="688"/>
      <c r="AC28" s="756"/>
      <c r="AD28" s="688"/>
      <c r="AE28" s="688">
        <v>11.14872032631</v>
      </c>
      <c r="AF28" s="688">
        <v>9.2984823406622006</v>
      </c>
      <c r="AG28" s="688"/>
      <c r="AH28" s="688"/>
      <c r="AI28" s="756"/>
      <c r="AJ28" s="9"/>
      <c r="AK28" s="280" t="str">
        <f t="shared" si="19"/>
        <v>4Q09</v>
      </c>
      <c r="AL28" s="755">
        <f t="shared" si="20"/>
        <v>33.145953445150496</v>
      </c>
      <c r="AM28" s="688">
        <v>17.202127659574501</v>
      </c>
      <c r="AN28" s="688">
        <v>14.797965656703299</v>
      </c>
      <c r="AO28" s="688">
        <v>19.796226415094299</v>
      </c>
      <c r="AP28" s="688">
        <v>17.726218097447799</v>
      </c>
      <c r="AQ28" s="756">
        <v>28.010522213561998</v>
      </c>
      <c r="AR28" s="755">
        <f t="shared" si="21"/>
        <v>17.181625441696099</v>
      </c>
      <c r="AS28" s="688">
        <v>16.025768087215098</v>
      </c>
      <c r="AT28" s="688">
        <v>13.476930291833501</v>
      </c>
      <c r="AU28" s="688">
        <v>17.2395662175485</v>
      </c>
      <c r="AV28" s="688">
        <v>16.114743724952501</v>
      </c>
      <c r="AW28" s="756">
        <v>16.727272727272702</v>
      </c>
      <c r="AX28" s="755">
        <f t="shared" si="22"/>
        <v>12.134434156208499</v>
      </c>
      <c r="AY28" s="688">
        <v>8.8590026178577492</v>
      </c>
      <c r="AZ28" s="688">
        <v>9.3523656576372698</v>
      </c>
      <c r="BA28" s="688">
        <v>11.064332341360499</v>
      </c>
      <c r="BB28" s="688">
        <v>9.5475252876994308</v>
      </c>
      <c r="BC28" s="756">
        <v>10.446835844357601</v>
      </c>
      <c r="BD28" s="755">
        <f t="shared" si="31"/>
        <v>0</v>
      </c>
      <c r="BE28" s="688">
        <v>8.4865906345286994</v>
      </c>
      <c r="BF28" s="688">
        <v>8.5156768142428003</v>
      </c>
      <c r="BG28" s="688">
        <v>9.7364467336443603</v>
      </c>
      <c r="BH28" s="688">
        <v>9.6443837219062392</v>
      </c>
      <c r="BI28" s="756">
        <v>8.8091049590815196</v>
      </c>
      <c r="BJ28" s="9"/>
      <c r="BK28" s="280" t="str">
        <f t="shared" si="23"/>
        <v>4Q09</v>
      </c>
      <c r="BL28" s="755">
        <f t="shared" si="24"/>
        <v>33.145953445150496</v>
      </c>
      <c r="BM28" s="688">
        <v>12.671077504725901</v>
      </c>
      <c r="BN28" s="688">
        <v>16.817337461300301</v>
      </c>
      <c r="BO28" s="688">
        <v>17.1665906585859</v>
      </c>
      <c r="BP28" s="688">
        <v>14.567851244435801</v>
      </c>
      <c r="BQ28" s="756">
        <v>16.883116883116902</v>
      </c>
      <c r="BR28" s="755">
        <f t="shared" si="25"/>
        <v>17.181625441696099</v>
      </c>
      <c r="BS28" s="688">
        <v>12.285557184750701</v>
      </c>
      <c r="BT28" s="688">
        <v>16.571079926784599</v>
      </c>
      <c r="BU28" s="688">
        <v>15.3245489197475</v>
      </c>
      <c r="BV28" s="688">
        <v>14.759081873359801</v>
      </c>
      <c r="BW28" s="756">
        <v>15.640038498556301</v>
      </c>
      <c r="BX28" s="755">
        <f t="shared" si="26"/>
        <v>12.134434156208499</v>
      </c>
      <c r="BY28" s="688">
        <v>10.846759407146299</v>
      </c>
      <c r="BZ28" s="688">
        <v>7.3637607097941498</v>
      </c>
      <c r="CA28" s="688">
        <v>11.4163523058198</v>
      </c>
      <c r="CB28" s="688">
        <v>10.2260901018242</v>
      </c>
      <c r="CC28" s="756">
        <v>9.6868617530430292</v>
      </c>
      <c r="CD28" s="755">
        <f t="shared" si="32"/>
        <v>0</v>
      </c>
      <c r="CE28" s="688">
        <v>11.3120660096171</v>
      </c>
      <c r="CF28" s="688">
        <v>9.9657348175322298</v>
      </c>
      <c r="CG28" s="688">
        <v>10.259485184477599</v>
      </c>
      <c r="CH28" s="688">
        <v>8.8615232646381603</v>
      </c>
      <c r="CI28" s="756">
        <v>9.1640965083525003</v>
      </c>
    </row>
    <row r="29" spans="1:87" ht="14.25" customHeight="1" x14ac:dyDescent="0.25">
      <c r="A29" s="9"/>
      <c r="B29" s="9"/>
      <c r="C29" s="754" t="s">
        <v>765</v>
      </c>
      <c r="D29" s="754"/>
      <c r="E29" s="754"/>
      <c r="F29" s="754"/>
      <c r="G29" s="754"/>
      <c r="H29" s="754"/>
      <c r="I29" s="64">
        <f>IF(I28=4,1,I28+1)</f>
        <v>1</v>
      </c>
      <c r="J29" s="3">
        <f t="shared" si="27"/>
        <v>2010</v>
      </c>
      <c r="K29" s="280" t="str">
        <f t="shared" si="18"/>
        <v>1Q10</v>
      </c>
      <c r="L29" s="755">
        <v>34.901445288643203</v>
      </c>
      <c r="M29" s="688">
        <v>48.275821837132902</v>
      </c>
      <c r="N29" s="688">
        <v>21.3494338323469</v>
      </c>
      <c r="O29" s="688">
        <v>32.321866784891398</v>
      </c>
      <c r="P29" s="688">
        <v>17.9066469473469</v>
      </c>
      <c r="Q29" s="756"/>
      <c r="R29" s="755">
        <v>14.828178813992199</v>
      </c>
      <c r="S29" s="688">
        <v>21.648100024719099</v>
      </c>
      <c r="T29" s="688">
        <v>17.957228146932799</v>
      </c>
      <c r="U29" s="688">
        <v>15.954865106224</v>
      </c>
      <c r="V29" s="688">
        <v>12.787611990690101</v>
      </c>
      <c r="W29" s="756"/>
      <c r="X29" s="755">
        <v>16.307474801970798</v>
      </c>
      <c r="Y29" s="688">
        <v>25.850658768274702</v>
      </c>
      <c r="Z29" s="688">
        <v>12.5157183968963</v>
      </c>
      <c r="AA29" s="688">
        <v>6.0214679028269904</v>
      </c>
      <c r="AB29" s="688"/>
      <c r="AC29" s="756"/>
      <c r="AD29" s="688"/>
      <c r="AE29" s="688">
        <v>10.446563469954301</v>
      </c>
      <c r="AF29" s="688">
        <v>9.3025371087162902</v>
      </c>
      <c r="AG29" s="688"/>
      <c r="AH29" s="688"/>
      <c r="AI29" s="756"/>
      <c r="AJ29" s="9"/>
      <c r="AK29" s="280" t="str">
        <f t="shared" si="19"/>
        <v>1Q10</v>
      </c>
      <c r="AL29" s="755">
        <f t="shared" si="20"/>
        <v>34.901445288643203</v>
      </c>
      <c r="AM29" s="688">
        <v>15.405891980360099</v>
      </c>
      <c r="AN29" s="688">
        <v>14.8719880153684</v>
      </c>
      <c r="AO29" s="688">
        <v>18.777003484320598</v>
      </c>
      <c r="AP29" s="688">
        <v>17.191208791208801</v>
      </c>
      <c r="AQ29" s="756">
        <v>17.902609802673499</v>
      </c>
      <c r="AR29" s="755">
        <f t="shared" si="21"/>
        <v>14.828178813992199</v>
      </c>
      <c r="AS29" s="688">
        <v>14.832965647652101</v>
      </c>
      <c r="AT29" s="688">
        <v>14.168059180304899</v>
      </c>
      <c r="AU29" s="688">
        <v>17.616868257600501</v>
      </c>
      <c r="AV29" s="688">
        <v>16.405201342281899</v>
      </c>
      <c r="AW29" s="756">
        <v>14.889705882352899</v>
      </c>
      <c r="AX29" s="755">
        <f t="shared" si="22"/>
        <v>16.307474801970798</v>
      </c>
      <c r="AY29" s="688">
        <v>8.0128863909949501</v>
      </c>
      <c r="AZ29" s="688">
        <v>9.5916429615490504</v>
      </c>
      <c r="BA29" s="688">
        <v>9.6883680004064399</v>
      </c>
      <c r="BB29" s="688">
        <v>9.5695105436488799</v>
      </c>
      <c r="BC29" s="756">
        <v>8.3114767326934</v>
      </c>
      <c r="BD29" s="755">
        <f t="shared" si="31"/>
        <v>0</v>
      </c>
      <c r="BE29" s="688">
        <v>7.9727314135024896</v>
      </c>
      <c r="BF29" s="688">
        <v>8.6157405733320402</v>
      </c>
      <c r="BG29" s="688">
        <v>9.1085098178390407</v>
      </c>
      <c r="BH29" s="688">
        <v>9.6615114585042594</v>
      </c>
      <c r="BI29" s="756">
        <v>7.7276233874370703</v>
      </c>
      <c r="BJ29" s="9"/>
      <c r="BK29" s="280" t="str">
        <f t="shared" si="23"/>
        <v>1Q10</v>
      </c>
      <c r="BL29" s="755">
        <f t="shared" si="24"/>
        <v>34.901445288643203</v>
      </c>
      <c r="BM29" s="688">
        <v>15.628742514970099</v>
      </c>
      <c r="BN29" s="688">
        <v>17.729809104258401</v>
      </c>
      <c r="BO29" s="688">
        <v>17.862477471844699</v>
      </c>
      <c r="BP29" s="688">
        <v>16.9552839086532</v>
      </c>
      <c r="BQ29" s="756">
        <v>17.688279301745599</v>
      </c>
      <c r="BR29" s="755">
        <f t="shared" si="25"/>
        <v>14.828178813992199</v>
      </c>
      <c r="BS29" s="688">
        <v>13.9896373056995</v>
      </c>
      <c r="BT29" s="688">
        <v>17.3427176098822</v>
      </c>
      <c r="BU29" s="688">
        <v>16.635037790235099</v>
      </c>
      <c r="BV29" s="688">
        <v>17.3787535359534</v>
      </c>
      <c r="BW29" s="756">
        <v>16.977022498803301</v>
      </c>
      <c r="BX29" s="755">
        <f t="shared" si="26"/>
        <v>16.307474801970798</v>
      </c>
      <c r="BY29" s="688">
        <v>8.7367486244836403</v>
      </c>
      <c r="BZ29" s="688">
        <v>7.5076003027180001</v>
      </c>
      <c r="CA29" s="688">
        <v>12.0946544433192</v>
      </c>
      <c r="CB29" s="688">
        <v>11.9712771283663</v>
      </c>
      <c r="CC29" s="756">
        <v>6.7972844586744596</v>
      </c>
      <c r="CD29" s="755">
        <f t="shared" si="32"/>
        <v>0</v>
      </c>
      <c r="CE29" s="688">
        <v>8.1811344842072504</v>
      </c>
      <c r="CF29" s="688">
        <v>10.216242095317099</v>
      </c>
      <c r="CG29" s="688">
        <v>10.9766502375101</v>
      </c>
      <c r="CH29" s="688">
        <v>10.6271859083267</v>
      </c>
      <c r="CI29" s="756">
        <v>9.6854159394142094</v>
      </c>
    </row>
    <row r="30" spans="1:87" ht="14.25" customHeight="1" x14ac:dyDescent="0.25">
      <c r="A30" s="9"/>
      <c r="B30" s="9"/>
      <c r="C30" s="64"/>
      <c r="D30" s="9"/>
      <c r="E30" s="64" t="s">
        <v>761</v>
      </c>
      <c r="F30" s="64" t="s">
        <v>762</v>
      </c>
      <c r="G30" s="64" t="s">
        <v>763</v>
      </c>
      <c r="H30" s="64" t="s">
        <v>764</v>
      </c>
      <c r="I30" s="64">
        <f>IF(I29+1=5,1,I29+1)</f>
        <v>2</v>
      </c>
      <c r="J30" s="3">
        <f t="shared" si="27"/>
        <v>2010</v>
      </c>
      <c r="K30" s="280" t="str">
        <f t="shared" si="18"/>
        <v>2Q10</v>
      </c>
      <c r="L30" s="755">
        <v>24.562788550894499</v>
      </c>
      <c r="M30" s="688">
        <v>37.520755739614998</v>
      </c>
      <c r="N30" s="688">
        <v>16.771072962866899</v>
      </c>
      <c r="O30" s="688">
        <v>14.7307328046109</v>
      </c>
      <c r="P30" s="688">
        <v>11.8962282360113</v>
      </c>
      <c r="Q30" s="756"/>
      <c r="R30" s="755">
        <v>12.281378951503401</v>
      </c>
      <c r="S30" s="688">
        <v>15.660606170868199</v>
      </c>
      <c r="T30" s="688">
        <v>13.321273174527899</v>
      </c>
      <c r="U30" s="688">
        <v>10.1886018368665</v>
      </c>
      <c r="V30" s="688">
        <v>9.3018445115672801</v>
      </c>
      <c r="W30" s="756"/>
      <c r="X30" s="755">
        <v>14.3530811179472</v>
      </c>
      <c r="Y30" s="688">
        <v>18.2245437429373</v>
      </c>
      <c r="Z30" s="688">
        <v>9.6001209271374304</v>
      </c>
      <c r="AA30" s="688">
        <v>10.1605949303554</v>
      </c>
      <c r="AB30" s="688"/>
      <c r="AC30" s="756"/>
      <c r="AD30" s="688"/>
      <c r="AE30" s="688">
        <v>12.3889689772125</v>
      </c>
      <c r="AF30" s="688">
        <v>10.3501305323192</v>
      </c>
      <c r="AG30" s="688"/>
      <c r="AH30" s="688"/>
      <c r="AI30" s="756"/>
      <c r="AJ30" s="9"/>
      <c r="AK30" s="280" t="str">
        <f t="shared" si="19"/>
        <v>2Q10</v>
      </c>
      <c r="AL30" s="755">
        <f t="shared" si="20"/>
        <v>24.562788550894499</v>
      </c>
      <c r="AM30" s="688">
        <v>16.413010590015102</v>
      </c>
      <c r="AN30" s="688">
        <v>13.929109488189001</v>
      </c>
      <c r="AO30" s="688">
        <v>20.455128205128201</v>
      </c>
      <c r="AP30" s="688">
        <v>17.5613305613306</v>
      </c>
      <c r="AQ30" s="756">
        <v>21.814661574368799</v>
      </c>
      <c r="AR30" s="755">
        <f t="shared" si="21"/>
        <v>12.281378951503401</v>
      </c>
      <c r="AS30" s="688">
        <v>15.7872526193248</v>
      </c>
      <c r="AT30" s="688">
        <v>14.0257435480674</v>
      </c>
      <c r="AU30" s="688">
        <v>19.752398638192499</v>
      </c>
      <c r="AV30" s="688">
        <v>17.106115836371</v>
      </c>
      <c r="AW30" s="756">
        <v>16.900684931506898</v>
      </c>
      <c r="AX30" s="755">
        <f t="shared" si="22"/>
        <v>14.3530811179472</v>
      </c>
      <c r="AY30" s="688">
        <v>8.5842487072506906</v>
      </c>
      <c r="AZ30" s="688">
        <v>8.4427375761939292</v>
      </c>
      <c r="BA30" s="688">
        <v>11.1349827480621</v>
      </c>
      <c r="BB30" s="688">
        <v>10.4017651747751</v>
      </c>
      <c r="BC30" s="756">
        <v>10.7651705951063</v>
      </c>
      <c r="BD30" s="755">
        <f t="shared" si="31"/>
        <v>0</v>
      </c>
      <c r="BE30" s="688">
        <v>8.5672362112149294</v>
      </c>
      <c r="BF30" s="688">
        <v>8.4611465703845194</v>
      </c>
      <c r="BG30" s="688">
        <v>10.505650640974901</v>
      </c>
      <c r="BH30" s="688">
        <v>10.058965891206</v>
      </c>
      <c r="BI30" s="756">
        <v>9.4456918185699905</v>
      </c>
      <c r="BJ30" s="9"/>
      <c r="BK30" s="280" t="str">
        <f t="shared" si="23"/>
        <v>2Q10</v>
      </c>
      <c r="BL30" s="755">
        <f t="shared" si="24"/>
        <v>24.562788550894499</v>
      </c>
      <c r="BM30" s="688">
        <v>15.111753371869</v>
      </c>
      <c r="BN30" s="688">
        <v>20.248294679399699</v>
      </c>
      <c r="BO30" s="688">
        <v>18.4239851666667</v>
      </c>
      <c r="BP30" s="688">
        <v>17.104406321813698</v>
      </c>
      <c r="BQ30" s="756">
        <v>19.299760191846499</v>
      </c>
      <c r="BR30" s="755">
        <f t="shared" si="25"/>
        <v>12.281378951503401</v>
      </c>
      <c r="BS30" s="688">
        <v>14.5213849287169</v>
      </c>
      <c r="BT30" s="688">
        <v>19.411456970965201</v>
      </c>
      <c r="BU30" s="688">
        <v>18.0479854693878</v>
      </c>
      <c r="BV30" s="688">
        <v>18.007501566540501</v>
      </c>
      <c r="BW30" s="756">
        <v>19.012520670918999</v>
      </c>
      <c r="BX30" s="755">
        <f t="shared" si="26"/>
        <v>14.3530811179472</v>
      </c>
      <c r="BY30" s="688">
        <v>8.2923700244366199</v>
      </c>
      <c r="BZ30" s="688">
        <v>8.9093442042646291</v>
      </c>
      <c r="CA30" s="688">
        <v>12.552364084411501</v>
      </c>
      <c r="CB30" s="688">
        <v>11.712159015325099</v>
      </c>
      <c r="CC30" s="756">
        <v>7.5276037041258403</v>
      </c>
      <c r="CD30" s="755">
        <f t="shared" si="32"/>
        <v>0</v>
      </c>
      <c r="CE30" s="688">
        <v>8.1542684797450207</v>
      </c>
      <c r="CF30" s="688">
        <v>10.770474443471301</v>
      </c>
      <c r="CG30" s="688">
        <v>12.3639389901145</v>
      </c>
      <c r="CH30" s="688">
        <v>10.6466484541989</v>
      </c>
      <c r="CI30" s="756">
        <v>10.8118977956183</v>
      </c>
    </row>
    <row r="31" spans="1:87" ht="14.25" customHeight="1" x14ac:dyDescent="0.25">
      <c r="A31" s="9"/>
      <c r="B31" s="9"/>
      <c r="C31" s="9" t="s">
        <v>735</v>
      </c>
      <c r="D31" s="9"/>
      <c r="E31" s="651">
        <f>AVERAGE(M87:Q92)</f>
        <v>29.788757563147612</v>
      </c>
      <c r="F31" s="651">
        <f>AVERAGE(S87:W92)</f>
        <v>21.125435024921185</v>
      </c>
      <c r="G31" s="651">
        <f>AVERAGE(Y87:AC92)</f>
        <v>20.29275698084593</v>
      </c>
      <c r="H31" s="651">
        <f>AVERAGE(AE87:AI92)</f>
        <v>15.336843031675405</v>
      </c>
      <c r="I31" s="64">
        <f>IF(I30=4,1,I30+1)</f>
        <v>3</v>
      </c>
      <c r="J31" s="3">
        <f t="shared" si="27"/>
        <v>2010</v>
      </c>
      <c r="K31" s="280" t="str">
        <f t="shared" si="18"/>
        <v>3Q10</v>
      </c>
      <c r="L31" s="755">
        <v>18.636167733490801</v>
      </c>
      <c r="M31" s="688">
        <v>39.382209487262301</v>
      </c>
      <c r="N31" s="688">
        <v>18.827847159235102</v>
      </c>
      <c r="O31" s="688">
        <v>7.5911708253358903</v>
      </c>
      <c r="P31" s="688">
        <v>11.1757827892945</v>
      </c>
      <c r="Q31" s="756"/>
      <c r="R31" s="755">
        <v>12.1168792336306</v>
      </c>
      <c r="S31" s="688">
        <v>15.6790709949855</v>
      </c>
      <c r="T31" s="688">
        <v>14.3056141927298</v>
      </c>
      <c r="U31" s="688">
        <v>8.6706546710389496</v>
      </c>
      <c r="V31" s="688">
        <v>8.6803985105582004</v>
      </c>
      <c r="W31" s="756"/>
      <c r="X31" s="755">
        <v>12.884361936746799</v>
      </c>
      <c r="Y31" s="688">
        <v>18.927366957288399</v>
      </c>
      <c r="Z31" s="688">
        <v>10.9757253323807</v>
      </c>
      <c r="AA31" s="688">
        <v>8.8244593006588907</v>
      </c>
      <c r="AB31" s="688"/>
      <c r="AC31" s="756"/>
      <c r="AD31" s="688"/>
      <c r="AE31" s="688">
        <v>13.3088933794763</v>
      </c>
      <c r="AF31" s="688">
        <v>11.0158558647531</v>
      </c>
      <c r="AG31" s="688"/>
      <c r="AH31" s="688"/>
      <c r="AI31" s="756"/>
      <c r="AJ31" s="9"/>
      <c r="AK31" s="280" t="str">
        <f t="shared" si="19"/>
        <v>3Q10</v>
      </c>
      <c r="AL31" s="755">
        <f t="shared" si="20"/>
        <v>18.636167733490801</v>
      </c>
      <c r="AM31" s="688">
        <v>15.3440233236152</v>
      </c>
      <c r="AN31" s="688">
        <v>13.719321164615399</v>
      </c>
      <c r="AO31" s="688">
        <v>18.283132530120501</v>
      </c>
      <c r="AP31" s="688">
        <v>17.449019607843098</v>
      </c>
      <c r="AQ31" s="756">
        <v>19.153846153846199</v>
      </c>
      <c r="AR31" s="755">
        <f t="shared" si="21"/>
        <v>12.1168792336306</v>
      </c>
      <c r="AS31" s="688">
        <v>15.195611375775901</v>
      </c>
      <c r="AT31" s="688">
        <v>13.8983966600429</v>
      </c>
      <c r="AU31" s="688">
        <v>18.694179242377601</v>
      </c>
      <c r="AV31" s="688">
        <v>17.531520882584701</v>
      </c>
      <c r="AW31" s="756">
        <v>16.824324324324301</v>
      </c>
      <c r="AX31" s="755">
        <f t="shared" si="22"/>
        <v>12.884361936746799</v>
      </c>
      <c r="AY31" s="688">
        <v>8.2411123582192491</v>
      </c>
      <c r="AZ31" s="688">
        <v>8.0242378751095202</v>
      </c>
      <c r="BA31" s="688">
        <v>9.9607292477650695</v>
      </c>
      <c r="BB31" s="688">
        <v>10.0980469559544</v>
      </c>
      <c r="BC31" s="756">
        <v>9.3325299750433999</v>
      </c>
      <c r="BD31" s="755">
        <f t="shared" si="31"/>
        <v>0</v>
      </c>
      <c r="BE31" s="688">
        <v>7.9738975414521596</v>
      </c>
      <c r="BF31" s="688">
        <v>7.7297697673913799</v>
      </c>
      <c r="BG31" s="688">
        <v>8.7109361469898108</v>
      </c>
      <c r="BH31" s="688">
        <v>9.1508698196450204</v>
      </c>
      <c r="BI31" s="756">
        <v>8.5675347933455797</v>
      </c>
      <c r="BJ31" s="9"/>
      <c r="BK31" s="280" t="str">
        <f t="shared" si="23"/>
        <v>3Q10</v>
      </c>
      <c r="BL31" s="755">
        <f t="shared" si="24"/>
        <v>18.636167733490801</v>
      </c>
      <c r="BM31" s="688">
        <v>13.512104283054001</v>
      </c>
      <c r="BN31" s="688">
        <v>23.250936329588001</v>
      </c>
      <c r="BO31" s="688">
        <v>15.767074954867301</v>
      </c>
      <c r="BP31" s="688">
        <v>16.191930951047201</v>
      </c>
      <c r="BQ31" s="756">
        <v>17.474885844748901</v>
      </c>
      <c r="BR31" s="755">
        <f t="shared" si="25"/>
        <v>12.1168792336306</v>
      </c>
      <c r="BS31" s="688">
        <v>13.4869888475836</v>
      </c>
      <c r="BT31" s="688">
        <v>18.594249201278</v>
      </c>
      <c r="BU31" s="688">
        <v>16.1676902894737</v>
      </c>
      <c r="BV31" s="688">
        <v>18.643381056867302</v>
      </c>
      <c r="BW31" s="756">
        <v>17.9967082059723</v>
      </c>
      <c r="BX31" s="755">
        <f t="shared" si="26"/>
        <v>12.884361936746799</v>
      </c>
      <c r="BY31" s="688">
        <v>7.3340698627404901</v>
      </c>
      <c r="BZ31" s="688">
        <v>10.3981517643782</v>
      </c>
      <c r="CA31" s="688">
        <v>10.9312546610151</v>
      </c>
      <c r="CB31" s="688">
        <v>11.3586064014464</v>
      </c>
      <c r="CC31" s="756">
        <v>6.9025180302470703</v>
      </c>
      <c r="CD31" s="755">
        <f t="shared" si="32"/>
        <v>0</v>
      </c>
      <c r="CE31" s="688">
        <v>7.1578106402914301</v>
      </c>
      <c r="CF31" s="688">
        <v>11.0079026660542</v>
      </c>
      <c r="CG31" s="688">
        <v>9.6792214411202</v>
      </c>
      <c r="CH31" s="688">
        <v>9.8381757631916997</v>
      </c>
      <c r="CI31" s="756">
        <v>9.2772007367532705</v>
      </c>
    </row>
    <row r="32" spans="1:87" ht="14.25" customHeight="1" x14ac:dyDescent="0.25">
      <c r="A32" s="9"/>
      <c r="B32" s="9"/>
      <c r="C32" s="9" t="s">
        <v>737</v>
      </c>
      <c r="D32" s="9"/>
      <c r="E32" s="651">
        <f>AVERAGE(M83:Q92)</f>
        <v>26.78031472753252</v>
      </c>
      <c r="F32" s="651">
        <f>AVERAGE(S83:W92)</f>
        <v>20.214142935322705</v>
      </c>
      <c r="G32" s="651">
        <f>AVERAGE(Y83:AC92)</f>
        <v>19.534896599392351</v>
      </c>
      <c r="H32" s="651">
        <f>AVERAGE(AE83:AI92)</f>
        <v>16.716940698822384</v>
      </c>
      <c r="I32" s="64">
        <f>I28</f>
        <v>4</v>
      </c>
      <c r="J32" s="3">
        <f t="shared" si="27"/>
        <v>2010</v>
      </c>
      <c r="K32" s="280" t="str">
        <f t="shared" si="18"/>
        <v>4Q10</v>
      </c>
      <c r="L32" s="755">
        <v>16.440413078785301</v>
      </c>
      <c r="M32" s="688">
        <v>26.265937579771901</v>
      </c>
      <c r="N32" s="688">
        <v>18.837092977036502</v>
      </c>
      <c r="O32" s="688">
        <v>7.0463576158940402</v>
      </c>
      <c r="P32" s="688">
        <v>10.7432141356588</v>
      </c>
      <c r="Q32" s="756"/>
      <c r="R32" s="755">
        <v>11.503765156349701</v>
      </c>
      <c r="S32" s="688">
        <v>14.0614579935084</v>
      </c>
      <c r="T32" s="688">
        <v>13.513322027510799</v>
      </c>
      <c r="U32" s="688">
        <v>8.7949685534591193</v>
      </c>
      <c r="V32" s="688">
        <v>9.2254530809504605</v>
      </c>
      <c r="W32" s="756"/>
      <c r="X32" s="755">
        <v>11.592104942443401</v>
      </c>
      <c r="Y32" s="688">
        <v>14.025397853578401</v>
      </c>
      <c r="Z32" s="688">
        <v>10.939803944899801</v>
      </c>
      <c r="AA32" s="688">
        <v>8.0496382550393193</v>
      </c>
      <c r="AB32" s="688"/>
      <c r="AC32" s="756"/>
      <c r="AD32" s="688"/>
      <c r="AE32" s="688">
        <v>13.091274636853001</v>
      </c>
      <c r="AF32" s="688">
        <v>10.6836114169447</v>
      </c>
      <c r="AG32" s="688"/>
      <c r="AH32" s="688"/>
      <c r="AI32" s="756"/>
      <c r="AJ32" s="9"/>
      <c r="AK32" s="280" t="str">
        <f t="shared" si="19"/>
        <v>4Q10</v>
      </c>
      <c r="AL32" s="755">
        <f t="shared" si="20"/>
        <v>16.440413078785301</v>
      </c>
      <c r="AM32" s="688">
        <v>13.7916666666667</v>
      </c>
      <c r="AN32" s="688">
        <v>14.464654180122899</v>
      </c>
      <c r="AO32" s="688">
        <v>18.251412429378501</v>
      </c>
      <c r="AP32" s="688">
        <v>15.297247706422</v>
      </c>
      <c r="AQ32" s="756">
        <v>18.663461538461501</v>
      </c>
      <c r="AR32" s="755">
        <f t="shared" si="21"/>
        <v>11.503765156349701</v>
      </c>
      <c r="AS32" s="688">
        <v>13.477198697068401</v>
      </c>
      <c r="AT32" s="688">
        <v>12.340474195629399</v>
      </c>
      <c r="AU32" s="688">
        <v>16.664947124065002</v>
      </c>
      <c r="AV32" s="688">
        <v>14.489051094890501</v>
      </c>
      <c r="AW32" s="756">
        <v>13.785511363636401</v>
      </c>
      <c r="AX32" s="755">
        <f t="shared" si="22"/>
        <v>11.592104942443401</v>
      </c>
      <c r="AY32" s="688">
        <v>7.5082358060283001</v>
      </c>
      <c r="AZ32" s="688">
        <v>8.5248604412945799</v>
      </c>
      <c r="BA32" s="688">
        <v>10.3114736638174</v>
      </c>
      <c r="BB32" s="688">
        <v>8.9801514544626801</v>
      </c>
      <c r="BC32" s="756">
        <v>9.0857967800564197</v>
      </c>
      <c r="BD32" s="755">
        <f t="shared" si="31"/>
        <v>0</v>
      </c>
      <c r="BE32" s="688">
        <v>7.4422532156527401</v>
      </c>
      <c r="BF32" s="688">
        <v>7.5823333272749496</v>
      </c>
      <c r="BG32" s="688">
        <v>9.3773908236927497</v>
      </c>
      <c r="BH32" s="688">
        <v>8.5842107938902608</v>
      </c>
      <c r="BI32" s="756">
        <v>8.0647859215188902</v>
      </c>
      <c r="BJ32" s="9"/>
      <c r="BK32" s="280" t="str">
        <f t="shared" si="23"/>
        <v>4Q10</v>
      </c>
      <c r="BL32" s="755">
        <f t="shared" si="24"/>
        <v>16.440413078785301</v>
      </c>
      <c r="BM32" s="688">
        <v>14.005366726297</v>
      </c>
      <c r="BN32" s="688">
        <v>18.641946697566599</v>
      </c>
      <c r="BO32" s="688">
        <v>16.025186627927901</v>
      </c>
      <c r="BP32" s="688">
        <v>14.024015011101</v>
      </c>
      <c r="BQ32" s="756">
        <v>15.15859030837</v>
      </c>
      <c r="BR32" s="755">
        <f t="shared" si="25"/>
        <v>11.503765156349701</v>
      </c>
      <c r="BS32" s="688">
        <v>13.140315542128199</v>
      </c>
      <c r="BT32" s="688">
        <v>15.4811393379523</v>
      </c>
      <c r="BU32" s="688">
        <v>14.652353506589799</v>
      </c>
      <c r="BV32" s="688">
        <v>14.2851003969459</v>
      </c>
      <c r="BW32" s="756">
        <v>14.154668860551199</v>
      </c>
      <c r="BX32" s="755">
        <f t="shared" si="26"/>
        <v>11.592104942443401</v>
      </c>
      <c r="BY32" s="688">
        <v>7.5835911867171699</v>
      </c>
      <c r="BZ32" s="688">
        <v>8.8265324943553392</v>
      </c>
      <c r="CA32" s="688">
        <v>10.8670026348689</v>
      </c>
      <c r="CB32" s="688">
        <v>10.079275237110799</v>
      </c>
      <c r="CC32" s="756">
        <v>6.17659738967299</v>
      </c>
      <c r="CD32" s="755">
        <f t="shared" si="32"/>
        <v>0</v>
      </c>
      <c r="CE32" s="688">
        <v>7.9681453066227101</v>
      </c>
      <c r="CF32" s="688">
        <v>9.5744907607354399</v>
      </c>
      <c r="CG32" s="688">
        <v>9.1153544058384899</v>
      </c>
      <c r="CH32" s="688">
        <v>9.0013095935908005</v>
      </c>
      <c r="CI32" s="756">
        <v>8.3684369571943495</v>
      </c>
    </row>
    <row r="33" spans="1:87" ht="14.25" customHeight="1" x14ac:dyDescent="0.25">
      <c r="A33" s="9"/>
      <c r="B33" s="9"/>
      <c r="C33" s="9" t="s">
        <v>732</v>
      </c>
      <c r="D33" s="9"/>
      <c r="E33" s="651">
        <f>AVERAGE(M79:Q92)</f>
        <v>25.056377605396086</v>
      </c>
      <c r="F33" s="651">
        <f>AVERAGE(S79:W92)</f>
        <v>19.249811315109351</v>
      </c>
      <c r="G33" s="651">
        <f>AVERAGE(Y79:AC92)</f>
        <v>19.190985484941081</v>
      </c>
      <c r="H33" s="651">
        <f>AVERAGE(AE79:AI92)</f>
        <v>17.01804216419368</v>
      </c>
      <c r="I33" s="64">
        <f>IF(I32=4,1,I32+1)</f>
        <v>1</v>
      </c>
      <c r="J33" s="3">
        <f t="shared" si="27"/>
        <v>2011</v>
      </c>
      <c r="K33" s="280" t="str">
        <f t="shared" si="18"/>
        <v>1Q11</v>
      </c>
      <c r="L33" s="755">
        <v>15.248499945685699</v>
      </c>
      <c r="M33" s="688">
        <v>27.475111176794599</v>
      </c>
      <c r="N33" s="688">
        <v>17.602797202797198</v>
      </c>
      <c r="O33" s="688">
        <v>7.7784431137724601</v>
      </c>
      <c r="P33" s="688">
        <v>9.5285043865224406</v>
      </c>
      <c r="Q33" s="756"/>
      <c r="R33" s="755">
        <v>11.757477981029</v>
      </c>
      <c r="S33" s="688">
        <v>13.9962059783167</v>
      </c>
      <c r="T33" s="688">
        <v>14.439102020911299</v>
      </c>
      <c r="U33" s="688">
        <v>9.5469791891968701</v>
      </c>
      <c r="V33" s="688">
        <v>9.2085384022853791</v>
      </c>
      <c r="W33" s="756"/>
      <c r="X33" s="755">
        <v>12.5681077539816</v>
      </c>
      <c r="Y33" s="688">
        <v>14.1998015619813</v>
      </c>
      <c r="Z33" s="688">
        <v>9.8429346483660591</v>
      </c>
      <c r="AA33" s="688">
        <v>7.7242250683268603</v>
      </c>
      <c r="AB33" s="688"/>
      <c r="AC33" s="756"/>
      <c r="AD33" s="688"/>
      <c r="AE33" s="688">
        <v>13.250530054018499</v>
      </c>
      <c r="AF33" s="688">
        <v>11.0058365127499</v>
      </c>
      <c r="AG33" s="688"/>
      <c r="AH33" s="688"/>
      <c r="AI33" s="756"/>
      <c r="AJ33" s="9"/>
      <c r="AK33" s="280" t="str">
        <f t="shared" si="19"/>
        <v>1Q11</v>
      </c>
      <c r="AL33" s="755">
        <f t="shared" si="20"/>
        <v>15.248499945685699</v>
      </c>
      <c r="AM33" s="688">
        <v>13.033025099075299</v>
      </c>
      <c r="AN33" s="688">
        <v>12.3103857018256</v>
      </c>
      <c r="AO33" s="688">
        <v>15.048128342246001</v>
      </c>
      <c r="AP33" s="688">
        <v>14.797891036906901</v>
      </c>
      <c r="AQ33" s="756">
        <v>16.149635036496299</v>
      </c>
      <c r="AR33" s="755">
        <f t="shared" si="21"/>
        <v>11.757477981029</v>
      </c>
      <c r="AS33" s="688">
        <v>13.2518468770987</v>
      </c>
      <c r="AT33" s="688">
        <v>11.8143277224061</v>
      </c>
      <c r="AU33" s="688">
        <v>14.353481254781901</v>
      </c>
      <c r="AV33" s="688">
        <v>14.2518618821936</v>
      </c>
      <c r="AW33" s="756">
        <v>12.606837606837599</v>
      </c>
      <c r="AX33" s="755">
        <f t="shared" si="22"/>
        <v>12.5681077539816</v>
      </c>
      <c r="AY33" s="688">
        <v>7.1384542788999497</v>
      </c>
      <c r="AZ33" s="688">
        <v>7.2858484195114004</v>
      </c>
      <c r="BA33" s="688">
        <v>8.5602396383199597</v>
      </c>
      <c r="BB33" s="688">
        <v>8.5248369749876307</v>
      </c>
      <c r="BC33" s="756">
        <v>8.51204820813631</v>
      </c>
      <c r="BD33" s="755">
        <f t="shared" si="31"/>
        <v>0</v>
      </c>
      <c r="BE33" s="688">
        <v>7.1755151239636596</v>
      </c>
      <c r="BF33" s="688">
        <v>7.0784166192176396</v>
      </c>
      <c r="BG33" s="688">
        <v>7.9720944221862897</v>
      </c>
      <c r="BH33" s="688">
        <v>8.2335253897019705</v>
      </c>
      <c r="BI33" s="756">
        <v>8.0098515918821196</v>
      </c>
      <c r="BJ33" s="9"/>
      <c r="BK33" s="280" t="str">
        <f t="shared" si="23"/>
        <v>1Q11</v>
      </c>
      <c r="BL33" s="755">
        <f t="shared" si="24"/>
        <v>15.248499945685699</v>
      </c>
      <c r="BM33" s="688">
        <v>12.1215106732348</v>
      </c>
      <c r="BN33" s="688">
        <v>15.3631522896699</v>
      </c>
      <c r="BO33" s="688">
        <v>11.4534820830357</v>
      </c>
      <c r="BP33" s="688">
        <v>11.7898232831689</v>
      </c>
      <c r="BQ33" s="756">
        <v>13.016877637130801</v>
      </c>
      <c r="BR33" s="755">
        <f t="shared" si="25"/>
        <v>11.757477981029</v>
      </c>
      <c r="BS33" s="688">
        <v>12.199636423731601</v>
      </c>
      <c r="BT33" s="688">
        <v>14.2156089869925</v>
      </c>
      <c r="BU33" s="688">
        <v>11.5879854859982</v>
      </c>
      <c r="BV33" s="688">
        <v>12.616416059479601</v>
      </c>
      <c r="BW33" s="756">
        <v>12.604698672114401</v>
      </c>
      <c r="BX33" s="755">
        <f t="shared" si="26"/>
        <v>12.5681077539816</v>
      </c>
      <c r="BY33" s="688">
        <v>6.7672629406594202</v>
      </c>
      <c r="BZ33" s="688">
        <v>7.10345359639207</v>
      </c>
      <c r="CA33" s="688">
        <v>7.7810894052890296</v>
      </c>
      <c r="CB33" s="688">
        <v>8.8938680961155896</v>
      </c>
      <c r="CC33" s="756">
        <v>7.8343084438823301</v>
      </c>
      <c r="CD33" s="755">
        <f t="shared" si="32"/>
        <v>0</v>
      </c>
      <c r="CE33" s="688">
        <v>7.4277573523016596</v>
      </c>
      <c r="CF33" s="688">
        <v>8.3221430140267607</v>
      </c>
      <c r="CG33" s="688">
        <v>7.3101900362286996</v>
      </c>
      <c r="CH33" s="688">
        <v>8.0838186637965208</v>
      </c>
      <c r="CI33" s="756">
        <v>7.5550381111695497</v>
      </c>
    </row>
    <row r="34" spans="1:87" ht="14.25" customHeight="1" x14ac:dyDescent="0.25">
      <c r="A34" s="9"/>
      <c r="B34" s="9"/>
      <c r="C34" s="9" t="s">
        <v>738</v>
      </c>
      <c r="D34" s="9"/>
      <c r="E34" s="651">
        <f>AVERAGE(M71:Q92)</f>
        <v>27.703405386327553</v>
      </c>
      <c r="F34" s="651">
        <f>AVERAGE(S71:W92)</f>
        <v>20.433814014850444</v>
      </c>
      <c r="G34" s="651">
        <f>AVERAGE(Y71:AC92)</f>
        <v>20.951941835997104</v>
      </c>
      <c r="H34" s="651">
        <f>AVERAGE(AE71:AI92)</f>
        <v>16.861251843597863</v>
      </c>
      <c r="I34" s="64">
        <f>IF(I33+1=5,1,I33+1)</f>
        <v>2</v>
      </c>
      <c r="J34" s="3">
        <f t="shared" si="27"/>
        <v>2011</v>
      </c>
      <c r="K34" s="280" t="str">
        <f t="shared" si="18"/>
        <v>2Q11</v>
      </c>
      <c r="L34" s="755">
        <v>16.156204560674698</v>
      </c>
      <c r="M34" s="688">
        <v>31.4459775571409</v>
      </c>
      <c r="N34" s="688">
        <v>21.072727272727299</v>
      </c>
      <c r="O34" s="688">
        <v>7.03950953678474</v>
      </c>
      <c r="P34" s="688">
        <v>8.7257022016306394</v>
      </c>
      <c r="Q34" s="756"/>
      <c r="R34" s="755">
        <v>12.9605667743125</v>
      </c>
      <c r="S34" s="688">
        <v>15.2774159685741</v>
      </c>
      <c r="T34" s="688">
        <v>16.169048893837001</v>
      </c>
      <c r="U34" s="688">
        <v>8.08521035501402</v>
      </c>
      <c r="V34" s="688">
        <v>7.7745550423630201</v>
      </c>
      <c r="W34" s="756"/>
      <c r="X34" s="755">
        <v>11.5502412620166</v>
      </c>
      <c r="Y34" s="688">
        <v>14.590940571007099</v>
      </c>
      <c r="Z34" s="688">
        <v>11.763408235586001</v>
      </c>
      <c r="AA34" s="688">
        <v>6.8916478032592901</v>
      </c>
      <c r="AB34" s="688"/>
      <c r="AC34" s="756"/>
      <c r="AD34" s="688"/>
      <c r="AE34" s="688">
        <v>14.8467905748028</v>
      </c>
      <c r="AF34" s="688">
        <v>11.503053584637</v>
      </c>
      <c r="AG34" s="688"/>
      <c r="AH34" s="688"/>
      <c r="AI34" s="756"/>
      <c r="AJ34" s="9"/>
      <c r="AK34" s="280" t="str">
        <f t="shared" si="19"/>
        <v>2Q11</v>
      </c>
      <c r="AL34" s="755">
        <f t="shared" si="20"/>
        <v>16.156204560674698</v>
      </c>
      <c r="AM34" s="688">
        <v>14.261378413524101</v>
      </c>
      <c r="AN34" s="688">
        <v>10.9403486187251</v>
      </c>
      <c r="AO34" s="688">
        <v>13.6310164596243</v>
      </c>
      <c r="AP34" s="688">
        <v>12.3939393939394</v>
      </c>
      <c r="AQ34" s="756">
        <v>15.036496350365001</v>
      </c>
      <c r="AR34" s="755">
        <f t="shared" si="21"/>
        <v>12.9605667743125</v>
      </c>
      <c r="AS34" s="688">
        <v>14.1894164833743</v>
      </c>
      <c r="AT34" s="688">
        <v>10.695335942745899</v>
      </c>
      <c r="AU34" s="688">
        <v>13.370814592703599</v>
      </c>
      <c r="AV34" s="688">
        <v>12.027446495670601</v>
      </c>
      <c r="AW34" s="756">
        <v>11.256830601092901</v>
      </c>
      <c r="AX34" s="755">
        <f t="shared" si="22"/>
        <v>11.5502412620166</v>
      </c>
      <c r="AY34" s="688">
        <v>7.6372275872717301</v>
      </c>
      <c r="AZ34" s="688">
        <v>6.5458498682912998</v>
      </c>
      <c r="BA34" s="688">
        <v>7.3848867350655203</v>
      </c>
      <c r="BB34" s="688">
        <v>7.1509670229311304</v>
      </c>
      <c r="BC34" s="756">
        <v>7.9486586605674301</v>
      </c>
      <c r="BD34" s="755">
        <f t="shared" si="31"/>
        <v>0</v>
      </c>
      <c r="BE34" s="688">
        <v>7.6570957770654102</v>
      </c>
      <c r="BF34" s="688">
        <v>6.3138780932891798</v>
      </c>
      <c r="BG34" s="688">
        <v>7.2927815151931403</v>
      </c>
      <c r="BH34" s="688">
        <v>7.0444458265683103</v>
      </c>
      <c r="BI34" s="756">
        <v>7.0598133029599301</v>
      </c>
      <c r="BJ34" s="9"/>
      <c r="BK34" s="280" t="str">
        <f t="shared" si="23"/>
        <v>2Q11</v>
      </c>
      <c r="BL34" s="755">
        <f t="shared" si="24"/>
        <v>16.156204560674698</v>
      </c>
      <c r="BM34" s="688">
        <v>9.8026315789473699</v>
      </c>
      <c r="BN34" s="688">
        <v>10.248447204968899</v>
      </c>
      <c r="BO34" s="688">
        <v>11.5079392957746</v>
      </c>
      <c r="BP34" s="688">
        <v>8.5249356153283404</v>
      </c>
      <c r="BQ34" s="756">
        <v>12.157894736842101</v>
      </c>
      <c r="BR34" s="755">
        <f t="shared" si="25"/>
        <v>12.9605667743125</v>
      </c>
      <c r="BS34" s="688">
        <v>9.8010195691498101</v>
      </c>
      <c r="BT34" s="688">
        <v>10.116492949111</v>
      </c>
      <c r="BU34" s="688">
        <v>12.1166142857143</v>
      </c>
      <c r="BV34" s="688">
        <v>10.344064135754101</v>
      </c>
      <c r="BW34" s="756">
        <v>12.140691328077599</v>
      </c>
      <c r="BX34" s="755">
        <f t="shared" si="26"/>
        <v>11.5502412620166</v>
      </c>
      <c r="BY34" s="688">
        <v>5.8776212254061004</v>
      </c>
      <c r="BZ34" s="688">
        <v>4.7637249584869297</v>
      </c>
      <c r="CA34" s="688">
        <v>7.5992368752733803</v>
      </c>
      <c r="CB34" s="688">
        <v>8.4334234393285996</v>
      </c>
      <c r="CC34" s="756">
        <v>7.3784026641296796</v>
      </c>
      <c r="CD34" s="755">
        <f t="shared" si="32"/>
        <v>0</v>
      </c>
      <c r="CE34" s="688">
        <v>6.2248776929543297</v>
      </c>
      <c r="CF34" s="688">
        <v>5.71660154479643</v>
      </c>
      <c r="CG34" s="688">
        <v>7.0680212994009501</v>
      </c>
      <c r="CH34" s="688">
        <v>7.0010617618764801</v>
      </c>
      <c r="CI34" s="756">
        <v>7.1465915282238601</v>
      </c>
    </row>
    <row r="35" spans="1:87" ht="14.25" customHeight="1" x14ac:dyDescent="0.25">
      <c r="A35" s="9"/>
      <c r="B35" s="9"/>
      <c r="C35" s="754" t="s">
        <v>766</v>
      </c>
      <c r="D35" s="754"/>
      <c r="E35" s="754"/>
      <c r="F35" s="754"/>
      <c r="G35" s="754"/>
      <c r="H35" s="754"/>
      <c r="I35" s="64">
        <f>IF(I34=4,1,I34+1)</f>
        <v>3</v>
      </c>
      <c r="J35" s="3">
        <f t="shared" si="27"/>
        <v>2011</v>
      </c>
      <c r="K35" s="280" t="str">
        <f t="shared" si="18"/>
        <v>3Q11</v>
      </c>
      <c r="L35" s="755">
        <v>12.967168227492101</v>
      </c>
      <c r="M35" s="688">
        <v>31.990852079256101</v>
      </c>
      <c r="N35" s="688">
        <v>22.179020979021001</v>
      </c>
      <c r="O35" s="688">
        <v>5.2144736842105299</v>
      </c>
      <c r="P35" s="688">
        <v>6.0492629318560196</v>
      </c>
      <c r="Q35" s="756"/>
      <c r="R35" s="755">
        <v>10.789509313913101</v>
      </c>
      <c r="S35" s="688">
        <v>14.9140868730502</v>
      </c>
      <c r="T35" s="688">
        <v>15.694842083512</v>
      </c>
      <c r="U35" s="688">
        <v>6.2583954970803202</v>
      </c>
      <c r="V35" s="688">
        <v>5.8356549154242003</v>
      </c>
      <c r="W35" s="756"/>
      <c r="X35" s="755">
        <v>10.3133420718525</v>
      </c>
      <c r="Y35" s="688">
        <v>14.0344595572793</v>
      </c>
      <c r="Z35" s="688">
        <v>12.4608217269188</v>
      </c>
      <c r="AA35" s="688">
        <v>6.1139783035802502</v>
      </c>
      <c r="AB35" s="688"/>
      <c r="AC35" s="756"/>
      <c r="AD35" s="688"/>
      <c r="AE35" s="688">
        <v>15.233414715441</v>
      </c>
      <c r="AF35" s="688">
        <v>12.293593229814499</v>
      </c>
      <c r="AG35" s="688"/>
      <c r="AH35" s="688"/>
      <c r="AI35" s="756"/>
      <c r="AJ35" s="9"/>
      <c r="AK35" s="280" t="str">
        <f t="shared" si="19"/>
        <v>3Q11</v>
      </c>
      <c r="AL35" s="755">
        <f t="shared" si="20"/>
        <v>12.967168227492101</v>
      </c>
      <c r="AM35" s="688">
        <v>10.821106821106801</v>
      </c>
      <c r="AN35" s="688">
        <v>21.943766174006399</v>
      </c>
      <c r="AO35" s="688">
        <v>12.462136250410801</v>
      </c>
      <c r="AP35" s="688">
        <v>9.3794788273615595</v>
      </c>
      <c r="AQ35" s="756">
        <v>7.5957661290322598</v>
      </c>
      <c r="AR35" s="755">
        <f t="shared" si="21"/>
        <v>10.789509313913101</v>
      </c>
      <c r="AS35" s="688">
        <v>10.888370888370901</v>
      </c>
      <c r="AT35" s="688">
        <v>7.8545352971933902</v>
      </c>
      <c r="AU35" s="688">
        <v>12.649318463444899</v>
      </c>
      <c r="AV35" s="688">
        <v>9.3263157894736892</v>
      </c>
      <c r="AW35" s="756">
        <v>10.0199468085106</v>
      </c>
      <c r="AX35" s="755">
        <f t="shared" si="22"/>
        <v>10.3133420718525</v>
      </c>
      <c r="AY35" s="688">
        <v>5.9001176074741704</v>
      </c>
      <c r="AZ35" s="688">
        <v>4.8244746482124299</v>
      </c>
      <c r="BA35" s="688">
        <v>7.1418511387700798</v>
      </c>
      <c r="BB35" s="688">
        <v>6.0620385752608099</v>
      </c>
      <c r="BC35" s="756">
        <v>5.5076043417287401</v>
      </c>
      <c r="BD35" s="755">
        <f t="shared" si="31"/>
        <v>0</v>
      </c>
      <c r="BE35" s="688">
        <v>6.0308784768044896</v>
      </c>
      <c r="BF35" s="688">
        <v>4.6250477373843601</v>
      </c>
      <c r="BG35" s="688">
        <v>6.2991772819748997</v>
      </c>
      <c r="BH35" s="688">
        <v>5.5383386735474103</v>
      </c>
      <c r="BI35" s="756">
        <v>5.7051235878715501</v>
      </c>
      <c r="BJ35" s="9"/>
      <c r="BK35" s="280" t="str">
        <f t="shared" si="23"/>
        <v>3Q11</v>
      </c>
      <c r="BL35" s="755">
        <f t="shared" si="24"/>
        <v>12.967168227492101</v>
      </c>
      <c r="BM35" s="688">
        <v>7.8922261484098897</v>
      </c>
      <c r="BN35" s="688">
        <v>8.01673640167364</v>
      </c>
      <c r="BO35" s="688">
        <v>7.9857808615384602</v>
      </c>
      <c r="BP35" s="688">
        <v>6.7069184559980197</v>
      </c>
      <c r="BQ35" s="756">
        <v>10.784708249496999</v>
      </c>
      <c r="BR35" s="755">
        <f t="shared" si="25"/>
        <v>10.789509313913101</v>
      </c>
      <c r="BS35" s="688">
        <v>7.5711864406779696</v>
      </c>
      <c r="BT35" s="688">
        <v>8.4760008847600101</v>
      </c>
      <c r="BU35" s="688">
        <v>8.1487559811617007</v>
      </c>
      <c r="BV35" s="688">
        <v>8.3122978736571191</v>
      </c>
      <c r="BW35" s="756">
        <v>10.938775510204101</v>
      </c>
      <c r="BX35" s="755">
        <f t="shared" si="26"/>
        <v>10.3133420718525</v>
      </c>
      <c r="BY35" s="688">
        <v>4.3028111906212603</v>
      </c>
      <c r="BZ35" s="688">
        <v>3.8414409926750501</v>
      </c>
      <c r="CA35" s="688">
        <v>5.6458130639778403</v>
      </c>
      <c r="CB35" s="688">
        <v>6.8037030262034701</v>
      </c>
      <c r="CC35" s="756">
        <v>6.6247506250611297</v>
      </c>
      <c r="CD35" s="755">
        <f t="shared" si="32"/>
        <v>0</v>
      </c>
      <c r="CE35" s="688">
        <v>6.1701368280511204</v>
      </c>
      <c r="CF35" s="688">
        <v>4.7910434837116904</v>
      </c>
      <c r="CG35" s="688">
        <v>4.54697852739125</v>
      </c>
      <c r="CH35" s="688">
        <v>6.34376169566361</v>
      </c>
      <c r="CI35" s="756">
        <v>6.7602426331227097</v>
      </c>
    </row>
    <row r="36" spans="1:87" ht="14.25" customHeight="1" x14ac:dyDescent="0.25">
      <c r="A36" s="9"/>
      <c r="B36" s="9"/>
      <c r="C36" s="64"/>
      <c r="D36" s="9"/>
      <c r="E36" s="64" t="s">
        <v>761</v>
      </c>
      <c r="F36" s="64" t="s">
        <v>762</v>
      </c>
      <c r="G36" s="64" t="s">
        <v>763</v>
      </c>
      <c r="H36" s="64" t="s">
        <v>764</v>
      </c>
      <c r="I36" s="64">
        <f>I32</f>
        <v>4</v>
      </c>
      <c r="J36" s="3">
        <f t="shared" si="27"/>
        <v>2011</v>
      </c>
      <c r="K36" s="280" t="str">
        <f t="shared" si="18"/>
        <v>4Q11</v>
      </c>
      <c r="L36" s="755">
        <v>13.0591818756163</v>
      </c>
      <c r="M36" s="688">
        <v>28.739015881894101</v>
      </c>
      <c r="N36" s="688">
        <v>26.0713286713287</v>
      </c>
      <c r="O36" s="688">
        <v>5.4993498049414802</v>
      </c>
      <c r="P36" s="688">
        <v>6.7098383383009699</v>
      </c>
      <c r="Q36" s="756"/>
      <c r="R36" s="755">
        <v>11.2782134659526</v>
      </c>
      <c r="S36" s="688">
        <v>16.668793795838699</v>
      </c>
      <c r="T36" s="688">
        <v>17.142275354703099</v>
      </c>
      <c r="U36" s="688">
        <v>7.0693731343283597</v>
      </c>
      <c r="V36" s="688">
        <v>6.8707505665911199</v>
      </c>
      <c r="W36" s="756"/>
      <c r="X36" s="755">
        <v>10.213158125854401</v>
      </c>
      <c r="Y36" s="688">
        <v>14.167075707034201</v>
      </c>
      <c r="Z36" s="688">
        <v>14.992667909290599</v>
      </c>
      <c r="AA36" s="688">
        <v>5.9171965398705098</v>
      </c>
      <c r="AB36" s="688"/>
      <c r="AC36" s="756"/>
      <c r="AD36" s="688"/>
      <c r="AE36" s="688">
        <v>15.4793804768419</v>
      </c>
      <c r="AF36" s="688">
        <v>12.6798683521165</v>
      </c>
      <c r="AG36" s="688"/>
      <c r="AH36" s="688"/>
      <c r="AI36" s="756"/>
      <c r="AJ36" s="9"/>
      <c r="AK36" s="280" t="str">
        <f t="shared" si="19"/>
        <v>4Q11</v>
      </c>
      <c r="AL36" s="755">
        <f t="shared" si="20"/>
        <v>13.0591818756163</v>
      </c>
      <c r="AM36" s="688">
        <v>8.9417098445595808</v>
      </c>
      <c r="AN36" s="688">
        <v>18.143557999999999</v>
      </c>
      <c r="AO36" s="688">
        <v>9.1487933530985508</v>
      </c>
      <c r="AP36" s="688">
        <v>6.7736156351791497</v>
      </c>
      <c r="AQ36" s="756">
        <v>6.7439516129032304</v>
      </c>
      <c r="AR36" s="755">
        <f t="shared" si="21"/>
        <v>11.2782134659526</v>
      </c>
      <c r="AS36" s="688">
        <v>9.4007898679014001</v>
      </c>
      <c r="AT36" s="688">
        <v>8.1660980932343197</v>
      </c>
      <c r="AU36" s="688">
        <v>8.4194594594594605</v>
      </c>
      <c r="AV36" s="688">
        <v>6.8281070431784601</v>
      </c>
      <c r="AW36" s="756">
        <v>8.0602409638554207</v>
      </c>
      <c r="AX36" s="755">
        <f t="shared" si="22"/>
        <v>10.213158125854401</v>
      </c>
      <c r="AY36" s="688">
        <v>4.89790121018937</v>
      </c>
      <c r="AZ36" s="688">
        <v>4.6220094696752696</v>
      </c>
      <c r="BA36" s="688">
        <v>5.0712418496191098</v>
      </c>
      <c r="BB36" s="688">
        <v>4.5023367141351498</v>
      </c>
      <c r="BC36" s="756">
        <v>4.9020437638256702</v>
      </c>
      <c r="BD36" s="755">
        <f t="shared" si="31"/>
        <v>0</v>
      </c>
      <c r="BE36" s="688">
        <v>5.2630583207003001</v>
      </c>
      <c r="BF36" s="688">
        <v>4.9107333603227996</v>
      </c>
      <c r="BG36" s="688">
        <v>4.7682387463580902</v>
      </c>
      <c r="BH36" s="688">
        <v>4.5585638192333002</v>
      </c>
      <c r="BI36" s="756">
        <v>4.8074347810977001</v>
      </c>
      <c r="BJ36" s="9"/>
      <c r="BK36" s="280" t="str">
        <f t="shared" si="23"/>
        <v>4Q11</v>
      </c>
      <c r="BL36" s="755">
        <f t="shared" si="24"/>
        <v>13.0591818756163</v>
      </c>
      <c r="BM36" s="688">
        <v>6.0626101097709704</v>
      </c>
      <c r="BN36" s="688">
        <v>7.2985455977024802</v>
      </c>
      <c r="BO36" s="688">
        <v>5.5174202748305898</v>
      </c>
      <c r="BP36" s="688">
        <v>6.2027636565908297</v>
      </c>
      <c r="BQ36" s="756">
        <v>8.9672401555434398</v>
      </c>
      <c r="BR36" s="755">
        <f t="shared" si="25"/>
        <v>11.2782134659526</v>
      </c>
      <c r="BS36" s="688">
        <v>13.1576470588235</v>
      </c>
      <c r="BT36" s="688">
        <v>10.2303143479614</v>
      </c>
      <c r="BU36" s="688">
        <v>10.0395161714876</v>
      </c>
      <c r="BV36" s="688">
        <v>8.6477952048670108</v>
      </c>
      <c r="BW36" s="756">
        <v>10.3069544364508</v>
      </c>
      <c r="BX36" s="755">
        <f t="shared" si="26"/>
        <v>10.213158125854401</v>
      </c>
      <c r="BY36" s="688">
        <v>3.7364763015806002</v>
      </c>
      <c r="BZ36" s="688">
        <v>3.6600144582177201</v>
      </c>
      <c r="CA36" s="688">
        <v>4.3412557548271797</v>
      </c>
      <c r="CB36" s="688">
        <v>6.51077564649239</v>
      </c>
      <c r="CC36" s="756">
        <v>5.7618767786199703</v>
      </c>
      <c r="CD36" s="755">
        <f t="shared" si="32"/>
        <v>0</v>
      </c>
      <c r="CE36" s="688">
        <v>6.6302230892667504</v>
      </c>
      <c r="CF36" s="688">
        <v>5.8500031480394803</v>
      </c>
      <c r="CG36" s="688">
        <v>4.7291923488465599</v>
      </c>
      <c r="CH36" s="688">
        <v>5.9041605578646799</v>
      </c>
      <c r="CI36" s="756">
        <v>6.2719469757294801</v>
      </c>
    </row>
    <row r="37" spans="1:87" ht="14.25" customHeight="1" x14ac:dyDescent="0.25">
      <c r="A37" s="9"/>
      <c r="B37" s="9"/>
      <c r="C37" s="9" t="s">
        <v>767</v>
      </c>
      <c r="D37" s="9"/>
      <c r="E37" s="651">
        <f>AVERAGE(M8:Q75)</f>
        <v>23.337033810675688</v>
      </c>
      <c r="F37" s="651">
        <f>AVERAGE(S8:W75)</f>
        <v>17.8780341362211</v>
      </c>
      <c r="G37" s="651">
        <f>AVERAGE(Y8:AC75)</f>
        <v>16.52582719057029</v>
      </c>
      <c r="H37" s="651">
        <f>AVERAGE(AE8:AI75)</f>
        <v>16.892102810258528</v>
      </c>
      <c r="I37" s="64">
        <f>IF(I36=4,1,I36+1)</f>
        <v>1</v>
      </c>
      <c r="J37" s="3">
        <f t="shared" si="27"/>
        <v>2012</v>
      </c>
      <c r="K37" s="280" t="str">
        <f t="shared" si="18"/>
        <v>1Q12</v>
      </c>
      <c r="L37" s="755">
        <v>15.5534791299514</v>
      </c>
      <c r="M37" s="688">
        <v>33.401003388786499</v>
      </c>
      <c r="N37" s="688">
        <v>22.3167508670202</v>
      </c>
      <c r="O37" s="688">
        <v>7.9288762446657204</v>
      </c>
      <c r="P37" s="688">
        <v>8.8735682493769907</v>
      </c>
      <c r="Q37" s="756"/>
      <c r="R37" s="755">
        <v>13.2287006235616</v>
      </c>
      <c r="S37" s="688">
        <v>18.217471395790799</v>
      </c>
      <c r="T37" s="688">
        <v>18.400302506519999</v>
      </c>
      <c r="U37" s="688">
        <v>9.0800371628403003</v>
      </c>
      <c r="V37" s="688">
        <v>9.2341621071787898</v>
      </c>
      <c r="W37" s="756"/>
      <c r="X37" s="755">
        <v>11.153835656301201</v>
      </c>
      <c r="Y37" s="688">
        <v>15.8371991582709</v>
      </c>
      <c r="Z37" s="688">
        <v>13.1191357461454</v>
      </c>
      <c r="AA37" s="688">
        <v>8.8842818158294801</v>
      </c>
      <c r="AB37" s="688"/>
      <c r="AC37" s="756"/>
      <c r="AD37" s="688"/>
      <c r="AE37" s="688">
        <v>15.1950766624994</v>
      </c>
      <c r="AF37" s="688">
        <v>14.1217254514168</v>
      </c>
      <c r="AG37" s="688"/>
      <c r="AH37" s="688"/>
      <c r="AI37" s="756"/>
      <c r="AJ37" s="9"/>
      <c r="AK37" s="280" t="str">
        <f t="shared" si="19"/>
        <v>1Q12</v>
      </c>
      <c r="AL37" s="755">
        <f t="shared" si="20"/>
        <v>15.5534791299514</v>
      </c>
      <c r="AM37" s="688">
        <v>10.840053763440901</v>
      </c>
      <c r="AN37" s="688">
        <v>20.803155859437801</v>
      </c>
      <c r="AO37" s="688">
        <v>9.8846523585786095</v>
      </c>
      <c r="AP37" s="688">
        <v>8.8482428115015992</v>
      </c>
      <c r="AQ37" s="756">
        <v>10.990259740259701</v>
      </c>
      <c r="AR37" s="755">
        <f t="shared" si="21"/>
        <v>13.2287006235616</v>
      </c>
      <c r="AS37" s="688">
        <v>10.8810037776579</v>
      </c>
      <c r="AT37" s="688">
        <v>8.3497655595406002</v>
      </c>
      <c r="AU37" s="688">
        <v>9.4171259008054307</v>
      </c>
      <c r="AV37" s="688">
        <v>9.0182351025724508</v>
      </c>
      <c r="AW37" s="756">
        <v>8.0595238095238102</v>
      </c>
      <c r="AX37" s="755">
        <f t="shared" si="22"/>
        <v>11.153835656301201</v>
      </c>
      <c r="AY37" s="688">
        <v>5.8216725255459796</v>
      </c>
      <c r="AZ37" s="688">
        <v>5.0410018022602303</v>
      </c>
      <c r="BA37" s="688">
        <v>5.5182590928874404</v>
      </c>
      <c r="BB37" s="688">
        <v>5.7599053387207402</v>
      </c>
      <c r="BC37" s="756">
        <v>4.6355079714971703</v>
      </c>
      <c r="BD37" s="755">
        <f t="shared" si="31"/>
        <v>0</v>
      </c>
      <c r="BE37" s="688">
        <v>5.95575380710775</v>
      </c>
      <c r="BF37" s="688">
        <v>5.05876329563125</v>
      </c>
      <c r="BG37" s="688">
        <v>5.2819857287730603</v>
      </c>
      <c r="BH37" s="688">
        <v>5.8642999770834097</v>
      </c>
      <c r="BI37" s="756">
        <v>4.7163862717252103</v>
      </c>
      <c r="BJ37" s="9"/>
      <c r="BK37" s="280" t="str">
        <f t="shared" si="23"/>
        <v>1Q12</v>
      </c>
      <c r="BL37" s="755">
        <f t="shared" si="24"/>
        <v>15.5534791299514</v>
      </c>
      <c r="BM37" s="688">
        <v>9.1985383678440904</v>
      </c>
      <c r="BN37" s="688">
        <v>10.313305041231301</v>
      </c>
      <c r="BO37" s="688">
        <v>7.8212262850747898</v>
      </c>
      <c r="BP37" s="688">
        <v>7.6864943676242303</v>
      </c>
      <c r="BQ37" s="756">
        <v>11.229670535816901</v>
      </c>
      <c r="BR37" s="755">
        <f t="shared" si="25"/>
        <v>13.2287006235616</v>
      </c>
      <c r="BS37" s="688">
        <v>28.263473053892199</v>
      </c>
      <c r="BT37" s="688">
        <v>15.703616352201299</v>
      </c>
      <c r="BU37" s="688">
        <v>11.495782048979599</v>
      </c>
      <c r="BV37" s="688">
        <v>10.4776994462381</v>
      </c>
      <c r="BW37" s="756">
        <v>12.747791952895</v>
      </c>
      <c r="BX37" s="755">
        <f t="shared" si="26"/>
        <v>11.153835656301201</v>
      </c>
      <c r="BY37" s="688">
        <v>4.9804834814134002</v>
      </c>
      <c r="BZ37" s="688">
        <v>3.5883926004314399</v>
      </c>
      <c r="CA37" s="688">
        <v>5.6751991982419199</v>
      </c>
      <c r="CB37" s="688">
        <v>7.5850988474402401</v>
      </c>
      <c r="CC37" s="756">
        <v>7.0756691074846696</v>
      </c>
      <c r="CD37" s="755">
        <f t="shared" si="32"/>
        <v>0</v>
      </c>
      <c r="CE37" s="688">
        <v>9.8956170837326596</v>
      </c>
      <c r="CF37" s="688">
        <v>6.0908894516113801</v>
      </c>
      <c r="CG37" s="688">
        <v>6.6627964264094199</v>
      </c>
      <c r="CH37" s="688">
        <v>6.7608583949673697</v>
      </c>
      <c r="CI37" s="756">
        <v>7.4642295095456399</v>
      </c>
    </row>
    <row r="38" spans="1:87" ht="14.25" customHeight="1" x14ac:dyDescent="0.25">
      <c r="A38" s="9"/>
      <c r="B38" s="9"/>
      <c r="C38" s="9" t="s">
        <v>768</v>
      </c>
      <c r="D38" s="9"/>
      <c r="E38" s="651">
        <f t="shared" ref="E38:H38" si="33">AVERAGE(E42,E46)</f>
        <v>18.730288848951893</v>
      </c>
      <c r="F38" s="651">
        <f t="shared" si="33"/>
        <v>14.662010624038537</v>
      </c>
      <c r="G38" s="651">
        <f t="shared" si="33"/>
        <v>13.601618540603859</v>
      </c>
      <c r="H38" s="651">
        <f t="shared" si="33"/>
        <v>16.128265660206662</v>
      </c>
      <c r="I38" s="64">
        <f>IF(I37+1=5,1,I37+1)</f>
        <v>2</v>
      </c>
      <c r="J38" s="3">
        <f t="shared" si="27"/>
        <v>2012</v>
      </c>
      <c r="K38" s="280" t="str">
        <f t="shared" si="18"/>
        <v>2Q12</v>
      </c>
      <c r="L38" s="755">
        <v>14.1886221436593</v>
      </c>
      <c r="M38" s="688">
        <v>34.994627533522703</v>
      </c>
      <c r="N38" s="688">
        <v>22.824601025857302</v>
      </c>
      <c r="O38" s="688">
        <v>7.7134371999065801</v>
      </c>
      <c r="P38" s="688">
        <v>6.6771093442529201</v>
      </c>
      <c r="Q38" s="756"/>
      <c r="R38" s="755">
        <v>12.803740593023401</v>
      </c>
      <c r="S38" s="688">
        <v>18.033928716800499</v>
      </c>
      <c r="T38" s="688">
        <v>17.848016140384001</v>
      </c>
      <c r="U38" s="688">
        <v>8.2880856603688002</v>
      </c>
      <c r="V38" s="688">
        <v>7.4695710103603696</v>
      </c>
      <c r="W38" s="756"/>
      <c r="X38" s="755">
        <v>10.3197793359776</v>
      </c>
      <c r="Y38" s="688">
        <v>16.381212170735601</v>
      </c>
      <c r="Z38" s="688">
        <v>13.4378626638059</v>
      </c>
      <c r="AA38" s="688">
        <v>4.5773946334223696</v>
      </c>
      <c r="AB38" s="688"/>
      <c r="AC38" s="756"/>
      <c r="AD38" s="688"/>
      <c r="AE38" s="688">
        <v>17.228413252971599</v>
      </c>
      <c r="AF38" s="688">
        <v>16.8420164371278</v>
      </c>
      <c r="AG38" s="688"/>
      <c r="AH38" s="688"/>
      <c r="AI38" s="756"/>
      <c r="AJ38" s="9"/>
      <c r="AK38" s="280" t="str">
        <f t="shared" si="19"/>
        <v>2Q12</v>
      </c>
      <c r="AL38" s="755">
        <f t="shared" si="20"/>
        <v>14.1886221436593</v>
      </c>
      <c r="AM38" s="688">
        <v>10.5377576439906</v>
      </c>
      <c r="AN38" s="688">
        <v>27.485185757091099</v>
      </c>
      <c r="AO38" s="688">
        <v>10.208031467209301</v>
      </c>
      <c r="AP38" s="688">
        <v>10.157232704402499</v>
      </c>
      <c r="AQ38" s="756">
        <v>11.3376623376623</v>
      </c>
      <c r="AR38" s="755">
        <f t="shared" si="21"/>
        <v>12.803740593023401</v>
      </c>
      <c r="AS38" s="688">
        <v>10.5899905058999</v>
      </c>
      <c r="AT38" s="688">
        <v>9.6339947311717609</v>
      </c>
      <c r="AU38" s="688">
        <v>10.025078369906</v>
      </c>
      <c r="AV38" s="688">
        <v>10.4683195592286</v>
      </c>
      <c r="AW38" s="756">
        <v>8.6435643564356397</v>
      </c>
      <c r="AX38" s="755">
        <f t="shared" si="22"/>
        <v>10.3197793359776</v>
      </c>
      <c r="AY38" s="688">
        <v>5.7508682577648402</v>
      </c>
      <c r="AZ38" s="688">
        <v>5.76379770975627</v>
      </c>
      <c r="BA38" s="688">
        <v>5.6724476995598803</v>
      </c>
      <c r="BB38" s="688">
        <v>6.4189544620072398</v>
      </c>
      <c r="BC38" s="756">
        <v>4.7829807728203297</v>
      </c>
      <c r="BD38" s="755">
        <f t="shared" si="31"/>
        <v>0</v>
      </c>
      <c r="BE38" s="688">
        <v>5.8262682911125703</v>
      </c>
      <c r="BF38" s="688">
        <v>5.6401633037324803</v>
      </c>
      <c r="BG38" s="688">
        <v>5.50800076174861</v>
      </c>
      <c r="BH38" s="688">
        <v>6.5464021191348198</v>
      </c>
      <c r="BI38" s="756">
        <v>4.9052510063836898</v>
      </c>
      <c r="BJ38" s="9"/>
      <c r="BK38" s="280" t="str">
        <f t="shared" si="23"/>
        <v>2Q12</v>
      </c>
      <c r="BL38" s="755">
        <f t="shared" si="24"/>
        <v>14.1886221436593</v>
      </c>
      <c r="BM38" s="688">
        <v>19.4664826079701</v>
      </c>
      <c r="BN38" s="688">
        <v>12.1118500568766</v>
      </c>
      <c r="BO38" s="688">
        <v>12.9341481944021</v>
      </c>
      <c r="BP38" s="688">
        <v>10.699183871992799</v>
      </c>
      <c r="BQ38" s="756">
        <v>13.654121144525901</v>
      </c>
      <c r="BR38" s="755">
        <f t="shared" si="25"/>
        <v>12.803740593023401</v>
      </c>
      <c r="BS38" s="688">
        <v>35.278350515463899</v>
      </c>
      <c r="BT38" s="688">
        <v>16.3007975693126</v>
      </c>
      <c r="BU38" s="688">
        <v>16.171872938524601</v>
      </c>
      <c r="BV38" s="688">
        <v>12.6626890556961</v>
      </c>
      <c r="BW38" s="756">
        <v>14.919196865817799</v>
      </c>
      <c r="BX38" s="755">
        <f t="shared" si="26"/>
        <v>10.3197793359776</v>
      </c>
      <c r="BY38" s="688">
        <v>8.4288551189087499</v>
      </c>
      <c r="BZ38" s="688">
        <v>4.1188114203648203</v>
      </c>
      <c r="CA38" s="688">
        <v>8.4896052720448996</v>
      </c>
      <c r="CB38" s="688">
        <v>7.8981250506955503</v>
      </c>
      <c r="CC38" s="756">
        <v>8.3129248743540494</v>
      </c>
      <c r="CD38" s="755">
        <f t="shared" si="32"/>
        <v>0</v>
      </c>
      <c r="CE38" s="688">
        <v>13.471739507090801</v>
      </c>
      <c r="CF38" s="688">
        <v>8.5242433393943298</v>
      </c>
      <c r="CG38" s="688">
        <v>6.8403757436109496</v>
      </c>
      <c r="CH38" s="688">
        <v>7.6219259128077796</v>
      </c>
      <c r="CI38" s="756">
        <v>8.4732372972831502</v>
      </c>
    </row>
    <row r="39" spans="1:87" ht="14.25" customHeight="1" x14ac:dyDescent="0.25">
      <c r="A39" s="9"/>
      <c r="B39" s="9"/>
      <c r="C39" s="9" t="s">
        <v>769</v>
      </c>
      <c r="D39" s="9"/>
      <c r="E39" s="651">
        <f t="shared" ref="E39:H39" si="34">AVERAGE(E43,E47)</f>
        <v>24.676097319474124</v>
      </c>
      <c r="F39" s="651">
        <f t="shared" si="34"/>
        <v>19.91338316035727</v>
      </c>
      <c r="G39" s="651">
        <f t="shared" si="34"/>
        <v>15.468955591056329</v>
      </c>
      <c r="H39" s="651">
        <f t="shared" si="34"/>
        <v>16.947068561997746</v>
      </c>
      <c r="I39" s="64">
        <f>IF(I38=4,1,I38+1)</f>
        <v>3</v>
      </c>
      <c r="J39" s="3">
        <f t="shared" si="27"/>
        <v>2012</v>
      </c>
      <c r="K39" s="280" t="str">
        <f t="shared" si="18"/>
        <v>3Q12</v>
      </c>
      <c r="L39" s="755">
        <v>13.567015593001001</v>
      </c>
      <c r="M39" s="688">
        <v>38.009209619036099</v>
      </c>
      <c r="N39" s="688">
        <v>23.958640513250199</v>
      </c>
      <c r="O39" s="688">
        <v>10.319026431260401</v>
      </c>
      <c r="P39" s="688">
        <v>8.2010671517073792</v>
      </c>
      <c r="Q39" s="756"/>
      <c r="R39" s="755">
        <v>12.211293153840201</v>
      </c>
      <c r="S39" s="688">
        <v>18.692761218473599</v>
      </c>
      <c r="T39" s="688">
        <v>18.3106146868869</v>
      </c>
      <c r="U39" s="688">
        <v>8.3603058475418397</v>
      </c>
      <c r="V39" s="688">
        <v>7.9345308205716796</v>
      </c>
      <c r="W39" s="756"/>
      <c r="X39" s="755">
        <v>10.2005477003708</v>
      </c>
      <c r="Y39" s="688">
        <v>17.630558290330299</v>
      </c>
      <c r="Z39" s="688">
        <v>13.9733301283531</v>
      </c>
      <c r="AA39" s="688">
        <v>9.3097624705401003</v>
      </c>
      <c r="AB39" s="688"/>
      <c r="AC39" s="756"/>
      <c r="AD39" s="688">
        <v>15.750372824209</v>
      </c>
      <c r="AE39" s="688">
        <v>15.969118377250799</v>
      </c>
      <c r="AF39" s="688">
        <v>14.2120448327286</v>
      </c>
      <c r="AG39" s="688">
        <v>13.5053437153007</v>
      </c>
      <c r="AH39" s="688"/>
      <c r="AI39" s="756"/>
      <c r="AJ39" s="9"/>
      <c r="AK39" s="280" t="str">
        <f t="shared" si="19"/>
        <v>3Q12</v>
      </c>
      <c r="AL39" s="755">
        <f t="shared" si="20"/>
        <v>13.567015593001001</v>
      </c>
      <c r="AM39" s="688">
        <v>10.119718893414399</v>
      </c>
      <c r="AN39" s="688">
        <v>11.797038536396499</v>
      </c>
      <c r="AO39" s="688">
        <v>10.580704467082199</v>
      </c>
      <c r="AP39" s="688">
        <v>10.977455716586199</v>
      </c>
      <c r="AQ39" s="756">
        <v>11.6558441558442</v>
      </c>
      <c r="AR39" s="755">
        <f t="shared" si="21"/>
        <v>12.211293153840201</v>
      </c>
      <c r="AS39" s="688">
        <v>9.9327708937516501</v>
      </c>
      <c r="AT39" s="688">
        <v>9.8056678372363102</v>
      </c>
      <c r="AU39" s="688">
        <v>10.6732960430909</v>
      </c>
      <c r="AV39" s="688">
        <v>11.0147035062207</v>
      </c>
      <c r="AW39" s="756">
        <v>8.8985148514851495</v>
      </c>
      <c r="AX39" s="755">
        <f t="shared" si="22"/>
        <v>10.2005477003708</v>
      </c>
      <c r="AY39" s="688">
        <v>5.9145401930723596</v>
      </c>
      <c r="AZ39" s="688">
        <v>6.5705290385461899</v>
      </c>
      <c r="BA39" s="688">
        <v>5.6743148608767102</v>
      </c>
      <c r="BB39" s="688">
        <v>6.5851013982366302</v>
      </c>
      <c r="BC39" s="756">
        <v>5.0304895281220503</v>
      </c>
      <c r="BD39" s="755">
        <f t="shared" si="31"/>
        <v>15.750372824209</v>
      </c>
      <c r="BE39" s="688">
        <v>6.0064613737831998</v>
      </c>
      <c r="BF39" s="688">
        <v>5.0301021445790601</v>
      </c>
      <c r="BG39" s="688">
        <v>5.8657258959571799</v>
      </c>
      <c r="BH39" s="688">
        <v>6.4555933883222201</v>
      </c>
      <c r="BI39" s="756">
        <v>4.6206697248657704</v>
      </c>
      <c r="BJ39" s="9"/>
      <c r="BK39" s="280" t="str">
        <f t="shared" si="23"/>
        <v>3Q12</v>
      </c>
      <c r="BL39" s="755">
        <f t="shared" si="24"/>
        <v>13.567015593001001</v>
      </c>
      <c r="BM39" s="688">
        <v>28.622427045205299</v>
      </c>
      <c r="BN39" s="688">
        <v>25.656057988667499</v>
      </c>
      <c r="BO39" s="688">
        <v>14.7276675216782</v>
      </c>
      <c r="BP39" s="688">
        <v>13.514382978831801</v>
      </c>
      <c r="BQ39" s="756">
        <v>15.4123269305155</v>
      </c>
      <c r="BR39" s="755">
        <f t="shared" si="25"/>
        <v>12.211293153840201</v>
      </c>
      <c r="BS39" s="688">
        <v>28.212871287128699</v>
      </c>
      <c r="BT39" s="688">
        <v>21.5326433121019</v>
      </c>
      <c r="BU39" s="688">
        <v>14.5874961705115</v>
      </c>
      <c r="BV39" s="688">
        <v>13.126449359233</v>
      </c>
      <c r="BW39" s="756">
        <v>16.863459669582099</v>
      </c>
      <c r="BX39" s="755">
        <f t="shared" si="26"/>
        <v>10.2005477003708</v>
      </c>
      <c r="BY39" s="688">
        <v>14.1545619542665</v>
      </c>
      <c r="BZ39" s="688">
        <v>6.03047033443133</v>
      </c>
      <c r="CA39" s="688">
        <v>7.9655337866461302</v>
      </c>
      <c r="CB39" s="688">
        <v>9.8077547202812596</v>
      </c>
      <c r="CC39" s="756">
        <v>9.2828708723068996</v>
      </c>
      <c r="CD39" s="755">
        <f t="shared" si="32"/>
        <v>15.750372824209</v>
      </c>
      <c r="CE39" s="688">
        <v>9.8310099837338907</v>
      </c>
      <c r="CF39" s="688">
        <v>8.1240381305082998</v>
      </c>
      <c r="CG39" s="688">
        <v>7.31440259308921</v>
      </c>
      <c r="CH39" s="688">
        <v>8.1776714446701106</v>
      </c>
      <c r="CI39" s="756">
        <v>8.4880646744051091</v>
      </c>
    </row>
    <row r="40" spans="1:87" ht="14.25" customHeight="1" x14ac:dyDescent="0.25">
      <c r="A40" s="9"/>
      <c r="B40" s="9"/>
      <c r="C40" s="9" t="s">
        <v>770</v>
      </c>
      <c r="D40" s="9"/>
      <c r="E40" s="651">
        <f t="shared" ref="E40:H40" si="35">AVERAGE(E44,E48)</f>
        <v>25.24534306621155</v>
      </c>
      <c r="F40" s="651">
        <f t="shared" si="35"/>
        <v>19.997289459819378</v>
      </c>
      <c r="G40" s="651">
        <f t="shared" si="35"/>
        <v>17.156213382160395</v>
      </c>
      <c r="H40" s="651">
        <f t="shared" si="35"/>
        <v>15.83992777160352</v>
      </c>
      <c r="I40" s="64">
        <f>I36</f>
        <v>4</v>
      </c>
      <c r="J40" s="3">
        <f t="shared" si="27"/>
        <v>2012</v>
      </c>
      <c r="K40" s="280" t="str">
        <f t="shared" si="18"/>
        <v>4Q12</v>
      </c>
      <c r="L40" s="755">
        <v>13.507340210139199</v>
      </c>
      <c r="M40" s="688">
        <v>31.635226925046801</v>
      </c>
      <c r="N40" s="688">
        <v>26.070702824819701</v>
      </c>
      <c r="O40" s="688">
        <v>9.0916781090816201</v>
      </c>
      <c r="P40" s="688">
        <v>9.0242409440237594</v>
      </c>
      <c r="Q40" s="756"/>
      <c r="R40" s="755">
        <v>12.1051301491029</v>
      </c>
      <c r="S40" s="688">
        <v>20.0505891739441</v>
      </c>
      <c r="T40" s="688">
        <v>19.2088151658768</v>
      </c>
      <c r="U40" s="688">
        <v>8.2341235595715503</v>
      </c>
      <c r="V40" s="688">
        <v>8.2409332935764201</v>
      </c>
      <c r="W40" s="756"/>
      <c r="X40" s="755">
        <v>9.6254176536231597</v>
      </c>
      <c r="Y40" s="688">
        <v>46.077374779913697</v>
      </c>
      <c r="Z40" s="688">
        <v>15.252351345978299</v>
      </c>
      <c r="AA40" s="688">
        <v>8.5832532844597207</v>
      </c>
      <c r="AB40" s="688"/>
      <c r="AC40" s="756"/>
      <c r="AD40" s="688"/>
      <c r="AE40" s="688">
        <v>15.1655068270847</v>
      </c>
      <c r="AF40" s="688">
        <v>13.4996115943433</v>
      </c>
      <c r="AG40" s="688"/>
      <c r="AH40" s="688"/>
      <c r="AI40" s="756"/>
      <c r="AJ40" s="9"/>
      <c r="AK40" s="280" t="str">
        <f t="shared" si="19"/>
        <v>4Q12</v>
      </c>
      <c r="AL40" s="755">
        <f t="shared" si="20"/>
        <v>13.507340210139199</v>
      </c>
      <c r="AM40" s="688">
        <v>11.2459018741683</v>
      </c>
      <c r="AN40" s="688">
        <v>13.1752667734563</v>
      </c>
      <c r="AO40" s="688">
        <v>11.5195012733566</v>
      </c>
      <c r="AP40" s="688">
        <v>12.431561996779401</v>
      </c>
      <c r="AQ40" s="756"/>
      <c r="AR40" s="755">
        <f t="shared" si="21"/>
        <v>12.1051301491029</v>
      </c>
      <c r="AS40" s="688">
        <v>11.137580299785901</v>
      </c>
      <c r="AT40" s="688">
        <v>10.206529667639</v>
      </c>
      <c r="AU40" s="688">
        <v>11.479099678456601</v>
      </c>
      <c r="AV40" s="688">
        <v>11.795263559969399</v>
      </c>
      <c r="AW40" s="756">
        <v>8.6348837209302296</v>
      </c>
      <c r="AX40" s="755">
        <f t="shared" si="22"/>
        <v>9.6254176536231597</v>
      </c>
      <c r="AY40" s="688">
        <v>6.3734654034019602</v>
      </c>
      <c r="AZ40" s="688">
        <v>7.7922877079153903</v>
      </c>
      <c r="BA40" s="688">
        <v>6.2338907473890304</v>
      </c>
      <c r="BB40" s="688">
        <v>7.3834675741837197</v>
      </c>
      <c r="BC40" s="756">
        <v>5.1627184780484798</v>
      </c>
      <c r="BD40" s="755">
        <f t="shared" si="31"/>
        <v>0</v>
      </c>
      <c r="BE40" s="688">
        <v>6.2673500545729599</v>
      </c>
      <c r="BF40" s="688">
        <v>6.1212017796915301</v>
      </c>
      <c r="BG40" s="688">
        <v>6.4053122904091202</v>
      </c>
      <c r="BH40" s="688">
        <v>7.1946442463125901</v>
      </c>
      <c r="BI40" s="756">
        <v>4.6046051119883096</v>
      </c>
      <c r="BJ40" s="9"/>
      <c r="BK40" s="280" t="str">
        <f t="shared" si="23"/>
        <v>4Q12</v>
      </c>
      <c r="BL40" s="755">
        <f t="shared" si="24"/>
        <v>13.507340210139199</v>
      </c>
      <c r="BM40" s="688">
        <v>30.633028985132899</v>
      </c>
      <c r="BN40" s="688">
        <v>27.9859571305592</v>
      </c>
      <c r="BO40" s="688">
        <v>18.423834165461699</v>
      </c>
      <c r="BP40" s="688">
        <v>14.990135880328401</v>
      </c>
      <c r="BQ40" s="756">
        <v>16.064833749376401</v>
      </c>
      <c r="BR40" s="755">
        <f t="shared" si="25"/>
        <v>12.1051301491029</v>
      </c>
      <c r="BS40" s="688">
        <v>23.806818181818201</v>
      </c>
      <c r="BT40" s="688">
        <v>18.610328638497698</v>
      </c>
      <c r="BU40" s="688">
        <v>17.185437603143399</v>
      </c>
      <c r="BV40" s="688">
        <v>17.8308441541432</v>
      </c>
      <c r="BW40" s="756">
        <v>15.8335125833513</v>
      </c>
      <c r="BX40" s="755">
        <f t="shared" si="26"/>
        <v>9.6254176536231597</v>
      </c>
      <c r="BY40" s="688">
        <v>12.476167804583</v>
      </c>
      <c r="BZ40" s="688">
        <v>7.6382736898547696</v>
      </c>
      <c r="CA40" s="688">
        <v>9.4385645229277095</v>
      </c>
      <c r="CB40" s="688">
        <v>10.6734174337219</v>
      </c>
      <c r="CC40" s="756">
        <v>9.6673338901233805</v>
      </c>
      <c r="CD40" s="755">
        <f t="shared" si="32"/>
        <v>0</v>
      </c>
      <c r="CE40" s="688">
        <v>10.4278073137258</v>
      </c>
      <c r="CF40" s="688">
        <v>8.8801058488865703</v>
      </c>
      <c r="CG40" s="688">
        <v>8.9840782933758003</v>
      </c>
      <c r="CH40" s="688">
        <v>9.3166420395460907</v>
      </c>
      <c r="CI40" s="756">
        <v>8.8537436509269405</v>
      </c>
    </row>
    <row r="41" spans="1:87" ht="14.25" customHeight="1" x14ac:dyDescent="0.25">
      <c r="A41" s="9"/>
      <c r="B41" s="9"/>
      <c r="C41" s="9" t="s">
        <v>771</v>
      </c>
      <c r="D41" s="9"/>
      <c r="E41" s="651">
        <f>AVERAGE(M8:Q35)</f>
        <v>21.704091110671673</v>
      </c>
      <c r="F41" s="651">
        <f>AVERAGE(S8:W35)</f>
        <v>17.212800052834961</v>
      </c>
      <c r="G41" s="651">
        <f>AVERAGE(Y8:AC35)</f>
        <v>12.090359890301807</v>
      </c>
      <c r="H41" s="651">
        <f>AVERAGE(AE8:AI35)</f>
        <v>13.465161187383844</v>
      </c>
      <c r="I41" s="64">
        <f>IF(I40=4,1,I40+1)</f>
        <v>1</v>
      </c>
      <c r="J41" s="3">
        <f t="shared" si="27"/>
        <v>2013</v>
      </c>
      <c r="K41" s="280" t="str">
        <f t="shared" si="18"/>
        <v>1Q13</v>
      </c>
      <c r="L41" s="755">
        <v>16.082145290477499</v>
      </c>
      <c r="M41" s="688">
        <v>35.446146859413801</v>
      </c>
      <c r="N41" s="688">
        <v>24.602587488584302</v>
      </c>
      <c r="O41" s="688">
        <v>8.8008571826686399</v>
      </c>
      <c r="P41" s="688">
        <v>8.1052099285235304</v>
      </c>
      <c r="Q41" s="756"/>
      <c r="R41" s="755">
        <v>13.7552587763667</v>
      </c>
      <c r="S41" s="688">
        <v>21.414288976849399</v>
      </c>
      <c r="T41" s="688">
        <v>20.338159802165901</v>
      </c>
      <c r="U41" s="688">
        <v>8.4243759947055405</v>
      </c>
      <c r="V41" s="688">
        <v>8.4823787752997593</v>
      </c>
      <c r="W41" s="756"/>
      <c r="X41" s="755">
        <v>11.309779497075599</v>
      </c>
      <c r="Y41" s="688">
        <v>48.834900644954097</v>
      </c>
      <c r="Z41" s="688">
        <v>14.6866144477048</v>
      </c>
      <c r="AA41" s="688">
        <v>7.9542445485597701</v>
      </c>
      <c r="AB41" s="688"/>
      <c r="AC41" s="756"/>
      <c r="AD41" s="688"/>
      <c r="AE41" s="688">
        <v>14.789534875055701</v>
      </c>
      <c r="AF41" s="688">
        <v>13.343653185336301</v>
      </c>
      <c r="AG41" s="688"/>
      <c r="AH41" s="688"/>
      <c r="AI41" s="756"/>
      <c r="AJ41" s="9"/>
      <c r="AK41" s="280" t="str">
        <f t="shared" si="19"/>
        <v>1Q13</v>
      </c>
      <c r="AL41" s="755">
        <f t="shared" si="20"/>
        <v>16.082145290477499</v>
      </c>
      <c r="AM41" s="688">
        <v>9.9999610739770297</v>
      </c>
      <c r="AN41" s="688">
        <v>9.8567090836951099</v>
      </c>
      <c r="AO41" s="688">
        <v>9.6679105685306794</v>
      </c>
      <c r="AP41" s="688">
        <v>9.4299516908212606</v>
      </c>
      <c r="AQ41" s="756">
        <v>20.389183001860101</v>
      </c>
      <c r="AR41" s="755">
        <f t="shared" si="21"/>
        <v>13.7552587763667</v>
      </c>
      <c r="AS41" s="688">
        <v>10.1734261914516</v>
      </c>
      <c r="AT41" s="688">
        <v>8.2366185583722498</v>
      </c>
      <c r="AU41" s="688">
        <v>9.6586826347305408</v>
      </c>
      <c r="AV41" s="688">
        <v>8.9037555116314397</v>
      </c>
      <c r="AW41" s="756">
        <v>7.2737819025522104</v>
      </c>
      <c r="AX41" s="755">
        <f t="shared" si="22"/>
        <v>11.309779497075599</v>
      </c>
      <c r="AY41" s="688">
        <v>5.57867980886728</v>
      </c>
      <c r="AZ41" s="688">
        <v>6.3488956339740898</v>
      </c>
      <c r="BA41" s="688">
        <v>6.1001435767028198</v>
      </c>
      <c r="BB41" s="688">
        <v>5.7419540662097397</v>
      </c>
      <c r="BC41" s="756">
        <v>4.5544976275480202</v>
      </c>
      <c r="BD41" s="755">
        <f t="shared" si="31"/>
        <v>0</v>
      </c>
      <c r="BE41" s="688">
        <v>5.4862436080116197</v>
      </c>
      <c r="BF41" s="688">
        <v>5.0172390557656596</v>
      </c>
      <c r="BG41" s="688">
        <v>5.4948169337757404</v>
      </c>
      <c r="BH41" s="688">
        <v>5.5132090277973704</v>
      </c>
      <c r="BI41" s="756">
        <v>4.3094182178329801</v>
      </c>
      <c r="BJ41" s="9"/>
      <c r="BK41" s="280" t="str">
        <f t="shared" si="23"/>
        <v>1Q13</v>
      </c>
      <c r="BL41" s="755">
        <f t="shared" si="24"/>
        <v>16.082145290477499</v>
      </c>
      <c r="BM41" s="688">
        <v>24.3601654723143</v>
      </c>
      <c r="BN41" s="688">
        <v>24.265275945607101</v>
      </c>
      <c r="BO41" s="688">
        <v>13.810354033387</v>
      </c>
      <c r="BP41" s="688">
        <v>12.518308364882399</v>
      </c>
      <c r="BQ41" s="756">
        <v>13.945700927772601</v>
      </c>
      <c r="BR41" s="755">
        <f t="shared" si="25"/>
        <v>13.7552587763667</v>
      </c>
      <c r="BS41" s="688">
        <v>18.872133207665701</v>
      </c>
      <c r="BT41" s="688">
        <v>13.2539871459176</v>
      </c>
      <c r="BU41" s="688">
        <v>12.7284161505969</v>
      </c>
      <c r="BV41" s="688">
        <v>14.9644201023031</v>
      </c>
      <c r="BW41" s="756">
        <v>13.9172384219554</v>
      </c>
      <c r="BX41" s="755">
        <f t="shared" si="26"/>
        <v>11.309779497075599</v>
      </c>
      <c r="BY41" s="688">
        <v>10.085262951602999</v>
      </c>
      <c r="BZ41" s="688">
        <v>5.6924125677050403</v>
      </c>
      <c r="CA41" s="688">
        <v>6.9719235348552404</v>
      </c>
      <c r="CB41" s="688">
        <v>9.3480235976562494</v>
      </c>
      <c r="CC41" s="756">
        <v>8.3064868487700405</v>
      </c>
      <c r="CD41" s="755">
        <f t="shared" si="32"/>
        <v>0</v>
      </c>
      <c r="CE41" s="688">
        <v>8.8661907877634896</v>
      </c>
      <c r="CF41" s="688">
        <v>6.4451868598823303</v>
      </c>
      <c r="CG41" s="688">
        <v>6.0558564496601504</v>
      </c>
      <c r="CH41" s="688">
        <v>8.0255848476999301</v>
      </c>
      <c r="CI41" s="756">
        <v>7.9146342421646798</v>
      </c>
    </row>
    <row r="42" spans="1:87" ht="14.25" customHeight="1" x14ac:dyDescent="0.25">
      <c r="A42" s="9"/>
      <c r="B42" s="9"/>
      <c r="C42" s="9" t="s">
        <v>772</v>
      </c>
      <c r="D42" s="9"/>
      <c r="E42" s="651">
        <f>AVERAGE(M8:Q19)</f>
        <v>16.297468428912023</v>
      </c>
      <c r="F42" s="651">
        <f>AVERAGE(S8:W19)</f>
        <v>13.942626397847116</v>
      </c>
      <c r="G42" s="651">
        <f>AVERAGE(Y8:AC19)</f>
        <v>10.432340555972885</v>
      </c>
      <c r="H42" s="651">
        <f>AVERAGE(AE8:AI19)</f>
        <v>16.527425212806129</v>
      </c>
      <c r="I42" s="64">
        <f>IF(I41+1=5,1,I41+1)</f>
        <v>2</v>
      </c>
      <c r="J42" s="3">
        <f t="shared" si="27"/>
        <v>2013</v>
      </c>
      <c r="K42" s="280" t="str">
        <f t="shared" si="18"/>
        <v>2Q13</v>
      </c>
      <c r="L42" s="755">
        <v>17.728116707730301</v>
      </c>
      <c r="M42" s="688">
        <v>38.140504819582397</v>
      </c>
      <c r="N42" s="688">
        <v>26.119761447695801</v>
      </c>
      <c r="O42" s="688">
        <v>10.778047719930701</v>
      </c>
      <c r="P42" s="688">
        <v>8.9915374967041792</v>
      </c>
      <c r="Q42" s="756"/>
      <c r="R42" s="755">
        <v>14.815253756541701</v>
      </c>
      <c r="S42" s="688">
        <v>21.725473470764701</v>
      </c>
      <c r="T42" s="688">
        <v>20.735982761198802</v>
      </c>
      <c r="U42" s="688">
        <v>9.4815054150923004</v>
      </c>
      <c r="V42" s="688">
        <v>9.0398038411238595</v>
      </c>
      <c r="W42" s="756"/>
      <c r="X42" s="755">
        <v>11.205748436577601</v>
      </c>
      <c r="Y42" s="688">
        <v>52.033374475034599</v>
      </c>
      <c r="Z42" s="688">
        <v>15.5001063312697</v>
      </c>
      <c r="AA42" s="688">
        <v>7.2874041467979502</v>
      </c>
      <c r="AB42" s="688"/>
      <c r="AC42" s="756"/>
      <c r="AD42" s="688"/>
      <c r="AE42" s="688">
        <v>17.5577815025961</v>
      </c>
      <c r="AF42" s="688">
        <v>14.923064101083501</v>
      </c>
      <c r="AG42" s="688"/>
      <c r="AH42" s="688"/>
      <c r="AI42" s="756"/>
      <c r="AJ42" s="9"/>
      <c r="AK42" s="280" t="str">
        <f t="shared" si="19"/>
        <v>2Q13</v>
      </c>
      <c r="AL42" s="755">
        <f t="shared" si="20"/>
        <v>17.728116707730301</v>
      </c>
      <c r="AM42" s="688">
        <v>9.6204043269145103</v>
      </c>
      <c r="AN42" s="688">
        <v>10.369148843188499</v>
      </c>
      <c r="AO42" s="688">
        <v>9.1214238919844597</v>
      </c>
      <c r="AP42" s="688">
        <v>10.001592356687899</v>
      </c>
      <c r="AQ42" s="756">
        <v>22.262256272844301</v>
      </c>
      <c r="AR42" s="755">
        <f t="shared" si="21"/>
        <v>14.815253756541701</v>
      </c>
      <c r="AS42" s="688">
        <v>9.7416974169741692</v>
      </c>
      <c r="AT42" s="688">
        <v>8.0213207054105293</v>
      </c>
      <c r="AU42" s="688">
        <v>10.8368895211</v>
      </c>
      <c r="AV42" s="688">
        <v>9.4224422442244204</v>
      </c>
      <c r="AW42" s="756">
        <v>7.9790209790209801</v>
      </c>
      <c r="AX42" s="755">
        <f t="shared" si="22"/>
        <v>11.205748436577601</v>
      </c>
      <c r="AY42" s="688">
        <v>5.4694720210755303</v>
      </c>
      <c r="AZ42" s="688">
        <v>6.5458067336104904</v>
      </c>
      <c r="BA42" s="688">
        <v>5.7612245937373903</v>
      </c>
      <c r="BB42" s="688">
        <v>6.03174555515099</v>
      </c>
      <c r="BC42" s="756">
        <v>4.9273381045377702</v>
      </c>
      <c r="BD42" s="755">
        <f t="shared" si="31"/>
        <v>0</v>
      </c>
      <c r="BE42" s="688">
        <v>5.2421652159577397</v>
      </c>
      <c r="BF42" s="688">
        <v>5.2578672817923602</v>
      </c>
      <c r="BG42" s="688">
        <v>5.7519578678377696</v>
      </c>
      <c r="BH42" s="688">
        <v>5.8083747252702196</v>
      </c>
      <c r="BI42" s="756">
        <v>4.6354962113398201</v>
      </c>
      <c r="BJ42" s="9"/>
      <c r="BK42" s="280" t="str">
        <f t="shared" si="23"/>
        <v>2Q13</v>
      </c>
      <c r="BL42" s="755">
        <f t="shared" si="24"/>
        <v>17.728116707730301</v>
      </c>
      <c r="BM42" s="688">
        <v>24.165108997909702</v>
      </c>
      <c r="BN42" s="688">
        <v>25.4241271250078</v>
      </c>
      <c r="BO42" s="688">
        <v>14.8512626154585</v>
      </c>
      <c r="BP42" s="688">
        <v>14.001235439937499</v>
      </c>
      <c r="BQ42" s="756">
        <v>14.8656322568568</v>
      </c>
      <c r="BR42" s="755">
        <f t="shared" si="25"/>
        <v>14.815253756541701</v>
      </c>
      <c r="BS42" s="688">
        <v>20.998131838804401</v>
      </c>
      <c r="BT42" s="688">
        <v>15.5793703951775</v>
      </c>
      <c r="BU42" s="688">
        <v>14.0344431716083</v>
      </c>
      <c r="BV42" s="688">
        <v>16.625988505336</v>
      </c>
      <c r="BW42" s="756">
        <v>15.097498940228901</v>
      </c>
      <c r="BX42" s="755">
        <f t="shared" si="26"/>
        <v>11.205748436577601</v>
      </c>
      <c r="BY42" s="688">
        <v>10.6384200202094</v>
      </c>
      <c r="BZ42" s="688">
        <v>6.7226025644169001</v>
      </c>
      <c r="CA42" s="688">
        <v>7.2666825847504999</v>
      </c>
      <c r="CB42" s="688">
        <v>10.394219186316899</v>
      </c>
      <c r="CC42" s="756">
        <v>8.7331252074086994</v>
      </c>
      <c r="CD42" s="755">
        <f t="shared" si="32"/>
        <v>0</v>
      </c>
      <c r="CE42" s="688">
        <v>9.9402623212929893</v>
      </c>
      <c r="CF42" s="688">
        <v>7.97901468449838</v>
      </c>
      <c r="CG42" s="688">
        <v>6.4556760118559904</v>
      </c>
      <c r="CH42" s="688">
        <v>8.6540000206489101</v>
      </c>
      <c r="CI42" s="756">
        <v>8.3565512796683201</v>
      </c>
    </row>
    <row r="43" spans="1:87" ht="14.25" customHeight="1" x14ac:dyDescent="0.25">
      <c r="A43" s="9"/>
      <c r="B43" s="9"/>
      <c r="C43" s="9" t="s">
        <v>773</v>
      </c>
      <c r="D43" s="9"/>
      <c r="E43" s="651">
        <f>AVERAGE(M16:Q27)</f>
        <v>26.082771601109823</v>
      </c>
      <c r="F43" s="651">
        <f>AVERAGE(S16:W27)</f>
        <v>21.812342293682448</v>
      </c>
      <c r="G43" s="651">
        <f>AVERAGE(Y16:AC27)</f>
        <v>13.494951732771243</v>
      </c>
      <c r="H43" s="651">
        <f>AVERAGE(AE16:AI27)</f>
        <v>13.764686553597592</v>
      </c>
      <c r="I43" s="64">
        <f>IF(I42=4,1,I42+1)</f>
        <v>3</v>
      </c>
      <c r="J43" s="3">
        <f t="shared" si="27"/>
        <v>2013</v>
      </c>
      <c r="K43" s="280" t="str">
        <f t="shared" si="18"/>
        <v>3Q13</v>
      </c>
      <c r="L43" s="755">
        <v>17.383606145307301</v>
      </c>
      <c r="M43" s="688">
        <v>39.883176312022897</v>
      </c>
      <c r="N43" s="688">
        <v>30.588081996137198</v>
      </c>
      <c r="O43" s="688">
        <v>9.0177263785157198</v>
      </c>
      <c r="P43" s="688">
        <v>8.0993875866426102</v>
      </c>
      <c r="Q43" s="756"/>
      <c r="R43" s="755">
        <v>14.459779493269499</v>
      </c>
      <c r="S43" s="688">
        <v>21.378828135925101</v>
      </c>
      <c r="T43" s="688">
        <v>22.734260465728301</v>
      </c>
      <c r="U43" s="688">
        <v>10.0036105177261</v>
      </c>
      <c r="V43" s="688">
        <v>8.5556456963177308</v>
      </c>
      <c r="W43" s="756"/>
      <c r="X43" s="755">
        <v>11.154004642088299</v>
      </c>
      <c r="Y43" s="688">
        <v>53.644977089599699</v>
      </c>
      <c r="Z43" s="688">
        <v>18.201939181199599</v>
      </c>
      <c r="AA43" s="688">
        <v>6.5679074465185501</v>
      </c>
      <c r="AB43" s="688"/>
      <c r="AC43" s="756"/>
      <c r="AD43" s="688"/>
      <c r="AE43" s="688">
        <v>14.737192569220101</v>
      </c>
      <c r="AF43" s="688">
        <v>15.5195951350093</v>
      </c>
      <c r="AG43" s="688"/>
      <c r="AH43" s="688"/>
      <c r="AI43" s="756"/>
      <c r="AJ43" s="9"/>
      <c r="AK43" s="280" t="str">
        <f t="shared" si="19"/>
        <v>3Q13</v>
      </c>
      <c r="AL43" s="755">
        <f t="shared" si="20"/>
        <v>17.383606145307301</v>
      </c>
      <c r="AM43" s="688">
        <v>9.0620006242682702</v>
      </c>
      <c r="AN43" s="688">
        <v>9.6317891842749095</v>
      </c>
      <c r="AO43" s="688">
        <v>8.8928566219733796</v>
      </c>
      <c r="AP43" s="688">
        <v>10.389458272328</v>
      </c>
      <c r="AQ43" s="756">
        <v>11.8536611648916</v>
      </c>
      <c r="AR43" s="755">
        <f t="shared" si="21"/>
        <v>14.459779493269499</v>
      </c>
      <c r="AS43" s="688">
        <v>9.9914248963841601</v>
      </c>
      <c r="AT43" s="688">
        <v>8.8331556233278192</v>
      </c>
      <c r="AU43" s="688">
        <v>10.089266274765899</v>
      </c>
      <c r="AV43" s="688">
        <v>10.504811250925201</v>
      </c>
      <c r="AW43" s="756">
        <v>7.8014184397163104</v>
      </c>
      <c r="AX43" s="755">
        <f t="shared" si="22"/>
        <v>11.154004642088299</v>
      </c>
      <c r="AY43" s="688">
        <v>5.3793556144224901</v>
      </c>
      <c r="AZ43" s="688">
        <v>5.8953343077061202</v>
      </c>
      <c r="BA43" s="688">
        <v>5.6164263581300196</v>
      </c>
      <c r="BB43" s="688">
        <v>6.0688318330818003</v>
      </c>
      <c r="BC43" s="756">
        <v>4.6436106780451896</v>
      </c>
      <c r="BD43" s="755">
        <f t="shared" si="31"/>
        <v>0</v>
      </c>
      <c r="BE43" s="688">
        <v>5.4853607215587497</v>
      </c>
      <c r="BF43" s="688">
        <v>5.3183414379838503</v>
      </c>
      <c r="BG43" s="688">
        <v>5.7875481144032603</v>
      </c>
      <c r="BH43" s="688">
        <v>6.1217222110684402</v>
      </c>
      <c r="BI43" s="756">
        <v>4.1203890954194202</v>
      </c>
      <c r="BJ43" s="9"/>
      <c r="BK43" s="280" t="str">
        <f t="shared" si="23"/>
        <v>3Q13</v>
      </c>
      <c r="BL43" s="755">
        <f t="shared" si="24"/>
        <v>17.383606145307301</v>
      </c>
      <c r="BM43" s="688">
        <v>21.605346942748799</v>
      </c>
      <c r="BN43" s="688">
        <v>18.758399494054</v>
      </c>
      <c r="BO43" s="688">
        <v>15.243961913696699</v>
      </c>
      <c r="BP43" s="688">
        <v>16.769620095024599</v>
      </c>
      <c r="BQ43" s="756">
        <v>15.978646422717601</v>
      </c>
      <c r="BR43" s="755">
        <f t="shared" si="25"/>
        <v>14.459779493269499</v>
      </c>
      <c r="BS43" s="688">
        <v>23.4384384384384</v>
      </c>
      <c r="BT43" s="688">
        <v>15.297476515012001</v>
      </c>
      <c r="BU43" s="688">
        <v>15.683575473684201</v>
      </c>
      <c r="BV43" s="688">
        <v>16.897645925900299</v>
      </c>
      <c r="BW43" s="756">
        <v>16.674433382757901</v>
      </c>
      <c r="BX43" s="755">
        <f t="shared" si="26"/>
        <v>11.154004642088299</v>
      </c>
      <c r="BY43" s="688">
        <v>10.140000975353299</v>
      </c>
      <c r="BZ43" s="688">
        <v>11.1988774428578</v>
      </c>
      <c r="CA43" s="688">
        <v>7.6879706231656399</v>
      </c>
      <c r="CB43" s="688">
        <v>11.3236402907469</v>
      </c>
      <c r="CC43" s="756">
        <v>9.4462181552704507</v>
      </c>
      <c r="CD43" s="755">
        <f t="shared" si="32"/>
        <v>0</v>
      </c>
      <c r="CE43" s="688">
        <v>11.0350072347685</v>
      </c>
      <c r="CF43" s="688">
        <v>12.8452543560021</v>
      </c>
      <c r="CG43" s="688">
        <v>6.9489849153165402</v>
      </c>
      <c r="CH43" s="688">
        <v>10.370362845866801</v>
      </c>
      <c r="CI43" s="756">
        <v>9.12801964987489</v>
      </c>
    </row>
    <row r="44" spans="1:87" ht="14.25" customHeight="1" x14ac:dyDescent="0.25">
      <c r="A44" s="205"/>
      <c r="B44" s="9"/>
      <c r="C44" s="9" t="s">
        <v>774</v>
      </c>
      <c r="D44" s="9"/>
      <c r="E44" s="651">
        <f>AVERAGE(M24:Q35)</f>
        <v>21.501096938037229</v>
      </c>
      <c r="F44" s="651">
        <f>AVERAGE(S24:W35)</f>
        <v>18.724962708722249</v>
      </c>
      <c r="G44" s="651">
        <f>AVERAGE(Y24:AC35)</f>
        <v>12.413339563086339</v>
      </c>
      <c r="H44" s="651">
        <f>AVERAGE(AE24:AI35)</f>
        <v>11.156267524066038</v>
      </c>
      <c r="I44" s="64">
        <f>I40</f>
        <v>4</v>
      </c>
      <c r="J44" s="3">
        <f t="shared" si="27"/>
        <v>2013</v>
      </c>
      <c r="K44" s="280" t="str">
        <f t="shared" si="18"/>
        <v>4Q13</v>
      </c>
      <c r="L44" s="755">
        <v>20.1428716368697</v>
      </c>
      <c r="M44" s="688">
        <v>41.523843763834002</v>
      </c>
      <c r="N44" s="688">
        <v>37.984361878314999</v>
      </c>
      <c r="O44" s="688">
        <v>10.196354014856</v>
      </c>
      <c r="P44" s="688">
        <v>9.0721310432717992</v>
      </c>
      <c r="Q44" s="756"/>
      <c r="R44" s="755">
        <v>16.697634789721199</v>
      </c>
      <c r="S44" s="688">
        <v>24.019496707681</v>
      </c>
      <c r="T44" s="688">
        <v>26.847479413536899</v>
      </c>
      <c r="U44" s="688">
        <v>10.911311969323499</v>
      </c>
      <c r="V44" s="688">
        <v>9.6958787304594996</v>
      </c>
      <c r="W44" s="756"/>
      <c r="X44" s="755">
        <v>12.6953959976828</v>
      </c>
      <c r="Y44" s="688">
        <v>20.015266883253901</v>
      </c>
      <c r="Z44" s="688">
        <v>22.839421805838899</v>
      </c>
      <c r="AA44" s="688">
        <v>6.6216731492686502</v>
      </c>
      <c r="AB44" s="688"/>
      <c r="AC44" s="756"/>
      <c r="AD44" s="688"/>
      <c r="AE44" s="688">
        <v>16.633503281082302</v>
      </c>
      <c r="AF44" s="688">
        <v>16.632533873212498</v>
      </c>
      <c r="AG44" s="688"/>
      <c r="AH44" s="688"/>
      <c r="AI44" s="756"/>
      <c r="AJ44" s="9"/>
      <c r="AK44" s="280" t="str">
        <f t="shared" si="19"/>
        <v>4Q13</v>
      </c>
      <c r="AL44" s="755">
        <f t="shared" si="20"/>
        <v>20.1428716368697</v>
      </c>
      <c r="AM44" s="688">
        <v>10.5091692501708</v>
      </c>
      <c r="AN44" s="688">
        <v>9.7506638179158802</v>
      </c>
      <c r="AO44" s="688">
        <v>9.7621842114757396</v>
      </c>
      <c r="AP44" s="688">
        <v>11.209370424597401</v>
      </c>
      <c r="AQ44" s="756">
        <v>11.670468219616</v>
      </c>
      <c r="AR44" s="755">
        <f t="shared" si="21"/>
        <v>16.697634789721199</v>
      </c>
      <c r="AS44" s="688">
        <v>11.5301878674889</v>
      </c>
      <c r="AT44" s="688">
        <v>9.2945012598191799</v>
      </c>
      <c r="AU44" s="688">
        <v>10.173999999999999</v>
      </c>
      <c r="AV44" s="688">
        <v>10.706194937770899</v>
      </c>
      <c r="AW44" s="756">
        <v>7.7541766109785204</v>
      </c>
      <c r="AX44" s="755">
        <f t="shared" si="22"/>
        <v>12.6953959976828</v>
      </c>
      <c r="AY44" s="688">
        <v>5.7719211459488999</v>
      </c>
      <c r="AZ44" s="688">
        <v>5.19886979324506</v>
      </c>
      <c r="BA44" s="688">
        <v>6.0804868822000104</v>
      </c>
      <c r="BB44" s="688">
        <v>6.4630731003760902</v>
      </c>
      <c r="BC44" s="756">
        <v>4.5750262092020302</v>
      </c>
      <c r="BD44" s="755">
        <f t="shared" si="31"/>
        <v>0</v>
      </c>
      <c r="BE44" s="688">
        <v>6.2759801428242596</v>
      </c>
      <c r="BF44" s="688">
        <v>4.6276705795283197</v>
      </c>
      <c r="BG44" s="688">
        <v>5.7092746360968896</v>
      </c>
      <c r="BH44" s="688">
        <v>6.3650271472023103</v>
      </c>
      <c r="BI44" s="756">
        <v>4.1614766159540304</v>
      </c>
      <c r="BJ44" s="9"/>
      <c r="BK44" s="280" t="str">
        <f t="shared" si="23"/>
        <v>4Q13</v>
      </c>
      <c r="BL44" s="755">
        <f t="shared" si="24"/>
        <v>20.1428716368697</v>
      </c>
      <c r="BM44" s="688">
        <v>19.5893812359237</v>
      </c>
      <c r="BN44" s="688">
        <v>19.158254817246199</v>
      </c>
      <c r="BO44" s="688">
        <v>15.8492421790324</v>
      </c>
      <c r="BP44" s="688">
        <v>17.562715794490899</v>
      </c>
      <c r="BQ44" s="756">
        <v>16.7394614065933</v>
      </c>
      <c r="BR44" s="755">
        <f t="shared" si="25"/>
        <v>16.697634789721199</v>
      </c>
      <c r="BS44" s="688">
        <v>17.939423231835001</v>
      </c>
      <c r="BT44" s="688">
        <v>15.695771909930301</v>
      </c>
      <c r="BU44" s="688">
        <v>14.382903410447801</v>
      </c>
      <c r="BV44" s="688">
        <v>14.8263081664242</v>
      </c>
      <c r="BW44" s="756">
        <v>15.7693740685544</v>
      </c>
      <c r="BX44" s="755">
        <f t="shared" si="26"/>
        <v>12.6953959976828</v>
      </c>
      <c r="BY44" s="688">
        <v>9.6084032677444196</v>
      </c>
      <c r="BZ44" s="688">
        <v>8.1692260490010806</v>
      </c>
      <c r="CA44" s="688">
        <v>8.1872919029328095</v>
      </c>
      <c r="CB44" s="688">
        <v>12.135236426954799</v>
      </c>
      <c r="CC44" s="756">
        <v>9.8779039587798003</v>
      </c>
      <c r="CD44" s="755">
        <f t="shared" si="32"/>
        <v>0</v>
      </c>
      <c r="CE44" s="688">
        <v>8.9282098595308401</v>
      </c>
      <c r="CF44" s="688">
        <v>9.1988416237324806</v>
      </c>
      <c r="CG44" s="688">
        <v>6.3241620101164902</v>
      </c>
      <c r="CH44" s="688">
        <v>8.8863638105699003</v>
      </c>
      <c r="CI44" s="756">
        <v>8.8499357763455198</v>
      </c>
    </row>
    <row r="45" spans="1:87" ht="14.25" customHeight="1" x14ac:dyDescent="0.25">
      <c r="A45" s="9"/>
      <c r="B45" s="9"/>
      <c r="C45" s="9" t="s">
        <v>775</v>
      </c>
      <c r="D45" s="9"/>
      <c r="E45" s="651">
        <f>AVERAGE(M36:Q75)</f>
        <v>24.265769971303023</v>
      </c>
      <c r="F45" s="651">
        <f>AVERAGE(S36:W75)</f>
        <v>18.239755169062317</v>
      </c>
      <c r="G45" s="651">
        <f>AVERAGE(Y36:AC75)</f>
        <v>18.817485295709009</v>
      </c>
      <c r="H45" s="651">
        <f>AVERAGE(AE36:AI75)</f>
        <v>18.737379068729521</v>
      </c>
      <c r="I45" s="64">
        <f>IF(I44=4,1,I44+1)</f>
        <v>1</v>
      </c>
      <c r="J45" s="3">
        <f t="shared" si="27"/>
        <v>2014</v>
      </c>
      <c r="K45" s="280" t="str">
        <f t="shared" si="18"/>
        <v>1Q14</v>
      </c>
      <c r="L45" s="755">
        <v>18.274258809621699</v>
      </c>
      <c r="M45" s="688">
        <v>40.252096797472603</v>
      </c>
      <c r="N45" s="688">
        <v>28.647790904414599</v>
      </c>
      <c r="O45" s="688">
        <v>10.2016316264331</v>
      </c>
      <c r="P45" s="688">
        <v>9.6530974740240101</v>
      </c>
      <c r="Q45" s="756"/>
      <c r="R45" s="755">
        <v>16.052416699208798</v>
      </c>
      <c r="S45" s="688">
        <v>22.339550936404599</v>
      </c>
      <c r="T45" s="688">
        <v>23.384425820598299</v>
      </c>
      <c r="U45" s="688">
        <v>11.040769713980101</v>
      </c>
      <c r="V45" s="688">
        <v>10.068121084552001</v>
      </c>
      <c r="W45" s="756"/>
      <c r="X45" s="755">
        <v>12.4717280912168</v>
      </c>
      <c r="Y45" s="688">
        <v>19.196484384082101</v>
      </c>
      <c r="Z45" s="688">
        <v>16.633124026393102</v>
      </c>
      <c r="AA45" s="688">
        <v>7.5866954245056597</v>
      </c>
      <c r="AB45" s="688"/>
      <c r="AC45" s="756"/>
      <c r="AD45" s="688"/>
      <c r="AE45" s="688">
        <v>16.428330360974901</v>
      </c>
      <c r="AF45" s="688">
        <v>15.606519229238801</v>
      </c>
      <c r="AG45" s="688"/>
      <c r="AH45" s="688"/>
      <c r="AI45" s="756"/>
      <c r="AJ45" s="9"/>
      <c r="AK45" s="280" t="str">
        <f t="shared" si="19"/>
        <v>1Q14</v>
      </c>
      <c r="AL45" s="755">
        <f t="shared" si="20"/>
        <v>18.274258809621699</v>
      </c>
      <c r="AM45" s="688">
        <v>10.360250621589399</v>
      </c>
      <c r="AN45" s="688">
        <v>10.610981378837</v>
      </c>
      <c r="AO45" s="688">
        <v>9.7850104631892201</v>
      </c>
      <c r="AP45" s="688">
        <v>10.753246753246801</v>
      </c>
      <c r="AQ45" s="756">
        <v>11.911217487238</v>
      </c>
      <c r="AR45" s="755">
        <f t="shared" si="21"/>
        <v>16.052416699208798</v>
      </c>
      <c r="AS45" s="688">
        <v>11.1498209859543</v>
      </c>
      <c r="AT45" s="688">
        <v>10.333780360602001</v>
      </c>
      <c r="AU45" s="688">
        <v>10.1321138211382</v>
      </c>
      <c r="AV45" s="688">
        <v>10.4574796519787</v>
      </c>
      <c r="AW45" s="756">
        <v>7.7305825242718402</v>
      </c>
      <c r="AX45" s="755">
        <f t="shared" si="22"/>
        <v>12.4717280912168</v>
      </c>
      <c r="AY45" s="688">
        <v>5.9342711326619</v>
      </c>
      <c r="AZ45" s="688">
        <v>5.6618821978602103</v>
      </c>
      <c r="BA45" s="688">
        <v>6.4812835745831103</v>
      </c>
      <c r="BB45" s="688">
        <v>6.2851866440240798</v>
      </c>
      <c r="BC45" s="756">
        <v>5.0582831174011602</v>
      </c>
      <c r="BD45" s="755">
        <f t="shared" si="31"/>
        <v>0</v>
      </c>
      <c r="BE45" s="688">
        <v>6.3857361563320802</v>
      </c>
      <c r="BF45" s="688">
        <v>5.4605792553048902</v>
      </c>
      <c r="BG45" s="688">
        <v>6.0368814914483702</v>
      </c>
      <c r="BH45" s="688">
        <v>6.2530343016821499</v>
      </c>
      <c r="BI45" s="756">
        <v>4.4398047960153502</v>
      </c>
      <c r="BJ45" s="9"/>
      <c r="BK45" s="280" t="str">
        <f t="shared" si="23"/>
        <v>1Q14</v>
      </c>
      <c r="BL45" s="755">
        <f t="shared" si="24"/>
        <v>18.274258809621699</v>
      </c>
      <c r="BM45" s="688">
        <v>16.68959147028</v>
      </c>
      <c r="BN45" s="688">
        <v>13.9808558081172</v>
      </c>
      <c r="BO45" s="688">
        <v>14.468751868729999</v>
      </c>
      <c r="BP45" s="688">
        <v>16.205048980257601</v>
      </c>
      <c r="BQ45" s="756">
        <v>17.184909509831101</v>
      </c>
      <c r="BR45" s="755">
        <f t="shared" si="25"/>
        <v>16.052416699208798</v>
      </c>
      <c r="BS45" s="688">
        <v>15.241231209735099</v>
      </c>
      <c r="BT45" s="688">
        <v>12.9049929566442</v>
      </c>
      <c r="BU45" s="688">
        <v>13.108605498192301</v>
      </c>
      <c r="BV45" s="688">
        <v>14.300434892270401</v>
      </c>
      <c r="BW45" s="756">
        <v>16.252295262577999</v>
      </c>
      <c r="BX45" s="755">
        <f t="shared" si="26"/>
        <v>12.4717280912168</v>
      </c>
      <c r="BY45" s="688">
        <v>8.3694625048910805</v>
      </c>
      <c r="BZ45" s="688">
        <v>5.8871772792342698</v>
      </c>
      <c r="CA45" s="688">
        <v>7.7302288075718204</v>
      </c>
      <c r="CB45" s="688">
        <v>11.214687895444699</v>
      </c>
      <c r="CC45" s="756">
        <v>9.9399214641402391</v>
      </c>
      <c r="CD45" s="755">
        <f t="shared" si="32"/>
        <v>0</v>
      </c>
      <c r="CE45" s="688">
        <v>7.7878401119748304</v>
      </c>
      <c r="CF45" s="688">
        <v>7.0981511174056404</v>
      </c>
      <c r="CG45" s="688">
        <v>6.0878290524664997</v>
      </c>
      <c r="CH45" s="688">
        <v>8.4494736155836296</v>
      </c>
      <c r="CI45" s="756">
        <v>9.1474541842588604</v>
      </c>
    </row>
    <row r="46" spans="1:87" ht="14.25" customHeight="1" x14ac:dyDescent="0.25">
      <c r="A46" s="9"/>
      <c r="B46" s="9"/>
      <c r="C46" s="9" t="s">
        <v>776</v>
      </c>
      <c r="D46" s="9"/>
      <c r="E46" s="651">
        <f>AVERAGE(M36:Q51)</f>
        <v>21.163109268991764</v>
      </c>
      <c r="F46" s="651">
        <f>AVERAGE(S36:W51)</f>
        <v>15.381394850229956</v>
      </c>
      <c r="G46" s="651">
        <f>AVERAGE(Y36:AC51)</f>
        <v>16.770896525234832</v>
      </c>
      <c r="H46" s="651">
        <f>AVERAGE(AE36:AI51)</f>
        <v>15.729106107607194</v>
      </c>
      <c r="I46" s="64">
        <f>IF(I45+1=5,1,I45+1)</f>
        <v>2</v>
      </c>
      <c r="J46" s="3">
        <f t="shared" si="27"/>
        <v>2014</v>
      </c>
      <c r="K46" s="280" t="str">
        <f t="shared" si="18"/>
        <v>2Q14</v>
      </c>
      <c r="L46" s="755">
        <v>18.6084883501291</v>
      </c>
      <c r="M46" s="688">
        <v>39.291760012023801</v>
      </c>
      <c r="N46" s="688">
        <v>28.1760802911291</v>
      </c>
      <c r="O46" s="688">
        <v>11.1424024665448</v>
      </c>
      <c r="P46" s="688">
        <v>9.7544938472370397</v>
      </c>
      <c r="Q46" s="756"/>
      <c r="R46" s="755">
        <v>16.5496576063418</v>
      </c>
      <c r="S46" s="688">
        <v>20.985936016838199</v>
      </c>
      <c r="T46" s="688">
        <v>22.232419610074299</v>
      </c>
      <c r="U46" s="688">
        <v>11.2128624194509</v>
      </c>
      <c r="V46" s="688">
        <v>10.1073814802245</v>
      </c>
      <c r="W46" s="756"/>
      <c r="X46" s="755">
        <v>12.231901652819801</v>
      </c>
      <c r="Y46" s="688">
        <v>18.5500753049342</v>
      </c>
      <c r="Z46" s="688">
        <v>16.069121678844901</v>
      </c>
      <c r="AA46" s="688">
        <v>6.7900334263603401</v>
      </c>
      <c r="AB46" s="688"/>
      <c r="AC46" s="756"/>
      <c r="AD46" s="688"/>
      <c r="AE46" s="688">
        <v>16.369648584750401</v>
      </c>
      <c r="AF46" s="688">
        <v>16.449508170546999</v>
      </c>
      <c r="AG46" s="688"/>
      <c r="AH46" s="688"/>
      <c r="AI46" s="756"/>
      <c r="AJ46" s="9"/>
      <c r="AK46" s="280" t="str">
        <f t="shared" si="19"/>
        <v>2Q14</v>
      </c>
      <c r="AL46" s="755">
        <f t="shared" si="20"/>
        <v>18.6084883501291</v>
      </c>
      <c r="AM46" s="688">
        <v>9.0442537177124596</v>
      </c>
      <c r="AN46" s="688">
        <v>7.5765915416947802</v>
      </c>
      <c r="AO46" s="688">
        <v>7.8850172710238802</v>
      </c>
      <c r="AP46" s="688">
        <v>7.9925124109429904</v>
      </c>
      <c r="AQ46" s="756">
        <v>9.9964472035752294</v>
      </c>
      <c r="AR46" s="755">
        <f t="shared" si="21"/>
        <v>16.5496576063418</v>
      </c>
      <c r="AS46" s="688">
        <v>9.6853333333333307</v>
      </c>
      <c r="AT46" s="688">
        <v>7.58726003490401</v>
      </c>
      <c r="AU46" s="688">
        <v>8.1593132361748903</v>
      </c>
      <c r="AV46" s="688">
        <v>7.9189866369710504</v>
      </c>
      <c r="AW46" s="756">
        <v>6.6825000000000001</v>
      </c>
      <c r="AX46" s="755">
        <f t="shared" si="22"/>
        <v>12.231901652819801</v>
      </c>
      <c r="AY46" s="688">
        <v>5.1725328882019399</v>
      </c>
      <c r="AZ46" s="688">
        <v>4.1998426941363496</v>
      </c>
      <c r="BA46" s="688">
        <v>4.9072512661100998</v>
      </c>
      <c r="BB46" s="688">
        <v>5.11248886371017</v>
      </c>
      <c r="BC46" s="756">
        <v>4.1756043541247401</v>
      </c>
      <c r="BD46" s="755">
        <f t="shared" si="31"/>
        <v>0</v>
      </c>
      <c r="BE46" s="688">
        <v>5.7395595802065698</v>
      </c>
      <c r="BF46" s="688">
        <v>4.13814087690871</v>
      </c>
      <c r="BG46" s="688">
        <v>5.1077271800270996</v>
      </c>
      <c r="BH46" s="688">
        <v>5.1134671020105698</v>
      </c>
      <c r="BI46" s="756">
        <v>3.8065533789962802</v>
      </c>
      <c r="BJ46" s="9"/>
      <c r="BK46" s="280" t="str">
        <f t="shared" si="23"/>
        <v>2Q14</v>
      </c>
      <c r="BL46" s="755">
        <f t="shared" si="24"/>
        <v>18.6084883501291</v>
      </c>
      <c r="BM46" s="688">
        <v>10.518527508712999</v>
      </c>
      <c r="BN46" s="688">
        <v>10.5037129820166</v>
      </c>
      <c r="BO46" s="688">
        <v>12.230878232496501</v>
      </c>
      <c r="BP46" s="688">
        <v>11.8037669920092</v>
      </c>
      <c r="BQ46" s="756">
        <v>13.3534736207215</v>
      </c>
      <c r="BR46" s="755">
        <f t="shared" si="25"/>
        <v>16.5496576063418</v>
      </c>
      <c r="BS46" s="688">
        <v>11.112114371708101</v>
      </c>
      <c r="BT46" s="688">
        <v>10.02484086322</v>
      </c>
      <c r="BU46" s="688">
        <v>10.586285316932001</v>
      </c>
      <c r="BV46" s="688">
        <v>10.5668420137303</v>
      </c>
      <c r="BW46" s="756">
        <v>12.8911689263466</v>
      </c>
      <c r="BX46" s="755">
        <f t="shared" si="26"/>
        <v>12.231901652819801</v>
      </c>
      <c r="BY46" s="688">
        <v>6.2721458318024998</v>
      </c>
      <c r="BZ46" s="688">
        <v>4.4281218063482299</v>
      </c>
      <c r="CA46" s="688">
        <v>6.4556485602435796</v>
      </c>
      <c r="CB46" s="688">
        <v>8.29363910369546</v>
      </c>
      <c r="CC46" s="756">
        <v>7.7537626450537704</v>
      </c>
      <c r="CD46" s="755">
        <f t="shared" si="32"/>
        <v>0</v>
      </c>
      <c r="CE46" s="688">
        <v>6.1966563888391502</v>
      </c>
      <c r="CF46" s="688">
        <v>5.6364424865086598</v>
      </c>
      <c r="CG46" s="688">
        <v>5.04933041465077</v>
      </c>
      <c r="CH46" s="688">
        <v>6.5951797733904902</v>
      </c>
      <c r="CI46" s="756">
        <v>7.2000449757373097</v>
      </c>
    </row>
    <row r="47" spans="1:87" ht="14.25" customHeight="1" x14ac:dyDescent="0.25">
      <c r="A47" s="9"/>
      <c r="B47" s="9"/>
      <c r="C47" s="9" t="s">
        <v>777</v>
      </c>
      <c r="D47" s="9"/>
      <c r="E47" s="651">
        <f>AVERAGE(M48:Q63)</f>
        <v>23.269423037838422</v>
      </c>
      <c r="F47" s="651">
        <f>AVERAGE(S48:W63)</f>
        <v>18.014424027032092</v>
      </c>
      <c r="G47" s="651">
        <f>AVERAGE(Y48:AC63)</f>
        <v>17.442959449341412</v>
      </c>
      <c r="H47" s="651">
        <f>AVERAGE(AE48:AI63)</f>
        <v>20.1294505703979</v>
      </c>
      <c r="I47" s="64">
        <f>IF(I46=4,1,I46+1)</f>
        <v>3</v>
      </c>
      <c r="J47" s="3">
        <f t="shared" si="27"/>
        <v>2014</v>
      </c>
      <c r="K47" s="280" t="str">
        <f t="shared" si="18"/>
        <v>3Q14</v>
      </c>
      <c r="L47" s="755">
        <v>17.474347900812599</v>
      </c>
      <c r="M47" s="688">
        <v>39.7877786235372</v>
      </c>
      <c r="N47" s="688">
        <v>28.3486573447701</v>
      </c>
      <c r="O47" s="688">
        <v>10.9950788871989</v>
      </c>
      <c r="P47" s="688">
        <v>10.3685428324608</v>
      </c>
      <c r="Q47" s="756"/>
      <c r="R47" s="755">
        <v>14.8405513238342</v>
      </c>
      <c r="S47" s="688">
        <v>20.574532047646102</v>
      </c>
      <c r="T47" s="688">
        <v>21.501636311846699</v>
      </c>
      <c r="U47" s="688">
        <v>10.668117494246101</v>
      </c>
      <c r="V47" s="688">
        <v>10.162412158026299</v>
      </c>
      <c r="W47" s="756"/>
      <c r="X47" s="755">
        <v>11.9258376749892</v>
      </c>
      <c r="Y47" s="688">
        <v>18.5967506044536</v>
      </c>
      <c r="Z47" s="688">
        <v>16.019638836328401</v>
      </c>
      <c r="AA47" s="688">
        <v>7.81899718482242</v>
      </c>
      <c r="AB47" s="688"/>
      <c r="AC47" s="756"/>
      <c r="AD47" s="688"/>
      <c r="AE47" s="688">
        <v>17.194541452213802</v>
      </c>
      <c r="AF47" s="688">
        <v>16.3825598808947</v>
      </c>
      <c r="AG47" s="688"/>
      <c r="AH47" s="688"/>
      <c r="AI47" s="756"/>
      <c r="AJ47" s="9"/>
      <c r="AK47" s="280" t="str">
        <f t="shared" si="19"/>
        <v>3Q14</v>
      </c>
      <c r="AL47" s="755">
        <f t="shared" si="20"/>
        <v>17.474347900812599</v>
      </c>
      <c r="AM47" s="688">
        <v>10.2927177685897</v>
      </c>
      <c r="AN47" s="688">
        <v>7.8669368437521099</v>
      </c>
      <c r="AO47" s="688">
        <v>9.1934574811142706</v>
      </c>
      <c r="AP47" s="688">
        <v>9.1696224120428695</v>
      </c>
      <c r="AQ47" s="756">
        <v>7.6852161349104504</v>
      </c>
      <c r="AR47" s="755">
        <f t="shared" si="21"/>
        <v>14.8405513238342</v>
      </c>
      <c r="AS47" s="688">
        <v>10.6363397317907</v>
      </c>
      <c r="AT47" s="688">
        <v>8.3399885909868807</v>
      </c>
      <c r="AU47" s="688">
        <v>9.5783013264700099</v>
      </c>
      <c r="AV47" s="688">
        <v>9.1726519337016601</v>
      </c>
      <c r="AW47" s="756">
        <v>7.0920398009950301</v>
      </c>
      <c r="AX47" s="755">
        <f t="shared" si="22"/>
        <v>11.9258376749892</v>
      </c>
      <c r="AY47" s="688">
        <v>5.0727873397035799</v>
      </c>
      <c r="AZ47" s="688">
        <v>4.2475628329771302</v>
      </c>
      <c r="BA47" s="688">
        <v>5.3476842685669199</v>
      </c>
      <c r="BB47" s="688">
        <v>5.6429267951685604</v>
      </c>
      <c r="BC47" s="756">
        <v>4.6642162199263097</v>
      </c>
      <c r="BD47" s="755">
        <f t="shared" si="31"/>
        <v>0</v>
      </c>
      <c r="BE47" s="688">
        <v>6.0754015039439304</v>
      </c>
      <c r="BF47" s="688">
        <v>4.6526810266066603</v>
      </c>
      <c r="BG47" s="688">
        <v>5.4675375684290399</v>
      </c>
      <c r="BH47" s="688">
        <v>5.3194890952561096</v>
      </c>
      <c r="BI47" s="756">
        <v>4.1959826963148199</v>
      </c>
      <c r="BJ47" s="9"/>
      <c r="BK47" s="280" t="str">
        <f t="shared" si="23"/>
        <v>3Q14</v>
      </c>
      <c r="BL47" s="755">
        <f t="shared" si="24"/>
        <v>17.474347900812599</v>
      </c>
      <c r="BM47" s="688">
        <v>11.136940235073</v>
      </c>
      <c r="BN47" s="688">
        <v>11.6666666666667</v>
      </c>
      <c r="BO47" s="688">
        <v>17.1928194605477</v>
      </c>
      <c r="BP47" s="688">
        <v>19.4974550891937</v>
      </c>
      <c r="BQ47" s="756">
        <v>13.712994474089101</v>
      </c>
      <c r="BR47" s="755">
        <f t="shared" si="25"/>
        <v>14.8405513238342</v>
      </c>
      <c r="BS47" s="688">
        <v>13.3372589430296</v>
      </c>
      <c r="BT47" s="688">
        <v>9.89889941131303</v>
      </c>
      <c r="BU47" s="688">
        <v>12.5756118144631</v>
      </c>
      <c r="BV47" s="688">
        <v>12.835855233946299</v>
      </c>
      <c r="BW47" s="756">
        <v>13.330293634871399</v>
      </c>
      <c r="BX47" s="755">
        <f t="shared" si="26"/>
        <v>11.9258376749892</v>
      </c>
      <c r="BY47" s="688">
        <v>6.8532861845158397</v>
      </c>
      <c r="BZ47" s="688">
        <v>4.8116381420894303</v>
      </c>
      <c r="CA47" s="688">
        <v>7.4767744896099497</v>
      </c>
      <c r="CB47" s="688">
        <v>13.0253702514268</v>
      </c>
      <c r="CC47" s="756">
        <v>7.8806177904984098</v>
      </c>
      <c r="CD47" s="755">
        <f t="shared" si="32"/>
        <v>0</v>
      </c>
      <c r="CE47" s="688">
        <v>5.8599294656551697</v>
      </c>
      <c r="CF47" s="688">
        <v>5.4586822092923004</v>
      </c>
      <c r="CG47" s="688">
        <v>6.4343046300791302</v>
      </c>
      <c r="CH47" s="688">
        <v>7.2176928467072701</v>
      </c>
      <c r="CI47" s="756">
        <v>6.8736532340427301</v>
      </c>
    </row>
    <row r="48" spans="1:87" ht="14.25" customHeight="1" x14ac:dyDescent="0.25">
      <c r="A48" s="9"/>
      <c r="B48" s="9"/>
      <c r="C48" s="9" t="s">
        <v>778</v>
      </c>
      <c r="D48" s="9"/>
      <c r="E48" s="651">
        <f>AVERAGE(M60:Q75)</f>
        <v>28.989589194385871</v>
      </c>
      <c r="F48" s="651">
        <f>AVERAGE(S60:W75)</f>
        <v>21.269616210916503</v>
      </c>
      <c r="G48" s="651">
        <f>AVERAGE(Y60:AC75)</f>
        <v>21.899087201234451</v>
      </c>
      <c r="H48" s="651">
        <f>AVERAGE(AE60:AI75)</f>
        <v>20.523588019141002</v>
      </c>
      <c r="I48" s="64">
        <f>I44</f>
        <v>4</v>
      </c>
      <c r="J48" s="3">
        <f t="shared" si="27"/>
        <v>2014</v>
      </c>
      <c r="K48" s="280" t="str">
        <f t="shared" si="18"/>
        <v>4Q14</v>
      </c>
      <c r="L48" s="755">
        <v>18.032304260635801</v>
      </c>
      <c r="M48" s="688">
        <v>41.3396962620211</v>
      </c>
      <c r="N48" s="688">
        <v>33.042753203806697</v>
      </c>
      <c r="O48" s="688">
        <v>11.147669826411001</v>
      </c>
      <c r="P48" s="688">
        <v>10.662524786366101</v>
      </c>
      <c r="Q48" s="756"/>
      <c r="R48" s="755">
        <v>15.4141815772035</v>
      </c>
      <c r="S48" s="688">
        <v>24.232629395113399</v>
      </c>
      <c r="T48" s="688">
        <v>23.8370221327968</v>
      </c>
      <c r="U48" s="688">
        <v>10.7323141755581</v>
      </c>
      <c r="V48" s="688">
        <v>10.4811580332576</v>
      </c>
      <c r="W48" s="756"/>
      <c r="X48" s="755">
        <v>11.9900127711044</v>
      </c>
      <c r="Y48" s="688">
        <v>20.2655224573822</v>
      </c>
      <c r="Z48" s="688">
        <v>18.857414701735699</v>
      </c>
      <c r="AA48" s="688">
        <v>8.2289523470338199</v>
      </c>
      <c r="AB48" s="688"/>
      <c r="AC48" s="756"/>
      <c r="AD48" s="688"/>
      <c r="AE48" s="688">
        <v>16.300761181742001</v>
      </c>
      <c r="AF48" s="688">
        <v>14.7004438450872</v>
      </c>
      <c r="AG48" s="688"/>
      <c r="AH48" s="688"/>
      <c r="AI48" s="756"/>
      <c r="AJ48" s="9"/>
      <c r="AK48" s="280" t="str">
        <f t="shared" si="19"/>
        <v>4Q14</v>
      </c>
      <c r="AL48" s="755">
        <f t="shared" si="20"/>
        <v>18.032304260635801</v>
      </c>
      <c r="AM48" s="688">
        <v>10.800576832053601</v>
      </c>
      <c r="AN48" s="688">
        <v>7.9081852954622596</v>
      </c>
      <c r="AO48" s="688">
        <v>9.5463149108266006</v>
      </c>
      <c r="AP48" s="688">
        <v>10.230896470800801</v>
      </c>
      <c r="AQ48" s="756">
        <v>8.0841680773751108</v>
      </c>
      <c r="AR48" s="755">
        <f t="shared" si="21"/>
        <v>15.4141815772035</v>
      </c>
      <c r="AS48" s="688">
        <v>11.412242824485601</v>
      </c>
      <c r="AT48" s="688">
        <v>9.2925604746691004</v>
      </c>
      <c r="AU48" s="688">
        <v>10.414364640883999</v>
      </c>
      <c r="AV48" s="688">
        <v>10.002726281352199</v>
      </c>
      <c r="AW48" s="756">
        <v>7.4049382716049399</v>
      </c>
      <c r="AX48" s="755">
        <f t="shared" si="22"/>
        <v>11.9900127711044</v>
      </c>
      <c r="AY48" s="688">
        <v>5.4596028791895099</v>
      </c>
      <c r="AZ48" s="688">
        <v>4.3853182636826604</v>
      </c>
      <c r="BA48" s="688">
        <v>5.6389101658389302</v>
      </c>
      <c r="BB48" s="688">
        <v>6.3445682479438403</v>
      </c>
      <c r="BC48" s="756">
        <v>4.8978949619362604</v>
      </c>
      <c r="BD48" s="755">
        <f t="shared" si="31"/>
        <v>0</v>
      </c>
      <c r="BE48" s="688">
        <v>6.7238118912100804</v>
      </c>
      <c r="BF48" s="688">
        <v>5.0324558356480802</v>
      </c>
      <c r="BG48" s="688">
        <v>6.0317740360888701</v>
      </c>
      <c r="BH48" s="688">
        <v>6.0858725996610499</v>
      </c>
      <c r="BI48" s="756">
        <v>4.4959076817347503</v>
      </c>
      <c r="BJ48" s="9"/>
      <c r="BK48" s="280" t="str">
        <f t="shared" si="23"/>
        <v>4Q14</v>
      </c>
      <c r="BL48" s="755">
        <f t="shared" si="24"/>
        <v>18.032304260635801</v>
      </c>
      <c r="BM48" s="688">
        <v>12.2734575189388</v>
      </c>
      <c r="BN48" s="688">
        <v>12.020802377414601</v>
      </c>
      <c r="BO48" s="688">
        <v>18.892142241050099</v>
      </c>
      <c r="BP48" s="688">
        <v>20.566111479131099</v>
      </c>
      <c r="BQ48" s="756">
        <v>15.502253191008201</v>
      </c>
      <c r="BR48" s="755">
        <f t="shared" si="25"/>
        <v>15.4141815772035</v>
      </c>
      <c r="BS48" s="688">
        <v>11.185550771815601</v>
      </c>
      <c r="BT48" s="688">
        <v>10.1049213090182</v>
      </c>
      <c r="BU48" s="688">
        <v>12.535617672514601</v>
      </c>
      <c r="BV48" s="688">
        <v>13.0753090608726</v>
      </c>
      <c r="BW48" s="756">
        <v>15.0280847979706</v>
      </c>
      <c r="BX48" s="755">
        <f t="shared" si="26"/>
        <v>11.9900127711044</v>
      </c>
      <c r="BY48" s="688">
        <v>7.5665220163616098</v>
      </c>
      <c r="BZ48" s="688">
        <v>5.6916000078695399</v>
      </c>
      <c r="CA48" s="688">
        <v>8.5718704479234198</v>
      </c>
      <c r="CB48" s="688">
        <v>13.8815772921564</v>
      </c>
      <c r="CC48" s="756">
        <v>8.7722503879114395</v>
      </c>
      <c r="CD48" s="755">
        <f t="shared" si="32"/>
        <v>0</v>
      </c>
      <c r="CE48" s="688">
        <v>6.5048980462069697</v>
      </c>
      <c r="CF48" s="688">
        <v>6.4048413447981503</v>
      </c>
      <c r="CG48" s="688">
        <v>6.9806056585949499</v>
      </c>
      <c r="CH48" s="688">
        <v>8.1589451904695505</v>
      </c>
      <c r="CI48" s="756">
        <v>8.0195826003854709</v>
      </c>
    </row>
    <row r="49" spans="1:87" ht="14.25" customHeight="1" x14ac:dyDescent="0.25">
      <c r="A49" s="9"/>
      <c r="B49" s="9"/>
      <c r="C49" s="9"/>
      <c r="D49" s="9"/>
      <c r="E49" s="9"/>
      <c r="F49" s="9"/>
      <c r="G49" s="9"/>
      <c r="H49" s="9"/>
      <c r="I49" s="64">
        <f>IF(I48=4,1,I48+1)</f>
        <v>1</v>
      </c>
      <c r="J49" s="3">
        <f t="shared" si="27"/>
        <v>2015</v>
      </c>
      <c r="K49" s="280" t="str">
        <f t="shared" si="18"/>
        <v>1Q15</v>
      </c>
      <c r="L49" s="755">
        <v>14.6704611054376</v>
      </c>
      <c r="M49" s="688">
        <v>41.251404004558403</v>
      </c>
      <c r="N49" s="688">
        <v>27.0953071705806</v>
      </c>
      <c r="O49" s="688">
        <v>10.299578974328099</v>
      </c>
      <c r="P49" s="688">
        <v>10.3280335529816</v>
      </c>
      <c r="Q49" s="756"/>
      <c r="R49" s="755">
        <v>14.030142701184801</v>
      </c>
      <c r="S49" s="688">
        <v>23.3655158266352</v>
      </c>
      <c r="T49" s="688">
        <v>23.652119137310599</v>
      </c>
      <c r="U49" s="688">
        <v>10.2655151282868</v>
      </c>
      <c r="V49" s="688">
        <v>10.1024596544757</v>
      </c>
      <c r="W49" s="756"/>
      <c r="X49" s="755">
        <v>10.4820981178365</v>
      </c>
      <c r="Y49" s="688">
        <v>17.575312555316799</v>
      </c>
      <c r="Z49" s="688">
        <v>17.503728996313399</v>
      </c>
      <c r="AA49" s="688">
        <v>8.45362195106269</v>
      </c>
      <c r="AB49" s="688"/>
      <c r="AC49" s="756"/>
      <c r="AD49" s="688"/>
      <c r="AE49" s="688">
        <v>18.570577278136302</v>
      </c>
      <c r="AF49" s="688">
        <v>16.211747856037501</v>
      </c>
      <c r="AG49" s="688"/>
      <c r="AH49" s="688"/>
      <c r="AI49" s="756"/>
      <c r="AJ49" s="9"/>
      <c r="AK49" s="280" t="str">
        <f t="shared" si="19"/>
        <v>1Q15</v>
      </c>
      <c r="AL49" s="755">
        <f t="shared" si="20"/>
        <v>14.6704611054376</v>
      </c>
      <c r="AM49" s="688">
        <v>10.1080216461171</v>
      </c>
      <c r="AN49" s="688">
        <v>8.1848758019837504</v>
      </c>
      <c r="AO49" s="688">
        <v>9.8608863994172999</v>
      </c>
      <c r="AP49" s="688">
        <v>9.1327083880243496</v>
      </c>
      <c r="AQ49" s="756">
        <v>8.1531872577492006</v>
      </c>
      <c r="AR49" s="755">
        <f t="shared" si="21"/>
        <v>14.030142701184801</v>
      </c>
      <c r="AS49" s="688">
        <v>11.043753963221301</v>
      </c>
      <c r="AT49" s="688">
        <v>9.2435878858136498</v>
      </c>
      <c r="AU49" s="688">
        <v>10.886879569065</v>
      </c>
      <c r="AV49" s="688">
        <v>9.19559459082671</v>
      </c>
      <c r="AW49" s="756">
        <v>7.1259259259259302</v>
      </c>
      <c r="AX49" s="755">
        <f t="shared" si="22"/>
        <v>10.4820981178365</v>
      </c>
      <c r="AY49" s="688">
        <v>5.0938422904182499</v>
      </c>
      <c r="AZ49" s="688">
        <v>4.5162177579657596</v>
      </c>
      <c r="BA49" s="688">
        <v>5.9616220191103997</v>
      </c>
      <c r="BB49" s="688">
        <v>5.7406774276128099</v>
      </c>
      <c r="BC49" s="756">
        <v>4.6919011230468799</v>
      </c>
      <c r="BD49" s="755">
        <f t="shared" si="31"/>
        <v>0</v>
      </c>
      <c r="BE49" s="688">
        <v>6.3667476843007504</v>
      </c>
      <c r="BF49" s="688">
        <v>4.9854819313623802</v>
      </c>
      <c r="BG49" s="688">
        <v>6.4298645083485404</v>
      </c>
      <c r="BH49" s="688">
        <v>5.6189714790247196</v>
      </c>
      <c r="BI49" s="756">
        <v>4.2346854791344999</v>
      </c>
      <c r="BJ49" s="9"/>
      <c r="BK49" s="280" t="str">
        <f t="shared" si="23"/>
        <v>1Q15</v>
      </c>
      <c r="BL49" s="755">
        <f t="shared" si="24"/>
        <v>14.6704611054376</v>
      </c>
      <c r="BM49" s="688">
        <v>9.0476464984031004</v>
      </c>
      <c r="BN49" s="688">
        <v>11.2008310249307</v>
      </c>
      <c r="BO49" s="688">
        <v>19.056518630840099</v>
      </c>
      <c r="BP49" s="688">
        <v>17.744420077930101</v>
      </c>
      <c r="BQ49" s="756">
        <v>13.557266662622</v>
      </c>
      <c r="BR49" s="755">
        <f t="shared" si="25"/>
        <v>14.030142701184801</v>
      </c>
      <c r="BS49" s="688">
        <v>8.7382937120510409</v>
      </c>
      <c r="BT49" s="688">
        <v>9.8012362137922704</v>
      </c>
      <c r="BU49" s="688">
        <v>12.932523677211099</v>
      </c>
      <c r="BV49" s="688">
        <v>11.7818741310035</v>
      </c>
      <c r="BW49" s="756">
        <v>13.737722808293899</v>
      </c>
      <c r="BX49" s="755">
        <f t="shared" si="26"/>
        <v>10.4820981178365</v>
      </c>
      <c r="BY49" s="688">
        <v>5.6087294252266497</v>
      </c>
      <c r="BZ49" s="688">
        <v>4.9802570793535903</v>
      </c>
      <c r="CA49" s="688">
        <v>9.2226650563073296</v>
      </c>
      <c r="CB49" s="688">
        <v>12.458154399644</v>
      </c>
      <c r="CC49" s="756">
        <v>9.2789607868954995</v>
      </c>
      <c r="CD49" s="755">
        <f t="shared" si="32"/>
        <v>0</v>
      </c>
      <c r="CE49" s="688">
        <v>5.2765147437542899</v>
      </c>
      <c r="CF49" s="688">
        <v>5.61804636350975</v>
      </c>
      <c r="CG49" s="688">
        <v>8.3266432742954208</v>
      </c>
      <c r="CH49" s="688">
        <v>7.4694688739111097</v>
      </c>
      <c r="CI49" s="756">
        <v>8.6931720305652007</v>
      </c>
    </row>
    <row r="50" spans="1:87" ht="14.25" customHeight="1" x14ac:dyDescent="0.25">
      <c r="A50" s="205" t="s">
        <v>0</v>
      </c>
      <c r="B50" s="9"/>
      <c r="C50" s="746" t="str">
        <f>Comparables!S85</f>
        <v>Defense Peer Group</v>
      </c>
      <c r="D50" s="76"/>
      <c r="E50" s="76"/>
      <c r="F50" s="76"/>
      <c r="G50" s="76"/>
      <c r="H50" s="78"/>
      <c r="I50" s="64">
        <f>IF(I49+1=5,1,I49+1)</f>
        <v>2</v>
      </c>
      <c r="J50" s="3">
        <f t="shared" si="27"/>
        <v>2015</v>
      </c>
      <c r="K50" s="280" t="str">
        <f t="shared" si="18"/>
        <v>2Q15</v>
      </c>
      <c r="L50" s="755">
        <v>14.232109741798499</v>
      </c>
      <c r="M50" s="688">
        <v>42.348750633023997</v>
      </c>
      <c r="N50" s="688">
        <v>29.319010467714701</v>
      </c>
      <c r="O50" s="688">
        <v>11.4697559342329</v>
      </c>
      <c r="P50" s="688">
        <v>10.9956624253744</v>
      </c>
      <c r="Q50" s="756"/>
      <c r="R50" s="755">
        <v>13.8558619494376</v>
      </c>
      <c r="S50" s="688">
        <v>23.474370351043301</v>
      </c>
      <c r="T50" s="688">
        <v>24.742238670200202</v>
      </c>
      <c r="U50" s="688">
        <v>11.1347110906484</v>
      </c>
      <c r="V50" s="688">
        <v>10.954534190852799</v>
      </c>
      <c r="W50" s="756"/>
      <c r="X50" s="755">
        <v>10.249625649038901</v>
      </c>
      <c r="Y50" s="688">
        <v>20.317566705522701</v>
      </c>
      <c r="Z50" s="688">
        <v>19.096073187804699</v>
      </c>
      <c r="AA50" s="688">
        <v>8.1040261295712792</v>
      </c>
      <c r="AB50" s="688"/>
      <c r="AC50" s="756"/>
      <c r="AD50" s="688"/>
      <c r="AE50" s="688">
        <v>16.7120381968762</v>
      </c>
      <c r="AF50" s="688">
        <v>15.604585615668199</v>
      </c>
      <c r="AG50" s="688"/>
      <c r="AH50" s="688"/>
      <c r="AI50" s="756"/>
      <c r="AJ50" s="9"/>
      <c r="AK50" s="280" t="str">
        <f t="shared" si="19"/>
        <v>2Q15</v>
      </c>
      <c r="AL50" s="755">
        <f t="shared" si="20"/>
        <v>14.232109741798499</v>
      </c>
      <c r="AM50" s="688">
        <v>10.604506858633499</v>
      </c>
      <c r="AN50" s="688">
        <v>8.5675855852532798</v>
      </c>
      <c r="AO50" s="688">
        <v>9.8064192930491192</v>
      </c>
      <c r="AP50" s="688">
        <v>9.3462699731994405</v>
      </c>
      <c r="AQ50" s="756">
        <v>9.1843422643598895</v>
      </c>
      <c r="AR50" s="755">
        <f t="shared" si="21"/>
        <v>13.8558619494376</v>
      </c>
      <c r="AS50" s="688">
        <v>11.5326664196616</v>
      </c>
      <c r="AT50" s="688">
        <v>9.2046556741028098</v>
      </c>
      <c r="AU50" s="688">
        <v>10.7262150497279</v>
      </c>
      <c r="AV50" s="688">
        <v>9.3113645965357001</v>
      </c>
      <c r="AW50" s="756">
        <v>8.0271604938271608</v>
      </c>
      <c r="AX50" s="755">
        <f t="shared" si="22"/>
        <v>10.249625649038901</v>
      </c>
      <c r="AY50" s="688">
        <v>5.2099114328871901</v>
      </c>
      <c r="AZ50" s="688">
        <v>4.6320341329997197</v>
      </c>
      <c r="BA50" s="688">
        <v>5.6791544496353099</v>
      </c>
      <c r="BB50" s="688">
        <v>5.6690001212186596</v>
      </c>
      <c r="BC50" s="756">
        <v>5.2383286313449604</v>
      </c>
      <c r="BD50" s="755">
        <f t="shared" si="31"/>
        <v>0</v>
      </c>
      <c r="BE50" s="688">
        <v>6.4001431778441704</v>
      </c>
      <c r="BF50" s="688">
        <v>4.8363259735022304</v>
      </c>
      <c r="BG50" s="688">
        <v>6.1715329463913404</v>
      </c>
      <c r="BH50" s="688">
        <v>5.4748344797844402</v>
      </c>
      <c r="BI50" s="756">
        <v>4.73882668145305</v>
      </c>
      <c r="BJ50" s="9"/>
      <c r="BK50" s="280" t="str">
        <f t="shared" si="23"/>
        <v>2Q15</v>
      </c>
      <c r="BL50" s="755">
        <f t="shared" si="24"/>
        <v>14.232109741798499</v>
      </c>
      <c r="BM50" s="688">
        <v>8.7278773820466</v>
      </c>
      <c r="BN50" s="688">
        <v>10.981358189081201</v>
      </c>
      <c r="BO50" s="688">
        <v>18.6636395296049</v>
      </c>
      <c r="BP50" s="688">
        <v>17.144196181385301</v>
      </c>
      <c r="BQ50" s="756">
        <v>14.213143045327</v>
      </c>
      <c r="BR50" s="755">
        <f t="shared" si="25"/>
        <v>13.8558619494376</v>
      </c>
      <c r="BS50" s="688">
        <v>9.0682967959527794</v>
      </c>
      <c r="BT50" s="688">
        <v>10.6098031648012</v>
      </c>
      <c r="BU50" s="688">
        <v>14.1845479493177</v>
      </c>
      <c r="BV50" s="688">
        <v>12.6292508009654</v>
      </c>
      <c r="BW50" s="756">
        <v>14.7355543007717</v>
      </c>
      <c r="BX50" s="755">
        <f t="shared" si="26"/>
        <v>10.249625649038901</v>
      </c>
      <c r="BY50" s="688">
        <v>5.2022216107864798</v>
      </c>
      <c r="BZ50" s="688">
        <v>4.8894015398405699</v>
      </c>
      <c r="CA50" s="688">
        <v>10.3988669282679</v>
      </c>
      <c r="CB50" s="688">
        <v>12.060953090903</v>
      </c>
      <c r="CC50" s="756">
        <v>10.432918866032299</v>
      </c>
      <c r="CD50" s="755">
        <f t="shared" si="32"/>
        <v>0</v>
      </c>
      <c r="CE50" s="688">
        <v>5.4005266591104304</v>
      </c>
      <c r="CF50" s="688">
        <v>6.0121299580673702</v>
      </c>
      <c r="CG50" s="688">
        <v>9.2814803373105494</v>
      </c>
      <c r="CH50" s="688">
        <v>7.9211118503344</v>
      </c>
      <c r="CI50" s="756">
        <v>10.098826534220001</v>
      </c>
    </row>
    <row r="51" spans="1:87" ht="14.25" customHeight="1" x14ac:dyDescent="0.25">
      <c r="A51" s="9"/>
      <c r="B51" s="9"/>
      <c r="C51" s="754" t="s">
        <v>765</v>
      </c>
      <c r="D51" s="754"/>
      <c r="E51" s="754"/>
      <c r="F51" s="754"/>
      <c r="G51" s="754"/>
      <c r="H51" s="754"/>
      <c r="I51" s="64">
        <f>IF(I50=4,1,I50+1)</f>
        <v>3</v>
      </c>
      <c r="J51" s="3">
        <f t="shared" si="27"/>
        <v>2015</v>
      </c>
      <c r="K51" s="280" t="str">
        <f t="shared" si="18"/>
        <v>3Q15</v>
      </c>
      <c r="L51" s="755">
        <v>13.599611513053601</v>
      </c>
      <c r="M51" s="688">
        <v>43.931704677534597</v>
      </c>
      <c r="N51" s="688">
        <v>28.265182106872601</v>
      </c>
      <c r="O51" s="688">
        <v>9.9880396943318299</v>
      </c>
      <c r="P51" s="688">
        <v>10.92549340331</v>
      </c>
      <c r="Q51" s="756"/>
      <c r="R51" s="755">
        <v>13.198292448299</v>
      </c>
      <c r="S51" s="688">
        <v>23.327489411996499</v>
      </c>
      <c r="T51" s="688">
        <v>23.577807642540801</v>
      </c>
      <c r="U51" s="688">
        <v>9.4722829454082706</v>
      </c>
      <c r="V51" s="688">
        <v>9.6350155426585697</v>
      </c>
      <c r="W51" s="756"/>
      <c r="X51" s="755">
        <v>9.7932865670063407</v>
      </c>
      <c r="Y51" s="688">
        <v>20.800001009604699</v>
      </c>
      <c r="Z51" s="688">
        <v>17.919286414730401</v>
      </c>
      <c r="AA51" s="688">
        <v>8.2921190904883098</v>
      </c>
      <c r="AB51" s="688"/>
      <c r="AC51" s="756"/>
      <c r="AD51" s="688"/>
      <c r="AE51" s="688">
        <v>17.836988813416198</v>
      </c>
      <c r="AF51" s="688">
        <v>16.657286583176401</v>
      </c>
      <c r="AG51" s="688"/>
      <c r="AH51" s="688"/>
      <c r="AI51" s="756"/>
      <c r="AJ51" s="9"/>
      <c r="AK51" s="280" t="str">
        <f t="shared" si="19"/>
        <v>3Q15</v>
      </c>
      <c r="AL51" s="755">
        <f t="shared" si="20"/>
        <v>13.599611513053601</v>
      </c>
      <c r="AM51" s="688">
        <v>10.939313538814</v>
      </c>
      <c r="AN51" s="688">
        <v>8.6596550540837605</v>
      </c>
      <c r="AO51" s="688">
        <v>10.0778388743355</v>
      </c>
      <c r="AP51" s="688">
        <v>10.943077827921501</v>
      </c>
      <c r="AQ51" s="756">
        <v>11.533681842924199</v>
      </c>
      <c r="AR51" s="755">
        <f t="shared" si="21"/>
        <v>13.198292448299</v>
      </c>
      <c r="AS51" s="688">
        <v>10.9842894548917</v>
      </c>
      <c r="AT51" s="688">
        <v>9.1373715521903698</v>
      </c>
      <c r="AU51" s="688">
        <v>10.4030363274896</v>
      </c>
      <c r="AV51" s="688">
        <v>9.9056199056199006</v>
      </c>
      <c r="AW51" s="756">
        <v>8.4861460957178796</v>
      </c>
      <c r="AX51" s="755">
        <f t="shared" si="22"/>
        <v>9.7932865670063407</v>
      </c>
      <c r="AY51" s="688">
        <v>6.3212617783667797</v>
      </c>
      <c r="AZ51" s="688">
        <v>4.5769500874110598</v>
      </c>
      <c r="BA51" s="688">
        <v>5.7602046379062797</v>
      </c>
      <c r="BB51" s="688">
        <v>17.2533686233174</v>
      </c>
      <c r="BC51" s="756">
        <v>4.8420267576111904</v>
      </c>
      <c r="BD51" s="755">
        <f t="shared" si="31"/>
        <v>0</v>
      </c>
      <c r="BE51" s="688">
        <v>6.78215566248927</v>
      </c>
      <c r="BF51" s="688">
        <v>5.09924907976123</v>
      </c>
      <c r="BG51" s="688">
        <v>6.1027920648129204</v>
      </c>
      <c r="BH51" s="688">
        <v>5.6231538759320303</v>
      </c>
      <c r="BI51" s="756">
        <v>4.4171100759988402</v>
      </c>
      <c r="BJ51" s="9"/>
      <c r="BK51" s="280" t="str">
        <f t="shared" si="23"/>
        <v>3Q15</v>
      </c>
      <c r="BL51" s="755">
        <f t="shared" si="24"/>
        <v>13.599611513053601</v>
      </c>
      <c r="BM51" s="688">
        <v>10.410691881697</v>
      </c>
      <c r="BN51" s="688">
        <v>11.1961858862244</v>
      </c>
      <c r="BO51" s="688">
        <v>14.1480637413155</v>
      </c>
      <c r="BP51" s="688">
        <v>14.881808397399199</v>
      </c>
      <c r="BQ51" s="756">
        <v>15.085911145988399</v>
      </c>
      <c r="BR51" s="755">
        <f t="shared" si="25"/>
        <v>13.198292448299</v>
      </c>
      <c r="BS51" s="688">
        <v>9.8405996046562692</v>
      </c>
      <c r="BT51" s="688">
        <v>10.3459834789896</v>
      </c>
      <c r="BU51" s="688">
        <v>13.4242627318696</v>
      </c>
      <c r="BV51" s="688">
        <v>13.4783838217687</v>
      </c>
      <c r="BW51" s="756">
        <v>15.403831705484601</v>
      </c>
      <c r="BX51" s="755">
        <f t="shared" si="26"/>
        <v>9.7932865670063407</v>
      </c>
      <c r="BY51" s="688">
        <v>5.7814877370529096</v>
      </c>
      <c r="BZ51" s="688">
        <v>4.7203507561979903</v>
      </c>
      <c r="CA51" s="688">
        <v>9.1583822684634502</v>
      </c>
      <c r="CB51" s="688">
        <v>9.0303024554116096</v>
      </c>
      <c r="CC51" s="756">
        <v>10.3128599049214</v>
      </c>
      <c r="CD51" s="755">
        <f t="shared" si="32"/>
        <v>0</v>
      </c>
      <c r="CE51" s="688">
        <v>5.9061216351418304</v>
      </c>
      <c r="CF51" s="688">
        <v>5.2990035348640001</v>
      </c>
      <c r="CG51" s="688">
        <v>7.8207329634217704</v>
      </c>
      <c r="CH51" s="688">
        <v>7.5038676076876598</v>
      </c>
      <c r="CI51" s="756">
        <v>8.6161712792805591</v>
      </c>
    </row>
    <row r="52" spans="1:87" ht="14.25" customHeight="1" x14ac:dyDescent="0.25">
      <c r="A52" s="9"/>
      <c r="B52" s="9"/>
      <c r="C52" s="64"/>
      <c r="D52" s="9"/>
      <c r="E52" s="64" t="s">
        <v>761</v>
      </c>
      <c r="F52" s="64" t="s">
        <v>762</v>
      </c>
      <c r="G52" s="64" t="s">
        <v>763</v>
      </c>
      <c r="H52" s="64" t="s">
        <v>764</v>
      </c>
      <c r="I52" s="64">
        <f>I48</f>
        <v>4</v>
      </c>
      <c r="J52" s="3">
        <f t="shared" si="27"/>
        <v>2015</v>
      </c>
      <c r="K52" s="280" t="str">
        <f t="shared" si="18"/>
        <v>4Q15</v>
      </c>
      <c r="L52" s="755">
        <v>13.1452339501986</v>
      </c>
      <c r="M52" s="688">
        <v>28.210925321988299</v>
      </c>
      <c r="N52" s="688">
        <v>30.535931312972899</v>
      </c>
      <c r="O52" s="688">
        <v>9.8842618395463102</v>
      </c>
      <c r="P52" s="688">
        <v>11.0202924925488</v>
      </c>
      <c r="Q52" s="756"/>
      <c r="R52" s="755">
        <v>12.790069536233499</v>
      </c>
      <c r="S52" s="688">
        <v>26.119346722271999</v>
      </c>
      <c r="T52" s="688">
        <v>25.073038128621501</v>
      </c>
      <c r="U52" s="688">
        <v>9.2521516205823104</v>
      </c>
      <c r="V52" s="688">
        <v>10.609153104592099</v>
      </c>
      <c r="W52" s="756"/>
      <c r="X52" s="755">
        <v>9.1549688005591001</v>
      </c>
      <c r="Y52" s="688">
        <v>18.6410637459573</v>
      </c>
      <c r="Z52" s="688">
        <v>19.2621636416307</v>
      </c>
      <c r="AA52" s="688">
        <v>7.9563460225994502</v>
      </c>
      <c r="AB52" s="688"/>
      <c r="AC52" s="756"/>
      <c r="AD52" s="688"/>
      <c r="AE52" s="688">
        <v>18.3719190755508</v>
      </c>
      <c r="AF52" s="688">
        <v>17.3340642853126</v>
      </c>
      <c r="AG52" s="688"/>
      <c r="AH52" s="688"/>
      <c r="AI52" s="756"/>
      <c r="AJ52" s="9"/>
      <c r="AK52" s="280" t="str">
        <f t="shared" si="19"/>
        <v>4Q15</v>
      </c>
      <c r="AL52" s="755">
        <f t="shared" si="20"/>
        <v>13.1452339501986</v>
      </c>
      <c r="AM52" s="688">
        <v>10.9747005408781</v>
      </c>
      <c r="AN52" s="688">
        <v>8.9090610294175505</v>
      </c>
      <c r="AO52" s="688">
        <v>9.9958445579010906</v>
      </c>
      <c r="AP52" s="688">
        <v>11.0516739030497</v>
      </c>
      <c r="AQ52" s="756">
        <v>13.498755567423601</v>
      </c>
      <c r="AR52" s="755">
        <f t="shared" si="21"/>
        <v>12.790069536233499</v>
      </c>
      <c r="AS52" s="688">
        <v>10.7964205816555</v>
      </c>
      <c r="AT52" s="688">
        <v>9.9545906059315996</v>
      </c>
      <c r="AU52" s="688">
        <v>11.0217472815898</v>
      </c>
      <c r="AV52" s="688">
        <v>10.410453270338101</v>
      </c>
      <c r="AW52" s="756">
        <v>9.4330143540669908</v>
      </c>
      <c r="AX52" s="755">
        <f t="shared" si="22"/>
        <v>9.1549688005591001</v>
      </c>
      <c r="AY52" s="688">
        <v>6.2522265132100596</v>
      </c>
      <c r="AZ52" s="688">
        <v>4.8395278735310798</v>
      </c>
      <c r="BA52" s="688">
        <v>5.8358753185715804</v>
      </c>
      <c r="BB52" s="688">
        <v>17.595878849189798</v>
      </c>
      <c r="BC52" s="756">
        <v>5.6852747232923804</v>
      </c>
      <c r="BD52" s="755">
        <f t="shared" si="31"/>
        <v>0</v>
      </c>
      <c r="BE52" s="688">
        <v>6.4006594115313096</v>
      </c>
      <c r="BF52" s="688">
        <v>5.3891891710549098</v>
      </c>
      <c r="BG52" s="688">
        <v>6.3709681153098501</v>
      </c>
      <c r="BH52" s="688">
        <v>6.0659536779070899</v>
      </c>
      <c r="BI52" s="756">
        <v>5.2266664649215997</v>
      </c>
      <c r="BJ52" s="9"/>
      <c r="BK52" s="280" t="str">
        <f t="shared" si="23"/>
        <v>4Q15</v>
      </c>
      <c r="BL52" s="755">
        <f t="shared" si="24"/>
        <v>13.1452339501986</v>
      </c>
      <c r="BM52" s="688">
        <v>11.397949234108101</v>
      </c>
      <c r="BN52" s="688">
        <v>10.6559916715208</v>
      </c>
      <c r="BO52" s="688">
        <v>16.3110862969049</v>
      </c>
      <c r="BP52" s="688">
        <v>16.9422737201693</v>
      </c>
      <c r="BQ52" s="756">
        <v>16.594655252830901</v>
      </c>
      <c r="BR52" s="755">
        <f t="shared" si="25"/>
        <v>12.790069536233499</v>
      </c>
      <c r="BS52" s="688">
        <v>10.861745972274299</v>
      </c>
      <c r="BT52" s="688">
        <v>10.012810061721201</v>
      </c>
      <c r="BU52" s="688">
        <v>13.252315067382201</v>
      </c>
      <c r="BV52" s="688">
        <v>14.4974502069346</v>
      </c>
      <c r="BW52" s="756">
        <v>15.2838213643056</v>
      </c>
      <c r="BX52" s="755">
        <f t="shared" si="26"/>
        <v>9.1549688005591001</v>
      </c>
      <c r="BY52" s="688">
        <v>6.1782432602623603</v>
      </c>
      <c r="BZ52" s="688">
        <v>5.3687123589161496</v>
      </c>
      <c r="CA52" s="688">
        <v>9.7439555047569293</v>
      </c>
      <c r="CB52" s="688">
        <v>10.559128703337301</v>
      </c>
      <c r="CC52" s="756">
        <v>10.940341244788</v>
      </c>
      <c r="CD52" s="755">
        <f t="shared" si="32"/>
        <v>0</v>
      </c>
      <c r="CE52" s="688">
        <v>6.05796027145949</v>
      </c>
      <c r="CF52" s="688">
        <v>6.0386841822049799</v>
      </c>
      <c r="CG52" s="688">
        <v>7.7790305096280203</v>
      </c>
      <c r="CH52" s="688">
        <v>9.0216648635803995</v>
      </c>
      <c r="CI52" s="756">
        <v>9.7673827715197099</v>
      </c>
    </row>
    <row r="53" spans="1:87" ht="14.25" customHeight="1" x14ac:dyDescent="0.25">
      <c r="A53" s="9"/>
      <c r="B53" s="9"/>
      <c r="C53" s="9" t="s">
        <v>735</v>
      </c>
      <c r="D53" s="9"/>
      <c r="E53" s="651">
        <f>AVERAGE(AM81:AQ86)</f>
        <v>16.2811317957635</v>
      </c>
      <c r="F53" s="651">
        <f>AVERAGE(AS81:AW86)</f>
        <v>16.207046180263625</v>
      </c>
      <c r="G53" s="651">
        <f>AVERAGE(AY81:BC86)</f>
        <v>12.026952580590283</v>
      </c>
      <c r="H53" s="651">
        <f>AVERAGE(BE81:BI86)</f>
        <v>12.189450395723325</v>
      </c>
      <c r="I53" s="64">
        <f>IF(I52=4,1,I52+1)</f>
        <v>1</v>
      </c>
      <c r="J53" s="3">
        <f t="shared" si="27"/>
        <v>2016</v>
      </c>
      <c r="K53" s="280" t="str">
        <f t="shared" si="18"/>
        <v>1Q16</v>
      </c>
      <c r="L53" s="755">
        <v>11.374675895839101</v>
      </c>
      <c r="M53" s="688">
        <v>27.8216836702214</v>
      </c>
      <c r="N53" s="688">
        <v>26.674766010081701</v>
      </c>
      <c r="O53" s="688">
        <v>9.6241940379707902</v>
      </c>
      <c r="P53" s="688">
        <v>10.706984616981201</v>
      </c>
      <c r="Q53" s="756"/>
      <c r="R53" s="755">
        <v>11.3943246096989</v>
      </c>
      <c r="S53" s="688">
        <v>25.4210803995596</v>
      </c>
      <c r="T53" s="688">
        <v>25.756473711676701</v>
      </c>
      <c r="U53" s="688">
        <v>8.8396348725396496</v>
      </c>
      <c r="V53" s="688">
        <v>10.1353205570224</v>
      </c>
      <c r="W53" s="756"/>
      <c r="X53" s="755">
        <v>8.0698001845307097</v>
      </c>
      <c r="Y53" s="688">
        <v>20.0961806799539</v>
      </c>
      <c r="Z53" s="688">
        <v>18.653160902439499</v>
      </c>
      <c r="AA53" s="688">
        <v>9.2433346466463995</v>
      </c>
      <c r="AB53" s="688"/>
      <c r="AC53" s="756"/>
      <c r="AD53" s="688"/>
      <c r="AE53" s="688">
        <v>19.276137734102299</v>
      </c>
      <c r="AF53" s="688">
        <v>18.7686946170978</v>
      </c>
      <c r="AG53" s="688"/>
      <c r="AH53" s="688"/>
      <c r="AI53" s="756"/>
      <c r="AJ53" s="9"/>
      <c r="AK53" s="280" t="str">
        <f t="shared" si="19"/>
        <v>1Q16</v>
      </c>
      <c r="AL53" s="755">
        <f t="shared" si="20"/>
        <v>11.374675895839101</v>
      </c>
      <c r="AM53" s="688">
        <v>11.9782130374776</v>
      </c>
      <c r="AN53" s="688">
        <v>10.1920161063397</v>
      </c>
      <c r="AO53" s="688">
        <v>11.0652994919033</v>
      </c>
      <c r="AP53" s="688">
        <v>12.1382016308239</v>
      </c>
      <c r="AQ53" s="756">
        <v>13.1569455274973</v>
      </c>
      <c r="AR53" s="755">
        <f t="shared" si="21"/>
        <v>11.3943246096989</v>
      </c>
      <c r="AS53" s="688">
        <v>12.041745309204</v>
      </c>
      <c r="AT53" s="688">
        <v>11.5031953320367</v>
      </c>
      <c r="AU53" s="688">
        <v>12.081125525306</v>
      </c>
      <c r="AV53" s="688">
        <v>11.602725522144899</v>
      </c>
      <c r="AW53" s="756">
        <v>9.0543735224586293</v>
      </c>
      <c r="AX53" s="755">
        <f t="shared" si="22"/>
        <v>8.0698001845307097</v>
      </c>
      <c r="AY53" s="688">
        <v>6.7806384916956501</v>
      </c>
      <c r="AZ53" s="688">
        <v>5.6668475002618903</v>
      </c>
      <c r="BA53" s="688">
        <v>6.6173009488541998</v>
      </c>
      <c r="BB53" s="688">
        <v>19.9828410370048</v>
      </c>
      <c r="BC53" s="756">
        <v>6.5182717307446802</v>
      </c>
      <c r="BD53" s="755">
        <f t="shared" si="31"/>
        <v>0</v>
      </c>
      <c r="BE53" s="688">
        <v>7.0939731276136504</v>
      </c>
      <c r="BF53" s="688">
        <v>6.3386203367406901</v>
      </c>
      <c r="BG53" s="688">
        <v>7.2843249653187199</v>
      </c>
      <c r="BH53" s="688">
        <v>6.6810589837152801</v>
      </c>
      <c r="BI53" s="756">
        <v>5.7374152984278499</v>
      </c>
      <c r="BJ53" s="9"/>
      <c r="BK53" s="280" t="str">
        <f t="shared" si="23"/>
        <v>1Q16</v>
      </c>
      <c r="BL53" s="755">
        <f t="shared" si="24"/>
        <v>11.374675895839101</v>
      </c>
      <c r="BM53" s="688">
        <v>12.7998713961279</v>
      </c>
      <c r="BN53" s="688">
        <v>9.88599170185066</v>
      </c>
      <c r="BO53" s="688">
        <v>16.8796644924156</v>
      </c>
      <c r="BP53" s="688">
        <v>17.154354094817101</v>
      </c>
      <c r="BQ53" s="756">
        <v>16.296834549429501</v>
      </c>
      <c r="BR53" s="755">
        <f t="shared" si="25"/>
        <v>11.3943246096989</v>
      </c>
      <c r="BS53" s="688">
        <v>12.059941520467801</v>
      </c>
      <c r="BT53" s="688">
        <v>9.5431054733380307</v>
      </c>
      <c r="BU53" s="688">
        <v>13.428566244578301</v>
      </c>
      <c r="BV53" s="688">
        <v>15.258964312591599</v>
      </c>
      <c r="BW53" s="756">
        <v>15.211129296235701</v>
      </c>
      <c r="BX53" s="755">
        <f t="shared" si="26"/>
        <v>8.0698001845307097</v>
      </c>
      <c r="BY53" s="688">
        <v>8.31815669163724</v>
      </c>
      <c r="BZ53" s="688">
        <v>4.3612406942406299</v>
      </c>
      <c r="CA53" s="688">
        <v>9.9897928444639295</v>
      </c>
      <c r="CB53" s="688">
        <v>10.904739652265199</v>
      </c>
      <c r="CC53" s="756">
        <v>10.2848031066489</v>
      </c>
      <c r="CD53" s="755">
        <f t="shared" si="32"/>
        <v>0</v>
      </c>
      <c r="CE53" s="688">
        <v>8.6052754409505301</v>
      </c>
      <c r="CF53" s="688">
        <v>5.3071131009190902</v>
      </c>
      <c r="CG53" s="688">
        <v>8.22929198083086</v>
      </c>
      <c r="CH53" s="688">
        <v>9.5034929444433693</v>
      </c>
      <c r="CI53" s="756">
        <v>9.4614600438574801</v>
      </c>
    </row>
    <row r="54" spans="1:87" ht="14.25" customHeight="1" x14ac:dyDescent="0.25">
      <c r="A54" s="9"/>
      <c r="B54" s="9"/>
      <c r="C54" s="9" t="s">
        <v>737</v>
      </c>
      <c r="D54" s="9"/>
      <c r="E54" s="651">
        <f>AVERAGE(AM77:AQ86)</f>
        <v>16.167189775700525</v>
      </c>
      <c r="F54" s="651">
        <f>AVERAGE(AS77:AW86)</f>
        <v>16.123041845273583</v>
      </c>
      <c r="G54" s="651">
        <f>AVERAGE(AY77:BC86)</f>
        <v>11.956183028879179</v>
      </c>
      <c r="H54" s="651">
        <f>AVERAGE(BE77:BI86)</f>
        <v>12.126972274067899</v>
      </c>
      <c r="I54" s="64">
        <f>IF(I53+1=5,1,I53+1)</f>
        <v>2</v>
      </c>
      <c r="J54" s="3">
        <f t="shared" si="27"/>
        <v>2016</v>
      </c>
      <c r="K54" s="280" t="str">
        <f t="shared" si="18"/>
        <v>2Q16</v>
      </c>
      <c r="L54" s="755">
        <v>11.3978348990975</v>
      </c>
      <c r="M54" s="688">
        <v>26.981358235098298</v>
      </c>
      <c r="N54" s="688">
        <v>24.8569301042094</v>
      </c>
      <c r="O54" s="688">
        <v>9.2181135423101406</v>
      </c>
      <c r="P54" s="688">
        <v>10.5645919218105</v>
      </c>
      <c r="Q54" s="756"/>
      <c r="R54" s="755">
        <v>10.9166647464587</v>
      </c>
      <c r="S54" s="688">
        <v>23.7296746906684</v>
      </c>
      <c r="T54" s="688">
        <v>23.0078613537958</v>
      </c>
      <c r="U54" s="688">
        <v>8.0909528004123992</v>
      </c>
      <c r="V54" s="688">
        <v>10.290795328143901</v>
      </c>
      <c r="W54" s="756"/>
      <c r="X54" s="755">
        <v>7.6011008925671701</v>
      </c>
      <c r="Y54" s="688">
        <v>19.2796426995987</v>
      </c>
      <c r="Z54" s="688">
        <v>17.144433318102401</v>
      </c>
      <c r="AA54" s="688">
        <v>8.3183993473602893</v>
      </c>
      <c r="AB54" s="688"/>
      <c r="AC54" s="756"/>
      <c r="AD54" s="688"/>
      <c r="AE54" s="688">
        <v>20.028577703740599</v>
      </c>
      <c r="AF54" s="688">
        <v>19.0398598534257</v>
      </c>
      <c r="AG54" s="688"/>
      <c r="AH54" s="688"/>
      <c r="AI54" s="756"/>
      <c r="AJ54" s="9"/>
      <c r="AK54" s="280" t="str">
        <f t="shared" si="19"/>
        <v>2Q16</v>
      </c>
      <c r="AL54" s="755">
        <f t="shared" si="20"/>
        <v>11.3978348990975</v>
      </c>
      <c r="AM54" s="688">
        <v>13.61392571717</v>
      </c>
      <c r="AN54" s="688">
        <v>11.2813752145605</v>
      </c>
      <c r="AO54" s="688">
        <v>12.858861853077601</v>
      </c>
      <c r="AP54" s="688">
        <v>13.2005714616677</v>
      </c>
      <c r="AQ54" s="756">
        <v>15.609702474398899</v>
      </c>
      <c r="AR54" s="755">
        <f t="shared" si="21"/>
        <v>10.9166647464587</v>
      </c>
      <c r="AS54" s="688">
        <v>13.3532244556114</v>
      </c>
      <c r="AT54" s="688">
        <v>12.3698221010258</v>
      </c>
      <c r="AU54" s="688">
        <v>13.561499208164699</v>
      </c>
      <c r="AV54" s="688">
        <v>12.572906191639101</v>
      </c>
      <c r="AW54" s="756">
        <v>10.616822429906501</v>
      </c>
      <c r="AX54" s="755">
        <f t="shared" si="22"/>
        <v>7.6011008925671701</v>
      </c>
      <c r="AY54" s="688">
        <v>7.7770805792906197</v>
      </c>
      <c r="AZ54" s="688">
        <v>6.2543088314255302</v>
      </c>
      <c r="BA54" s="688">
        <v>7.5394697268294202</v>
      </c>
      <c r="BB54" s="688">
        <v>21.457728598780601</v>
      </c>
      <c r="BC54" s="756">
        <v>7.6117751832051903</v>
      </c>
      <c r="BD54" s="755">
        <f t="shared" si="31"/>
        <v>0</v>
      </c>
      <c r="BE54" s="688">
        <v>7.8494887814227701</v>
      </c>
      <c r="BF54" s="688">
        <v>6.6309938124452001</v>
      </c>
      <c r="BG54" s="688">
        <v>7.9693008206548201</v>
      </c>
      <c r="BH54" s="688">
        <v>7.1844435802312399</v>
      </c>
      <c r="BI54" s="756">
        <v>6.6235016333890897</v>
      </c>
      <c r="BJ54" s="9"/>
      <c r="BK54" s="280" t="str">
        <f t="shared" si="23"/>
        <v>2Q16</v>
      </c>
      <c r="BL54" s="755">
        <f t="shared" si="24"/>
        <v>11.3978348990975</v>
      </c>
      <c r="BM54" s="688">
        <v>14.9862401518031</v>
      </c>
      <c r="BN54" s="688">
        <v>9.1330031881912603</v>
      </c>
      <c r="BO54" s="688">
        <v>17.601504697710901</v>
      </c>
      <c r="BP54" s="688">
        <v>17.716476072070002</v>
      </c>
      <c r="BQ54" s="756">
        <v>18.2145269890738</v>
      </c>
      <c r="BR54" s="755">
        <f t="shared" si="25"/>
        <v>10.9166647464587</v>
      </c>
      <c r="BS54" s="688">
        <v>13.265468426912699</v>
      </c>
      <c r="BT54" s="688">
        <v>9.1841570751523296</v>
      </c>
      <c r="BU54" s="688">
        <v>13.8673284698068</v>
      </c>
      <c r="BV54" s="688">
        <v>15.9802470919811</v>
      </c>
      <c r="BW54" s="756">
        <v>17.520311992200199</v>
      </c>
      <c r="BX54" s="755">
        <f t="shared" si="26"/>
        <v>7.6011008925671701</v>
      </c>
      <c r="BY54" s="688">
        <v>7.2208145104475596</v>
      </c>
      <c r="BZ54" s="688">
        <v>4.0539397398064798</v>
      </c>
      <c r="CA54" s="688">
        <v>10.600398887944101</v>
      </c>
      <c r="CB54" s="688">
        <v>11.019232208217501</v>
      </c>
      <c r="CC54" s="756">
        <v>11.200809889294501</v>
      </c>
      <c r="CD54" s="755">
        <f t="shared" si="32"/>
        <v>0</v>
      </c>
      <c r="CE54" s="688">
        <v>6.9112131795103</v>
      </c>
      <c r="CF54" s="688">
        <v>4.8679646795903597</v>
      </c>
      <c r="CG54" s="688">
        <v>9.2467997269908206</v>
      </c>
      <c r="CH54" s="688">
        <v>10.154798257915299</v>
      </c>
      <c r="CI54" s="756">
        <v>10.8621545004283</v>
      </c>
    </row>
    <row r="55" spans="1:87" ht="14.25" customHeight="1" x14ac:dyDescent="0.25">
      <c r="A55" s="9"/>
      <c r="B55" s="9"/>
      <c r="C55" s="9" t="s">
        <v>732</v>
      </c>
      <c r="D55" s="9"/>
      <c r="E55" s="651">
        <f>AVERAGE(AM73:AQ86)</f>
        <v>16.693825092020955</v>
      </c>
      <c r="F55" s="651">
        <f>AVERAGE(AS73:AW86)</f>
        <v>16.078511393647254</v>
      </c>
      <c r="G55" s="651">
        <f>AVERAGE(AY73:BC86)</f>
        <v>11.965668501832177</v>
      </c>
      <c r="H55" s="651">
        <f>AVERAGE(BE73:BI86)</f>
        <v>11.894008260500881</v>
      </c>
      <c r="I55" s="64">
        <f>IF(I54=4,1,I54+1)</f>
        <v>3</v>
      </c>
      <c r="J55" s="3">
        <f t="shared" si="27"/>
        <v>2016</v>
      </c>
      <c r="K55" s="280" t="str">
        <f t="shared" si="18"/>
        <v>3Q16</v>
      </c>
      <c r="L55" s="755">
        <v>11.7464562992023</v>
      </c>
      <c r="M55" s="688">
        <v>30.084378131894699</v>
      </c>
      <c r="N55" s="688">
        <v>28.726888220592699</v>
      </c>
      <c r="O55" s="688">
        <v>10.174513516465099</v>
      </c>
      <c r="P55" s="688">
        <v>11.504215476944699</v>
      </c>
      <c r="Q55" s="756"/>
      <c r="R55" s="755">
        <v>11.529951210235099</v>
      </c>
      <c r="S55" s="688">
        <v>24.875581077385799</v>
      </c>
      <c r="T55" s="688">
        <v>25.0634121601096</v>
      </c>
      <c r="U55" s="688">
        <v>9.2344617539395308</v>
      </c>
      <c r="V55" s="688">
        <v>11.024962770147599</v>
      </c>
      <c r="W55" s="756"/>
      <c r="X55" s="755">
        <v>7.2349942586165401</v>
      </c>
      <c r="Y55" s="688">
        <v>21.9353988137585</v>
      </c>
      <c r="Z55" s="688">
        <v>19.893527825420001</v>
      </c>
      <c r="AA55" s="688">
        <v>9.3380075195758003</v>
      </c>
      <c r="AB55" s="688"/>
      <c r="AC55" s="756"/>
      <c r="AD55" s="688"/>
      <c r="AE55" s="688">
        <v>19.754491356507</v>
      </c>
      <c r="AF55" s="688">
        <v>20.641214635167</v>
      </c>
      <c r="AG55" s="688"/>
      <c r="AH55" s="688"/>
      <c r="AI55" s="756"/>
      <c r="AJ55" s="9"/>
      <c r="AK55" s="280" t="str">
        <f t="shared" si="19"/>
        <v>3Q16</v>
      </c>
      <c r="AL55" s="755">
        <f t="shared" si="20"/>
        <v>11.7464562992023</v>
      </c>
      <c r="AM55" s="688">
        <v>14.899093867297999</v>
      </c>
      <c r="AN55" s="688">
        <v>13.4652467749377</v>
      </c>
      <c r="AO55" s="688">
        <v>14.8842735424243</v>
      </c>
      <c r="AP55" s="688">
        <v>13.457771119862601</v>
      </c>
      <c r="AQ55" s="756">
        <v>83.653846153846104</v>
      </c>
      <c r="AR55" s="755">
        <f t="shared" si="21"/>
        <v>11.529951210235099</v>
      </c>
      <c r="AS55" s="688">
        <v>15.3669629935911</v>
      </c>
      <c r="AT55" s="688">
        <v>14.1145320197044</v>
      </c>
      <c r="AU55" s="688">
        <v>15.565471082889999</v>
      </c>
      <c r="AV55" s="688">
        <v>13.595617529880499</v>
      </c>
      <c r="AW55" s="756">
        <v>10.0694444444444</v>
      </c>
      <c r="AX55" s="755">
        <f t="shared" si="22"/>
        <v>7.2349942586165401</v>
      </c>
      <c r="AY55" s="688">
        <v>9.3088036269655703</v>
      </c>
      <c r="AZ55" s="688">
        <v>7.2477448823505997</v>
      </c>
      <c r="BA55" s="688">
        <v>8.7422728427725698</v>
      </c>
      <c r="BB55" s="688">
        <v>7.6902364817677302</v>
      </c>
      <c r="BC55" s="756">
        <v>6.9857466980330596</v>
      </c>
      <c r="BD55" s="755">
        <f t="shared" si="31"/>
        <v>0</v>
      </c>
      <c r="BE55" s="688">
        <v>8.4763377880131205</v>
      </c>
      <c r="BF55" s="688">
        <v>7.4726684860347303</v>
      </c>
      <c r="BG55" s="688">
        <v>8.5401097886188708</v>
      </c>
      <c r="BH55" s="688">
        <v>7.4476937680323898</v>
      </c>
      <c r="BI55" s="756">
        <v>6.37364243076596</v>
      </c>
      <c r="BJ55" s="9"/>
      <c r="BK55" s="280" t="str">
        <f t="shared" si="23"/>
        <v>3Q16</v>
      </c>
      <c r="BL55" s="755">
        <f t="shared" si="24"/>
        <v>11.7464562992023</v>
      </c>
      <c r="BM55" s="688">
        <v>16.2012154925796</v>
      </c>
      <c r="BN55" s="688">
        <v>9.7899129487758092</v>
      </c>
      <c r="BO55" s="688">
        <v>20.0747118434189</v>
      </c>
      <c r="BP55" s="688">
        <v>16.408602409626901</v>
      </c>
      <c r="BQ55" s="756">
        <v>18.1950160365563</v>
      </c>
      <c r="BR55" s="755">
        <f t="shared" si="25"/>
        <v>11.529951210235099</v>
      </c>
      <c r="BS55" s="688">
        <v>16.6014625228519</v>
      </c>
      <c r="BT55" s="688">
        <v>10.950839328537199</v>
      </c>
      <c r="BU55" s="688">
        <v>16.459301613927899</v>
      </c>
      <c r="BV55" s="688">
        <v>17.586830299998802</v>
      </c>
      <c r="BW55" s="756">
        <v>18.504065040650399</v>
      </c>
      <c r="BX55" s="755">
        <f t="shared" si="26"/>
        <v>7.2349942586165401</v>
      </c>
      <c r="BY55" s="688">
        <v>7.1178990247401401</v>
      </c>
      <c r="BZ55" s="688">
        <v>4.2890281594581401</v>
      </c>
      <c r="CA55" s="688">
        <v>15.144914733762</v>
      </c>
      <c r="CB55" s="688">
        <v>11.4352152994917</v>
      </c>
      <c r="CC55" s="756">
        <v>11.102597606948899</v>
      </c>
      <c r="CD55" s="755">
        <f t="shared" si="32"/>
        <v>0</v>
      </c>
      <c r="CE55" s="688">
        <v>7.5133221977130003</v>
      </c>
      <c r="CF55" s="688">
        <v>5.6327910831685397</v>
      </c>
      <c r="CG55" s="688">
        <v>9.1631024619332102</v>
      </c>
      <c r="CH55" s="688">
        <v>9.4597631359393599</v>
      </c>
      <c r="CI55" s="756">
        <v>10.199800616474</v>
      </c>
    </row>
    <row r="56" spans="1:87" ht="14.25" customHeight="1" x14ac:dyDescent="0.25">
      <c r="A56" s="9"/>
      <c r="B56" s="9"/>
      <c r="C56" s="9" t="s">
        <v>738</v>
      </c>
      <c r="D56" s="9"/>
      <c r="E56" s="651">
        <f>AVERAGE(AM65:AQ86)</f>
        <v>18.270614828253066</v>
      </c>
      <c r="F56" s="651">
        <f>AVERAGE(AS65:AW86)</f>
        <v>17.344062816540788</v>
      </c>
      <c r="G56" s="651">
        <f>AVERAGE(AY65:BC86)</f>
        <v>12.110641773518143</v>
      </c>
      <c r="H56" s="651">
        <f>AVERAGE(BE65:BI86)</f>
        <v>11.961096449914985</v>
      </c>
      <c r="I56" s="64">
        <f>I52</f>
        <v>4</v>
      </c>
      <c r="J56" s="3">
        <f t="shared" si="27"/>
        <v>2016</v>
      </c>
      <c r="K56" s="280" t="str">
        <f t="shared" si="18"/>
        <v>4Q16</v>
      </c>
      <c r="L56" s="755">
        <v>13.6479485151039</v>
      </c>
      <c r="M56" s="688">
        <v>27.749936155940301</v>
      </c>
      <c r="N56" s="688">
        <v>29.144651751755902</v>
      </c>
      <c r="O56" s="688">
        <v>12.463218576195899</v>
      </c>
      <c r="P56" s="688">
        <v>14.9102731246172</v>
      </c>
      <c r="Q56" s="756"/>
      <c r="R56" s="755">
        <v>13.226040936045401</v>
      </c>
      <c r="S56" s="688">
        <v>22.8223147038828</v>
      </c>
      <c r="T56" s="688">
        <v>24.0766511208064</v>
      </c>
      <c r="U56" s="688">
        <v>11.006692265496399</v>
      </c>
      <c r="V56" s="688">
        <v>13.4144979272225</v>
      </c>
      <c r="W56" s="756"/>
      <c r="X56" s="755">
        <v>8.3103526125279998</v>
      </c>
      <c r="Y56" s="688">
        <v>20.161067099008701</v>
      </c>
      <c r="Z56" s="688">
        <v>20.0377839366624</v>
      </c>
      <c r="AA56" s="688">
        <v>9.7586528114787807</v>
      </c>
      <c r="AB56" s="688"/>
      <c r="AC56" s="756"/>
      <c r="AD56" s="688"/>
      <c r="AE56" s="688">
        <v>20.870380795010799</v>
      </c>
      <c r="AF56" s="688">
        <v>21.471425123438401</v>
      </c>
      <c r="AG56" s="688"/>
      <c r="AH56" s="688"/>
      <c r="AI56" s="756"/>
      <c r="AJ56" s="9"/>
      <c r="AK56" s="280" t="str">
        <f t="shared" si="19"/>
        <v>4Q16</v>
      </c>
      <c r="AL56" s="755">
        <f t="shared" si="20"/>
        <v>13.6479485151039</v>
      </c>
      <c r="AM56" s="688">
        <v>15.606776538093101</v>
      </c>
      <c r="AN56" s="688">
        <v>13.893918837352199</v>
      </c>
      <c r="AO56" s="688">
        <v>15.856414938254799</v>
      </c>
      <c r="AP56" s="688">
        <v>15.035329296764299</v>
      </c>
      <c r="AQ56" s="756">
        <v>79.653846153846104</v>
      </c>
      <c r="AR56" s="755">
        <f t="shared" si="21"/>
        <v>13.226040936045401</v>
      </c>
      <c r="AS56" s="688">
        <v>15.385485391140399</v>
      </c>
      <c r="AT56" s="688">
        <v>13.9113767053783</v>
      </c>
      <c r="AU56" s="688">
        <v>14.2184801381693</v>
      </c>
      <c r="AV56" s="688">
        <v>15.102606766500299</v>
      </c>
      <c r="AW56" s="756">
        <v>10.5394402035623</v>
      </c>
      <c r="AX56" s="755">
        <f t="shared" si="22"/>
        <v>8.3103526125279998</v>
      </c>
      <c r="AY56" s="688">
        <v>9.5231854188198195</v>
      </c>
      <c r="AZ56" s="688">
        <v>7.7728979535042297</v>
      </c>
      <c r="BA56" s="688">
        <v>9.0760232030326708</v>
      </c>
      <c r="BB56" s="688">
        <v>8.8211581325825801</v>
      </c>
      <c r="BC56" s="756">
        <v>6.5831371911597696</v>
      </c>
      <c r="BD56" s="755">
        <f t="shared" si="31"/>
        <v>0</v>
      </c>
      <c r="BE56" s="688">
        <v>8.7556190237559903</v>
      </c>
      <c r="BF56" s="688">
        <v>7.9119304202545404</v>
      </c>
      <c r="BG56" s="688">
        <v>8.4781336647996302</v>
      </c>
      <c r="BH56" s="688">
        <v>8.7691625251534209</v>
      </c>
      <c r="BI56" s="756">
        <v>6.3986023556328204</v>
      </c>
      <c r="BJ56" s="9"/>
      <c r="BK56" s="280" t="str">
        <f t="shared" si="23"/>
        <v>4Q16</v>
      </c>
      <c r="BL56" s="755">
        <f t="shared" si="24"/>
        <v>13.6479485151039</v>
      </c>
      <c r="BM56" s="688">
        <v>17.051631075941302</v>
      </c>
      <c r="BN56" s="688">
        <v>9.4996478957599901</v>
      </c>
      <c r="BO56" s="688">
        <v>18.027276007093</v>
      </c>
      <c r="BP56" s="688">
        <v>16.522340445452102</v>
      </c>
      <c r="BQ56" s="756">
        <v>18.345178251574499</v>
      </c>
      <c r="BR56" s="755">
        <f t="shared" si="25"/>
        <v>13.226040936045401</v>
      </c>
      <c r="BS56" s="688">
        <v>17.112106078870301</v>
      </c>
      <c r="BT56" s="688">
        <v>10.8172504169645</v>
      </c>
      <c r="BU56" s="688">
        <v>14.665173097230401</v>
      </c>
      <c r="BV56" s="688">
        <v>15.914173013362699</v>
      </c>
      <c r="BW56" s="756">
        <v>17.086867505118501</v>
      </c>
      <c r="BX56" s="755">
        <f t="shared" si="26"/>
        <v>8.3103526125279998</v>
      </c>
      <c r="BY56" s="688">
        <v>7.6170450798860401</v>
      </c>
      <c r="BZ56" s="688">
        <v>4.9037833624295999</v>
      </c>
      <c r="CA56" s="688">
        <v>13.700333923274799</v>
      </c>
      <c r="CB56" s="688">
        <v>11.524812180155999</v>
      </c>
      <c r="CC56" s="756">
        <v>11.2269030250655</v>
      </c>
      <c r="CD56" s="755">
        <f t="shared" si="32"/>
        <v>0</v>
      </c>
      <c r="CE56" s="688">
        <v>8.3598022589928096</v>
      </c>
      <c r="CF56" s="688">
        <v>6.5698991592929596</v>
      </c>
      <c r="CG56" s="688">
        <v>9.6957042583094903</v>
      </c>
      <c r="CH56" s="688">
        <v>9.5916604776471708</v>
      </c>
      <c r="CI56" s="756">
        <v>10.1585096304399</v>
      </c>
    </row>
    <row r="57" spans="1:87" ht="14.25" customHeight="1" x14ac:dyDescent="0.25">
      <c r="A57" s="9"/>
      <c r="B57" s="9"/>
      <c r="C57" s="754" t="s">
        <v>766</v>
      </c>
      <c r="D57" s="754"/>
      <c r="E57" s="754"/>
      <c r="F57" s="754"/>
      <c r="G57" s="754"/>
      <c r="H57" s="754"/>
      <c r="I57" s="64">
        <f>IF(I56=4,1,I56+1)</f>
        <v>1</v>
      </c>
      <c r="J57" s="3">
        <f t="shared" si="27"/>
        <v>2017</v>
      </c>
      <c r="K57" s="280" t="str">
        <f t="shared" si="18"/>
        <v>1Q17</v>
      </c>
      <c r="L57" s="755">
        <v>15.4300610200302</v>
      </c>
      <c r="M57" s="688">
        <v>31.609033916667698</v>
      </c>
      <c r="N57" s="688">
        <v>29.8550409946053</v>
      </c>
      <c r="O57" s="688">
        <v>12.560512508334099</v>
      </c>
      <c r="P57" s="688">
        <v>14.4048976652062</v>
      </c>
      <c r="Q57" s="756"/>
      <c r="R57" s="755">
        <v>13.6426356726493</v>
      </c>
      <c r="S57" s="688">
        <v>24.757926379952799</v>
      </c>
      <c r="T57" s="688">
        <v>25.369181361218299</v>
      </c>
      <c r="U57" s="688">
        <v>10.648969388871601</v>
      </c>
      <c r="V57" s="688">
        <v>12.965746216069499</v>
      </c>
      <c r="W57" s="756"/>
      <c r="X57" s="755">
        <v>9.7695730140679995</v>
      </c>
      <c r="Y57" s="688">
        <v>22.563170014941299</v>
      </c>
      <c r="Z57" s="688">
        <v>18.894039712645601</v>
      </c>
      <c r="AA57" s="688">
        <v>9.7592795340162404</v>
      </c>
      <c r="AB57" s="688"/>
      <c r="AC57" s="756"/>
      <c r="AD57" s="688"/>
      <c r="AE57" s="688">
        <v>22.532290697658699</v>
      </c>
      <c r="AF57" s="688">
        <v>23.260620732561399</v>
      </c>
      <c r="AG57" s="688"/>
      <c r="AH57" s="688"/>
      <c r="AI57" s="756"/>
      <c r="AJ57" s="9"/>
      <c r="AK57" s="280" t="str">
        <f t="shared" si="19"/>
        <v>1Q17</v>
      </c>
      <c r="AL57" s="755">
        <f t="shared" si="20"/>
        <v>15.4300610200302</v>
      </c>
      <c r="AM57" s="688">
        <v>15.192504715933801</v>
      </c>
      <c r="AN57" s="688">
        <v>13.1171174490227</v>
      </c>
      <c r="AO57" s="688">
        <v>14.557299503379101</v>
      </c>
      <c r="AP57" s="688">
        <v>16.0071527457314</v>
      </c>
      <c r="AQ57" s="756">
        <v>72.150000000000006</v>
      </c>
      <c r="AR57" s="755">
        <f t="shared" si="21"/>
        <v>13.6426356726493</v>
      </c>
      <c r="AS57" s="688">
        <v>14.6771984293672</v>
      </c>
      <c r="AT57" s="688">
        <v>13.0886214442013</v>
      </c>
      <c r="AU57" s="688">
        <v>13.288677614520299</v>
      </c>
      <c r="AV57" s="688">
        <v>15.9069196123925</v>
      </c>
      <c r="AW57" s="756">
        <v>11.1285347043702</v>
      </c>
      <c r="AX57" s="755">
        <f t="shared" si="22"/>
        <v>9.7695730140679995</v>
      </c>
      <c r="AY57" s="688">
        <v>9.0434145029534303</v>
      </c>
      <c r="AZ57" s="688">
        <v>7.5654992588176899</v>
      </c>
      <c r="BA57" s="688">
        <v>8.5685078929964096</v>
      </c>
      <c r="BB57" s="688">
        <v>9.5376260796983896</v>
      </c>
      <c r="BC57" s="756">
        <v>7.3059059511382003</v>
      </c>
      <c r="BD57" s="755">
        <f t="shared" si="31"/>
        <v>0</v>
      </c>
      <c r="BE57" s="688">
        <v>8.3419120553681605</v>
      </c>
      <c r="BF57" s="688">
        <v>7.6867847043769402</v>
      </c>
      <c r="BG57" s="688">
        <v>8.0144088845310897</v>
      </c>
      <c r="BH57" s="688">
        <v>9.3871322553164003</v>
      </c>
      <c r="BI57" s="756">
        <v>6.9825748968034604</v>
      </c>
      <c r="BJ57" s="9"/>
      <c r="BK57" s="280" t="str">
        <f t="shared" si="23"/>
        <v>1Q17</v>
      </c>
      <c r="BL57" s="755">
        <f t="shared" si="24"/>
        <v>15.4300610200302</v>
      </c>
      <c r="BM57" s="688">
        <v>17.512265595980299</v>
      </c>
      <c r="BN57" s="688">
        <v>9.5728267463193504</v>
      </c>
      <c r="BO57" s="688">
        <v>18.8148107152353</v>
      </c>
      <c r="BP57" s="688">
        <v>16.3834695861817</v>
      </c>
      <c r="BQ57" s="756">
        <v>18.814468481079999</v>
      </c>
      <c r="BR57" s="755">
        <f t="shared" si="25"/>
        <v>13.6426356726493</v>
      </c>
      <c r="BS57" s="688">
        <v>17.533075185543701</v>
      </c>
      <c r="BT57" s="688">
        <v>10.6919352934231</v>
      </c>
      <c r="BU57" s="688">
        <v>14.9212562268163</v>
      </c>
      <c r="BV57" s="688">
        <v>15.961151968645201</v>
      </c>
      <c r="BW57" s="756">
        <v>16.8392648774796</v>
      </c>
      <c r="BX57" s="755">
        <f t="shared" si="26"/>
        <v>9.7695730140679995</v>
      </c>
      <c r="BY57" s="688">
        <v>8.0171363602344705</v>
      </c>
      <c r="BZ57" s="688">
        <v>4.4017090889173804</v>
      </c>
      <c r="CA57" s="688">
        <v>16.4908873645734</v>
      </c>
      <c r="CB57" s="688">
        <v>11.2461348569961</v>
      </c>
      <c r="CC57" s="756">
        <v>11.2015939345566</v>
      </c>
      <c r="CD57" s="755">
        <f t="shared" si="32"/>
        <v>0</v>
      </c>
      <c r="CE57" s="688">
        <v>8.4088038740911699</v>
      </c>
      <c r="CF57" s="688">
        <v>5.6617114377559297</v>
      </c>
      <c r="CG57" s="688">
        <v>12.2215912297605</v>
      </c>
      <c r="CH57" s="688">
        <v>9.9476157319819993</v>
      </c>
      <c r="CI57" s="756">
        <v>10.0975235451036</v>
      </c>
    </row>
    <row r="58" spans="1:87" ht="14.25" customHeight="1" x14ac:dyDescent="0.25">
      <c r="A58" s="9"/>
      <c r="B58" s="9"/>
      <c r="C58" s="64"/>
      <c r="D58" s="9"/>
      <c r="E58" s="64" t="s">
        <v>761</v>
      </c>
      <c r="F58" s="64" t="s">
        <v>762</v>
      </c>
      <c r="G58" s="64" t="s">
        <v>763</v>
      </c>
      <c r="H58" s="64" t="s">
        <v>764</v>
      </c>
      <c r="I58" s="64">
        <f>IF(I57+1=5,1,I57+1)</f>
        <v>2</v>
      </c>
      <c r="J58" s="3">
        <f t="shared" si="27"/>
        <v>2017</v>
      </c>
      <c r="K58" s="280" t="str">
        <f t="shared" si="18"/>
        <v>2Q17</v>
      </c>
      <c r="L58" s="755">
        <v>15.166665886488399</v>
      </c>
      <c r="M58" s="688">
        <v>33.355409032351702</v>
      </c>
      <c r="N58" s="688">
        <v>32.238772373031097</v>
      </c>
      <c r="O58" s="688">
        <v>12.6137404580153</v>
      </c>
      <c r="P58" s="688">
        <v>13.9990124110282</v>
      </c>
      <c r="Q58" s="756"/>
      <c r="R58" s="755">
        <v>13.987753505172501</v>
      </c>
      <c r="S58" s="688">
        <v>24.773606613771399</v>
      </c>
      <c r="T58" s="688">
        <v>26.1204101012069</v>
      </c>
      <c r="U58" s="688">
        <v>10.1536478432177</v>
      </c>
      <c r="V58" s="688">
        <v>12.871963759848001</v>
      </c>
      <c r="W58" s="756"/>
      <c r="X58" s="755">
        <v>10.306943625574601</v>
      </c>
      <c r="Y58" s="688">
        <v>23.5259777265608</v>
      </c>
      <c r="Z58" s="688">
        <v>20.325208268685</v>
      </c>
      <c r="AA58" s="688">
        <v>8.6366512306846204</v>
      </c>
      <c r="AB58" s="688"/>
      <c r="AC58" s="756"/>
      <c r="AD58" s="688"/>
      <c r="AE58" s="688">
        <v>19.801258643689401</v>
      </c>
      <c r="AF58" s="688">
        <v>18.882248704498501</v>
      </c>
      <c r="AG58" s="688"/>
      <c r="AH58" s="688"/>
      <c r="AI58" s="756"/>
      <c r="AJ58" s="9"/>
      <c r="AK58" s="280" t="str">
        <f t="shared" si="19"/>
        <v>2Q17</v>
      </c>
      <c r="AL58" s="755">
        <f t="shared" si="20"/>
        <v>15.166665886488399</v>
      </c>
      <c r="AM58" s="688">
        <v>16.971911291818</v>
      </c>
      <c r="AN58" s="688">
        <v>14.2595180334852</v>
      </c>
      <c r="AO58" s="688">
        <v>15.677518897643001</v>
      </c>
      <c r="AP58" s="688">
        <v>17.0492565080697</v>
      </c>
      <c r="AQ58" s="756">
        <v>78.5833333333333</v>
      </c>
      <c r="AR58" s="755">
        <f t="shared" si="21"/>
        <v>13.987753505172501</v>
      </c>
      <c r="AS58" s="688">
        <v>16.284746970776901</v>
      </c>
      <c r="AT58" s="688">
        <v>14.1723136495644</v>
      </c>
      <c r="AU58" s="688">
        <v>14.7510524023806</v>
      </c>
      <c r="AV58" s="688">
        <v>16.821972203838499</v>
      </c>
      <c r="AW58" s="756">
        <v>12.3429319371728</v>
      </c>
      <c r="AX58" s="755">
        <f t="shared" si="22"/>
        <v>10.306943625574601</v>
      </c>
      <c r="AY58" s="688">
        <v>10.041696900795801</v>
      </c>
      <c r="AZ58" s="688">
        <v>8.14425798294657</v>
      </c>
      <c r="BA58" s="688">
        <v>9.3576941846112494</v>
      </c>
      <c r="BB58" s="688">
        <v>9.7576119785272795</v>
      </c>
      <c r="BC58" s="756">
        <v>7.8963804486655196</v>
      </c>
      <c r="BD58" s="755">
        <f t="shared" si="31"/>
        <v>0</v>
      </c>
      <c r="BE58" s="688">
        <v>9.2948278991056998</v>
      </c>
      <c r="BF58" s="688">
        <v>8.1221508765867796</v>
      </c>
      <c r="BG58" s="688">
        <v>8.8848842596178592</v>
      </c>
      <c r="BH58" s="688">
        <v>9.5330447993826493</v>
      </c>
      <c r="BI58" s="756">
        <v>7.7405887083420097</v>
      </c>
      <c r="BJ58" s="9"/>
      <c r="BK58" s="280" t="str">
        <f t="shared" si="23"/>
        <v>2Q17</v>
      </c>
      <c r="BL58" s="755">
        <f t="shared" si="24"/>
        <v>15.166665886488399</v>
      </c>
      <c r="BM58" s="688">
        <v>15.332360616874</v>
      </c>
      <c r="BN58" s="688">
        <v>8.9939480898144293</v>
      </c>
      <c r="BO58" s="688">
        <v>18.9573315361765</v>
      </c>
      <c r="BP58" s="688">
        <v>15.737742409832499</v>
      </c>
      <c r="BQ58" s="756">
        <v>16.456241824473601</v>
      </c>
      <c r="BR58" s="755">
        <f t="shared" si="25"/>
        <v>13.987753505172501</v>
      </c>
      <c r="BS58" s="688">
        <v>15.756563245823401</v>
      </c>
      <c r="BT58" s="688">
        <v>9.7921891795055505</v>
      </c>
      <c r="BU58" s="688">
        <v>14.7116253691756</v>
      </c>
      <c r="BV58" s="688">
        <v>16.004778286414499</v>
      </c>
      <c r="BW58" s="756">
        <v>15.4003208400175</v>
      </c>
      <c r="BX58" s="755">
        <f t="shared" si="26"/>
        <v>10.306943625574601</v>
      </c>
      <c r="BY58" s="688">
        <v>7.5754462504368201</v>
      </c>
      <c r="BZ58" s="688">
        <v>4.0560381611917302</v>
      </c>
      <c r="CA58" s="688">
        <v>17.7328149474707</v>
      </c>
      <c r="CB58" s="688">
        <v>10.9756319204545</v>
      </c>
      <c r="CC58" s="756">
        <v>10.141556987726499</v>
      </c>
      <c r="CD58" s="755">
        <f t="shared" si="32"/>
        <v>0</v>
      </c>
      <c r="CE58" s="688">
        <v>7.9679959335905099</v>
      </c>
      <c r="CF58" s="688">
        <v>5.3607663011854996</v>
      </c>
      <c r="CG58" s="688">
        <v>9.6745143171590104</v>
      </c>
      <c r="CH58" s="688">
        <v>9.9254800396091998</v>
      </c>
      <c r="CI58" s="756">
        <v>9.5160045403397593</v>
      </c>
    </row>
    <row r="59" spans="1:87" ht="14.25" customHeight="1" x14ac:dyDescent="0.25">
      <c r="A59" s="9"/>
      <c r="B59" s="9"/>
      <c r="C59" s="9" t="s">
        <v>767</v>
      </c>
      <c r="D59" s="9"/>
      <c r="E59" s="651">
        <f>AVERAGE(AM8:AQ75)</f>
        <v>17.451844369442512</v>
      </c>
      <c r="F59" s="651">
        <f>AVERAGE(AS8:AW75)</f>
        <v>14.789390590177238</v>
      </c>
      <c r="G59" s="651">
        <f>AVERAGE(AY8:BC75)</f>
        <v>9.0736330644380931</v>
      </c>
      <c r="H59" s="651">
        <f>AVERAGE(BE8:BI75)</f>
        <v>8.2467031760817928</v>
      </c>
      <c r="I59" s="64">
        <f>IF(I58=4,1,I58+1)</f>
        <v>3</v>
      </c>
      <c r="J59" s="3">
        <f t="shared" si="27"/>
        <v>2017</v>
      </c>
      <c r="K59" s="280" t="str">
        <f t="shared" si="18"/>
        <v>3Q17</v>
      </c>
      <c r="L59" s="755">
        <v>18.3701758996127</v>
      </c>
      <c r="M59" s="688">
        <v>37.431469892990997</v>
      </c>
      <c r="N59" s="688">
        <v>37.481388711996701</v>
      </c>
      <c r="O59" s="688">
        <v>12.3771929824561</v>
      </c>
      <c r="P59" s="688">
        <v>13.965914745482101</v>
      </c>
      <c r="Q59" s="756"/>
      <c r="R59" s="755">
        <v>14.6156218798178</v>
      </c>
      <c r="S59" s="688">
        <v>26.213746399937701</v>
      </c>
      <c r="T59" s="688">
        <v>27.925110958320602</v>
      </c>
      <c r="U59" s="688">
        <v>10.2253021703633</v>
      </c>
      <c r="V59" s="688">
        <v>12.8264508749432</v>
      </c>
      <c r="W59" s="756"/>
      <c r="X59" s="755">
        <v>10.771598973095101</v>
      </c>
      <c r="Y59" s="688">
        <v>26.042396935104399</v>
      </c>
      <c r="Z59" s="688">
        <v>23.554071014685601</v>
      </c>
      <c r="AA59" s="688">
        <v>8.9190591670386805</v>
      </c>
      <c r="AB59" s="688"/>
      <c r="AC59" s="756"/>
      <c r="AD59" s="688"/>
      <c r="AE59" s="688">
        <v>21.3530760083808</v>
      </c>
      <c r="AF59" s="688">
        <v>22.664036933285001</v>
      </c>
      <c r="AG59" s="688"/>
      <c r="AH59" s="688"/>
      <c r="AI59" s="756"/>
      <c r="AJ59" s="9"/>
      <c r="AK59" s="280" t="str">
        <f t="shared" si="19"/>
        <v>3Q17</v>
      </c>
      <c r="AL59" s="755">
        <f t="shared" si="20"/>
        <v>18.3701758996127</v>
      </c>
      <c r="AM59" s="688">
        <v>16.681755641083299</v>
      </c>
      <c r="AN59" s="688">
        <v>15.918574316111</v>
      </c>
      <c r="AO59" s="688">
        <v>15.8996603114082</v>
      </c>
      <c r="AP59" s="688">
        <v>17.454977522372399</v>
      </c>
      <c r="AQ59" s="756">
        <v>20.170940170940199</v>
      </c>
      <c r="AR59" s="755">
        <f t="shared" si="21"/>
        <v>14.6156218798178</v>
      </c>
      <c r="AS59" s="688">
        <v>17.198356702688201</v>
      </c>
      <c r="AT59" s="688">
        <v>15.743430890835301</v>
      </c>
      <c r="AU59" s="688">
        <v>15.704123112659699</v>
      </c>
      <c r="AV59" s="688">
        <v>17.745970341715001</v>
      </c>
      <c r="AW59" s="756">
        <v>12.4867724867725</v>
      </c>
      <c r="AX59" s="755">
        <f t="shared" si="22"/>
        <v>10.771598973095101</v>
      </c>
      <c r="AY59" s="688">
        <v>9.9504570543443798</v>
      </c>
      <c r="AZ59" s="688">
        <v>8.7035741654818892</v>
      </c>
      <c r="BA59" s="688">
        <v>9.4411740744080994</v>
      </c>
      <c r="BB59" s="688">
        <v>10.271142080477199</v>
      </c>
      <c r="BC59" s="756">
        <v>8.4878109366662198</v>
      </c>
      <c r="BD59" s="755">
        <f t="shared" si="31"/>
        <v>0</v>
      </c>
      <c r="BE59" s="688">
        <v>9.9348698981558492</v>
      </c>
      <c r="BF59" s="688">
        <v>9.3674134068342898</v>
      </c>
      <c r="BG59" s="688">
        <v>9.33322544205644</v>
      </c>
      <c r="BH59" s="688">
        <v>9.8450672080491106</v>
      </c>
      <c r="BI59" s="756">
        <v>7.5029045732606097</v>
      </c>
      <c r="BJ59" s="9"/>
      <c r="BK59" s="280" t="str">
        <f t="shared" si="23"/>
        <v>3Q17</v>
      </c>
      <c r="BL59" s="755">
        <f t="shared" si="24"/>
        <v>18.3701758996127</v>
      </c>
      <c r="BM59" s="688">
        <v>14.352246111620101</v>
      </c>
      <c r="BN59" s="688">
        <v>10.168876685674901</v>
      </c>
      <c r="BO59" s="688">
        <v>19.5619707538714</v>
      </c>
      <c r="BP59" s="688">
        <v>16.904715221389601</v>
      </c>
      <c r="BQ59" s="756">
        <v>18.013544619158399</v>
      </c>
      <c r="BR59" s="755">
        <f t="shared" si="25"/>
        <v>14.6156218798178</v>
      </c>
      <c r="BS59" s="688">
        <v>14.0146991272393</v>
      </c>
      <c r="BT59" s="688">
        <v>16.030077912665298</v>
      </c>
      <c r="BU59" s="688">
        <v>14.730638494845399</v>
      </c>
      <c r="BV59" s="688">
        <v>17.164215716291199</v>
      </c>
      <c r="BW59" s="756">
        <v>16.847348373864602</v>
      </c>
      <c r="BX59" s="755">
        <f t="shared" si="26"/>
        <v>10.771598973095101</v>
      </c>
      <c r="BY59" s="688">
        <v>6.9743443752455496</v>
      </c>
      <c r="BZ59" s="688">
        <v>4.0880982203765299</v>
      </c>
      <c r="CA59" s="688">
        <v>14.0383531727903</v>
      </c>
      <c r="CB59" s="688">
        <v>11.5358113174269</v>
      </c>
      <c r="CC59" s="756">
        <v>10.8198573575872</v>
      </c>
      <c r="CD59" s="755">
        <f t="shared" si="32"/>
        <v>0</v>
      </c>
      <c r="CE59" s="688">
        <v>6.5203668116549496</v>
      </c>
      <c r="CF59" s="688">
        <v>7.5844817938716096</v>
      </c>
      <c r="CG59" s="688">
        <v>8.7501011127384505</v>
      </c>
      <c r="CH59" s="688">
        <v>9.6780065637342094</v>
      </c>
      <c r="CI59" s="756">
        <v>9.6148317438143795</v>
      </c>
    </row>
    <row r="60" spans="1:87" ht="14.25" customHeight="1" x14ac:dyDescent="0.25">
      <c r="A60" s="205"/>
      <c r="B60" s="9"/>
      <c r="C60" s="9" t="s">
        <v>768</v>
      </c>
      <c r="D60" s="9"/>
      <c r="E60" s="651">
        <f t="shared" ref="E60:H60" si="36">AVERAGE(E64,E68)</f>
        <v>16.511356338309774</v>
      </c>
      <c r="F60" s="651">
        <f t="shared" si="36"/>
        <v>14.249403727801335</v>
      </c>
      <c r="G60" s="651">
        <f t="shared" si="36"/>
        <v>8.0081879799852764</v>
      </c>
      <c r="H60" s="651" t="e">
        <f t="shared" si="36"/>
        <v>#DIV/0!</v>
      </c>
      <c r="I60" s="64">
        <f>I56</f>
        <v>4</v>
      </c>
      <c r="J60" s="3">
        <f t="shared" si="27"/>
        <v>2017</v>
      </c>
      <c r="K60" s="280" t="str">
        <f t="shared" si="18"/>
        <v>4Q17</v>
      </c>
      <c r="L60" s="755">
        <v>18.602098472552498</v>
      </c>
      <c r="M60" s="688">
        <v>36.785344192354898</v>
      </c>
      <c r="N60" s="688">
        <v>40.178349826117703</v>
      </c>
      <c r="O60" s="688">
        <v>13.985955056179799</v>
      </c>
      <c r="P60" s="688">
        <v>15.452727787932</v>
      </c>
      <c r="Q60" s="756"/>
      <c r="R60" s="755">
        <v>15.12658329325</v>
      </c>
      <c r="S60" s="688">
        <v>26.443229076138199</v>
      </c>
      <c r="T60" s="688">
        <v>27.876603301979902</v>
      </c>
      <c r="U60" s="688">
        <v>11.3410705569716</v>
      </c>
      <c r="V60" s="688">
        <v>13.4199215686274</v>
      </c>
      <c r="W60" s="756"/>
      <c r="X60" s="755">
        <v>10.9590497692763</v>
      </c>
      <c r="Y60" s="688">
        <v>23.4156623452254</v>
      </c>
      <c r="Z60" s="688">
        <v>25.133951063241099</v>
      </c>
      <c r="AA60" s="688">
        <v>10.1772913205855</v>
      </c>
      <c r="AB60" s="688"/>
      <c r="AC60" s="756"/>
      <c r="AD60" s="688"/>
      <c r="AE60" s="688">
        <v>22.825870594237301</v>
      </c>
      <c r="AF60" s="688">
        <v>24.577994242492299</v>
      </c>
      <c r="AG60" s="688"/>
      <c r="AH60" s="688"/>
      <c r="AI60" s="756"/>
      <c r="AJ60" s="9"/>
      <c r="AK60" s="280" t="str">
        <f t="shared" si="19"/>
        <v>4Q17</v>
      </c>
      <c r="AL60" s="755">
        <f t="shared" si="20"/>
        <v>18.602098472552498</v>
      </c>
      <c r="AM60" s="688">
        <v>17.7316040068742</v>
      </c>
      <c r="AN60" s="688">
        <v>17.362804075599001</v>
      </c>
      <c r="AO60" s="688">
        <v>16.701723724901701</v>
      </c>
      <c r="AP60" s="688">
        <v>17.2152601301526</v>
      </c>
      <c r="AQ60" s="756">
        <v>22.371794871794901</v>
      </c>
      <c r="AR60" s="755">
        <f t="shared" si="21"/>
        <v>15.12658329325</v>
      </c>
      <c r="AS60" s="688">
        <v>18.1945316001793</v>
      </c>
      <c r="AT60" s="688">
        <v>16.9806941660513</v>
      </c>
      <c r="AU60" s="688">
        <v>17.0676456803624</v>
      </c>
      <c r="AV60" s="688">
        <v>16.272629181153299</v>
      </c>
      <c r="AW60" s="756">
        <v>13.286802030456901</v>
      </c>
      <c r="AX60" s="755">
        <f t="shared" si="22"/>
        <v>10.9590497692763</v>
      </c>
      <c r="AY60" s="688">
        <v>10.6046500596097</v>
      </c>
      <c r="AZ60" s="688">
        <v>9.9657818359920096</v>
      </c>
      <c r="BA60" s="688">
        <v>9.5272581843654205</v>
      </c>
      <c r="BB60" s="688">
        <v>10.0912602544482</v>
      </c>
      <c r="BC60" s="756">
        <v>10.2362649676181</v>
      </c>
      <c r="BD60" s="755">
        <f t="shared" si="31"/>
        <v>0</v>
      </c>
      <c r="BE60" s="688">
        <v>10.6614615642502</v>
      </c>
      <c r="BF60" s="688">
        <v>10.2604777628974</v>
      </c>
      <c r="BG60" s="688">
        <v>10.278063739100901</v>
      </c>
      <c r="BH60" s="688">
        <v>9.71505194619394</v>
      </c>
      <c r="BI60" s="756">
        <v>9.25020942552141</v>
      </c>
      <c r="BJ60" s="9"/>
      <c r="BK60" s="280" t="str">
        <f t="shared" si="23"/>
        <v>4Q17</v>
      </c>
      <c r="BL60" s="755">
        <f t="shared" si="24"/>
        <v>18.602098472552498</v>
      </c>
      <c r="BM60" s="688">
        <v>11.933163548308199</v>
      </c>
      <c r="BN60" s="688">
        <v>11.0429443217241</v>
      </c>
      <c r="BO60" s="688">
        <v>20.870326430420398</v>
      </c>
      <c r="BP60" s="688">
        <v>17.1616901526493</v>
      </c>
      <c r="BQ60" s="756">
        <v>18.1428389425202</v>
      </c>
      <c r="BR60" s="755">
        <f t="shared" si="25"/>
        <v>15.12658329325</v>
      </c>
      <c r="BS60" s="688">
        <v>16.823628337187301</v>
      </c>
      <c r="BT60" s="688">
        <v>16.4090568862275</v>
      </c>
      <c r="BU60" s="688">
        <v>13.793318238288</v>
      </c>
      <c r="BV60" s="688">
        <v>16.2845808786291</v>
      </c>
      <c r="BW60" s="756">
        <v>16.7740088736224</v>
      </c>
      <c r="BX60" s="755">
        <f t="shared" si="26"/>
        <v>10.9590497692763</v>
      </c>
      <c r="BY60" s="688">
        <v>5.9788422712741802</v>
      </c>
      <c r="BZ60" s="688">
        <v>5.0997884348216402</v>
      </c>
      <c r="CA60" s="688">
        <v>16.395215797510499</v>
      </c>
      <c r="CB60" s="688">
        <v>12.1321311527739</v>
      </c>
      <c r="CC60" s="756">
        <v>11.1062594072335</v>
      </c>
      <c r="CD60" s="755">
        <f t="shared" si="32"/>
        <v>0</v>
      </c>
      <c r="CE60" s="688">
        <v>7.1875639175984203</v>
      </c>
      <c r="CF60" s="688">
        <v>10.405610801995</v>
      </c>
      <c r="CG60" s="688">
        <v>9.4890909221203508</v>
      </c>
      <c r="CH60" s="688">
        <v>10.6121068424686</v>
      </c>
      <c r="CI60" s="756">
        <v>10.0928444397349</v>
      </c>
    </row>
    <row r="61" spans="1:87" ht="14.25" customHeight="1" x14ac:dyDescent="0.25">
      <c r="A61" s="9"/>
      <c r="B61" s="9"/>
      <c r="C61" s="9" t="s">
        <v>769</v>
      </c>
      <c r="D61" s="9"/>
      <c r="E61" s="651">
        <f t="shared" ref="E61:H61" si="37">AVERAGE(E65,E69)</f>
        <v>18.174451528888053</v>
      </c>
      <c r="F61" s="651">
        <f t="shared" si="37"/>
        <v>15.177675768515218</v>
      </c>
      <c r="G61" s="651">
        <f t="shared" si="37"/>
        <v>9.1033872247162755</v>
      </c>
      <c r="H61" s="651">
        <f t="shared" si="37"/>
        <v>8.1673101789748106</v>
      </c>
      <c r="I61" s="64">
        <f>IF(I60=4,1,I60+1)</f>
        <v>1</v>
      </c>
      <c r="J61" s="3">
        <f t="shared" si="27"/>
        <v>2018</v>
      </c>
      <c r="K61" s="280" t="str">
        <f t="shared" si="18"/>
        <v>1Q18</v>
      </c>
      <c r="L61" s="755">
        <v>15.4995197109592</v>
      </c>
      <c r="M61" s="688">
        <v>38.592026594365002</v>
      </c>
      <c r="N61" s="688">
        <v>38.291025786763001</v>
      </c>
      <c r="O61" s="688">
        <v>11.934106098462699</v>
      </c>
      <c r="P61" s="688">
        <v>15.7671446370632</v>
      </c>
      <c r="Q61" s="756"/>
      <c r="R61" s="755">
        <v>12.745642073187099</v>
      </c>
      <c r="S61" s="688">
        <v>24.882739492884902</v>
      </c>
      <c r="T61" s="688">
        <v>28.075911663558301</v>
      </c>
      <c r="U61" s="688">
        <v>9.4942145535448095</v>
      </c>
      <c r="V61" s="688">
        <v>12.1055762380759</v>
      </c>
      <c r="W61" s="756"/>
      <c r="X61" s="755">
        <v>9.6699986911470592</v>
      </c>
      <c r="Y61" s="688">
        <v>24.395750129532701</v>
      </c>
      <c r="Z61" s="688">
        <v>25.772539726517401</v>
      </c>
      <c r="AA61" s="688">
        <v>8.7376547393474109</v>
      </c>
      <c r="AB61" s="688"/>
      <c r="AC61" s="756"/>
      <c r="AD61" s="688"/>
      <c r="AE61" s="688">
        <v>21.870901412218</v>
      </c>
      <c r="AF61" s="688">
        <v>24.3088806331304</v>
      </c>
      <c r="AG61" s="688"/>
      <c r="AH61" s="688"/>
      <c r="AI61" s="756"/>
      <c r="AJ61" s="9"/>
      <c r="AK61" s="280" t="str">
        <f t="shared" si="19"/>
        <v>1Q18</v>
      </c>
      <c r="AL61" s="755">
        <f t="shared" si="20"/>
        <v>15.4995197109592</v>
      </c>
      <c r="AM61" s="688">
        <v>15.955842056904601</v>
      </c>
      <c r="AN61" s="688">
        <v>16.454725077569499</v>
      </c>
      <c r="AO61" s="688">
        <v>15.071863077920799</v>
      </c>
      <c r="AP61" s="688">
        <v>17.153753026634401</v>
      </c>
      <c r="AQ61" s="756">
        <v>20.324324324324301</v>
      </c>
      <c r="AR61" s="755">
        <f t="shared" si="21"/>
        <v>12.745642073187099</v>
      </c>
      <c r="AS61" s="688">
        <v>16.662185175226298</v>
      </c>
      <c r="AT61" s="688">
        <v>16.515356585111899</v>
      </c>
      <c r="AU61" s="688">
        <v>14.0478637498165</v>
      </c>
      <c r="AV61" s="688">
        <v>16.4813306967547</v>
      </c>
      <c r="AW61" s="756">
        <v>11.539641943734001</v>
      </c>
      <c r="AX61" s="755">
        <f t="shared" si="22"/>
        <v>9.6699986911470592</v>
      </c>
      <c r="AY61" s="688">
        <v>9.7421991223443207</v>
      </c>
      <c r="AZ61" s="688">
        <v>9.8326539192146498</v>
      </c>
      <c r="BA61" s="688">
        <v>9.1354420629513093</v>
      </c>
      <c r="BB61" s="688">
        <v>10.0301823820195</v>
      </c>
      <c r="BC61" s="756">
        <v>8.5575226430084701</v>
      </c>
      <c r="BD61" s="755">
        <f t="shared" si="31"/>
        <v>0</v>
      </c>
      <c r="BE61" s="688">
        <v>9.6946287353799292</v>
      </c>
      <c r="BF61" s="688">
        <v>10.038852223917701</v>
      </c>
      <c r="BG61" s="688">
        <v>9.46400162584521</v>
      </c>
      <c r="BH61" s="688">
        <v>9.8743163848070896</v>
      </c>
      <c r="BI61" s="756">
        <v>7.5679134780037103</v>
      </c>
      <c r="BJ61" s="9"/>
      <c r="BK61" s="280" t="str">
        <f t="shared" si="23"/>
        <v>1Q18</v>
      </c>
      <c r="BL61" s="755">
        <f t="shared" si="24"/>
        <v>15.4995197109592</v>
      </c>
      <c r="BM61" s="688">
        <v>13.2951376349264</v>
      </c>
      <c r="BN61" s="688">
        <v>13.2763337893297</v>
      </c>
      <c r="BO61" s="688">
        <v>23.801267295453901</v>
      </c>
      <c r="BP61" s="688">
        <v>16.379993668319099</v>
      </c>
      <c r="BQ61" s="756">
        <v>16.591943342394899</v>
      </c>
      <c r="BR61" s="755">
        <f t="shared" si="25"/>
        <v>12.745642073187099</v>
      </c>
      <c r="BS61" s="688">
        <v>17.049246231155799</v>
      </c>
      <c r="BT61" s="688">
        <v>17.095296811696301</v>
      </c>
      <c r="BU61" s="688">
        <v>19.798798215503901</v>
      </c>
      <c r="BV61" s="688">
        <v>15.924489582583</v>
      </c>
      <c r="BW61" s="756">
        <v>16.041937816341299</v>
      </c>
      <c r="BX61" s="755">
        <f t="shared" si="26"/>
        <v>9.6699986911470592</v>
      </c>
      <c r="BY61" s="688">
        <v>6.3198598389438603</v>
      </c>
      <c r="BZ61" s="688">
        <v>4.9359877663941196</v>
      </c>
      <c r="CA61" s="688">
        <v>17.383003839682701</v>
      </c>
      <c r="CB61" s="688">
        <v>11.7950653273586</v>
      </c>
      <c r="CC61" s="756">
        <v>10.3600924530421</v>
      </c>
      <c r="CD61" s="755">
        <f t="shared" si="32"/>
        <v>0</v>
      </c>
      <c r="CE61" s="688">
        <v>7.7212457311679499</v>
      </c>
      <c r="CF61" s="688">
        <v>9.0079669398661206</v>
      </c>
      <c r="CG61" s="688">
        <v>12.531851583217</v>
      </c>
      <c r="CH61" s="688">
        <v>10.499869312052001</v>
      </c>
      <c r="CI61" s="756">
        <v>9.6355215467831101</v>
      </c>
    </row>
    <row r="62" spans="1:87" ht="14.25" customHeight="1" x14ac:dyDescent="0.25">
      <c r="A62" s="9"/>
      <c r="B62" s="9"/>
      <c r="C62" s="9" t="s">
        <v>770</v>
      </c>
      <c r="D62" s="9"/>
      <c r="E62" s="651">
        <f t="shared" ref="E62:H62" si="38">AVERAGE(E66,E70)</f>
        <v>18.375615705208343</v>
      </c>
      <c r="F62" s="651">
        <f t="shared" si="38"/>
        <v>16.379830180926785</v>
      </c>
      <c r="G62" s="651">
        <f t="shared" si="38"/>
        <v>10.316037257276058</v>
      </c>
      <c r="H62" s="651">
        <f t="shared" si="38"/>
        <v>9.7916138824697967</v>
      </c>
      <c r="I62" s="64">
        <f>IF(I61+1=5,1,I61+1)</f>
        <v>2</v>
      </c>
      <c r="J62" s="3">
        <f t="shared" si="27"/>
        <v>2018</v>
      </c>
      <c r="K62" s="280" t="str">
        <f t="shared" si="18"/>
        <v>2Q18</v>
      </c>
      <c r="L62" s="755">
        <v>14.9843910045337</v>
      </c>
      <c r="M62" s="688">
        <v>42.731265026113</v>
      </c>
      <c r="N62" s="688">
        <v>42.960449803691802</v>
      </c>
      <c r="O62" s="688">
        <v>10.6151226803243</v>
      </c>
      <c r="P62" s="688">
        <v>14.909010679830899</v>
      </c>
      <c r="Q62" s="756"/>
      <c r="R62" s="755">
        <v>12.843993553389399</v>
      </c>
      <c r="S62" s="688">
        <v>26.089079402457902</v>
      </c>
      <c r="T62" s="688">
        <v>28.6423499836805</v>
      </c>
      <c r="U62" s="688">
        <v>8.7390204340782205</v>
      </c>
      <c r="V62" s="688">
        <v>11.1245866520372</v>
      </c>
      <c r="W62" s="756"/>
      <c r="X62" s="755">
        <v>9.3534379403322596</v>
      </c>
      <c r="Y62" s="688">
        <v>26.704136166003501</v>
      </c>
      <c r="Z62" s="688">
        <v>28.747972257189002</v>
      </c>
      <c r="AA62" s="688">
        <v>7.3414638162756898</v>
      </c>
      <c r="AB62" s="688"/>
      <c r="AC62" s="756"/>
      <c r="AD62" s="688"/>
      <c r="AE62" s="688">
        <v>23.2794906186252</v>
      </c>
      <c r="AF62" s="688">
        <v>25.5741178742432</v>
      </c>
      <c r="AG62" s="688"/>
      <c r="AH62" s="688"/>
      <c r="AI62" s="756"/>
      <c r="AJ62" s="9"/>
      <c r="AK62" s="280" t="str">
        <f t="shared" si="19"/>
        <v>2Q18</v>
      </c>
      <c r="AL62" s="755">
        <f t="shared" si="20"/>
        <v>14.9843910045337</v>
      </c>
      <c r="AM62" s="688">
        <v>18.277944487279001</v>
      </c>
      <c r="AN62" s="688">
        <v>16.381399653636301</v>
      </c>
      <c r="AO62" s="688">
        <v>17.773286649310901</v>
      </c>
      <c r="AP62" s="688">
        <v>15.9479768786127</v>
      </c>
      <c r="AQ62" s="756">
        <v>20.1666666666667</v>
      </c>
      <c r="AR62" s="755">
        <f t="shared" si="21"/>
        <v>12.843993553389399</v>
      </c>
      <c r="AS62" s="688">
        <v>18.242696233720501</v>
      </c>
      <c r="AT62" s="688">
        <v>17.050241446624899</v>
      </c>
      <c r="AU62" s="688">
        <v>16.5320018157059</v>
      </c>
      <c r="AV62" s="688">
        <v>15.619338768115901</v>
      </c>
      <c r="AW62" s="756">
        <v>11.7815789473684</v>
      </c>
      <c r="AX62" s="755">
        <f t="shared" si="22"/>
        <v>9.3534379403322596</v>
      </c>
      <c r="AY62" s="688">
        <v>10.9794454706282</v>
      </c>
      <c r="AZ62" s="688">
        <v>10.0118264817743</v>
      </c>
      <c r="BA62" s="688">
        <v>10.225250052137399</v>
      </c>
      <c r="BB62" s="688">
        <v>9.4047158300927691</v>
      </c>
      <c r="BC62" s="756">
        <v>8.4983885933869292</v>
      </c>
      <c r="BD62" s="755">
        <f t="shared" si="31"/>
        <v>0</v>
      </c>
      <c r="BE62" s="688">
        <v>10.5132240979169</v>
      </c>
      <c r="BF62" s="688">
        <v>10.299049845344101</v>
      </c>
      <c r="BG62" s="688">
        <v>10.320699660105101</v>
      </c>
      <c r="BH62" s="688">
        <v>9.3266401834669495</v>
      </c>
      <c r="BI62" s="756">
        <v>7.73541989514516</v>
      </c>
      <c r="BJ62" s="9"/>
      <c r="BK62" s="280" t="str">
        <f t="shared" si="23"/>
        <v>2Q18</v>
      </c>
      <c r="BL62" s="755">
        <f t="shared" si="24"/>
        <v>14.9843910045337</v>
      </c>
      <c r="BM62" s="688">
        <v>11.434005530167999</v>
      </c>
      <c r="BN62" s="688">
        <v>11.367127496159799</v>
      </c>
      <c r="BO62" s="688">
        <v>23.189227331859001</v>
      </c>
      <c r="BP62" s="688">
        <v>14.860151345119601</v>
      </c>
      <c r="BQ62" s="756">
        <v>13.777493251753199</v>
      </c>
      <c r="BR62" s="755">
        <f t="shared" si="25"/>
        <v>12.843993553389399</v>
      </c>
      <c r="BS62" s="688">
        <v>14.0498710232158</v>
      </c>
      <c r="BT62" s="688">
        <v>13.595443689142</v>
      </c>
      <c r="BU62" s="688">
        <v>18.6196315729647</v>
      </c>
      <c r="BV62" s="688">
        <v>14.765783907363801</v>
      </c>
      <c r="BW62" s="756">
        <v>14.327805506359701</v>
      </c>
      <c r="BX62" s="755">
        <f t="shared" si="26"/>
        <v>9.3534379403322596</v>
      </c>
      <c r="BY62" s="688">
        <v>5.4645320974003404</v>
      </c>
      <c r="BZ62" s="688">
        <v>3.97258403706561</v>
      </c>
      <c r="CA62" s="688">
        <v>17.696597926342399</v>
      </c>
      <c r="CB62" s="688">
        <v>10.3345445475001</v>
      </c>
      <c r="CC62" s="756">
        <v>8.8796425471765108</v>
      </c>
      <c r="CD62" s="755">
        <f t="shared" si="32"/>
        <v>0</v>
      </c>
      <c r="CE62" s="688">
        <v>6.6162899663212604</v>
      </c>
      <c r="CF62" s="688">
        <v>7.1279661477878502</v>
      </c>
      <c r="CG62" s="688">
        <v>9.5245217113368401</v>
      </c>
      <c r="CH62" s="688">
        <v>9.3224285404756806</v>
      </c>
      <c r="CI62" s="756">
        <v>8.6477165502680702</v>
      </c>
    </row>
    <row r="63" spans="1:87" ht="14.25" customHeight="1" x14ac:dyDescent="0.25">
      <c r="A63" s="9"/>
      <c r="B63" s="9"/>
      <c r="C63" s="9" t="s">
        <v>771</v>
      </c>
      <c r="D63" s="9"/>
      <c r="E63" s="651">
        <f>AVERAGE(AM8:AQ35)</f>
        <v>19.372174186392851</v>
      </c>
      <c r="F63" s="651">
        <f>AVERAGE(AS8:AW35)</f>
        <v>16.698670553729919</v>
      </c>
      <c r="G63" s="651">
        <f>AVERAGE(AY8:BC35)</f>
        <v>9.6234398026286101</v>
      </c>
      <c r="H63" s="651">
        <f>AVERAGE(BE8:BI35)</f>
        <v>8.299118515323439</v>
      </c>
      <c r="I63" s="64">
        <f>IF(I62=4,1,I62+1)</f>
        <v>3</v>
      </c>
      <c r="J63" s="3">
        <f t="shared" si="27"/>
        <v>2018</v>
      </c>
      <c r="K63" s="280" t="str">
        <f t="shared" si="18"/>
        <v>3Q18</v>
      </c>
      <c r="L63" s="755">
        <v>28.097625329815301</v>
      </c>
      <c r="M63" s="688">
        <v>48.4223145924447</v>
      </c>
      <c r="N63" s="688">
        <v>48.663880168938697</v>
      </c>
      <c r="O63" s="688">
        <v>9.5620899245407802</v>
      </c>
      <c r="P63" s="688">
        <v>15.2312006907763</v>
      </c>
      <c r="Q63" s="756"/>
      <c r="R63" s="755">
        <v>13.5710348626636</v>
      </c>
      <c r="S63" s="688">
        <v>28.169751316406899</v>
      </c>
      <c r="T63" s="688">
        <v>30.8210961351257</v>
      </c>
      <c r="U63" s="688">
        <v>8.4843338465546694</v>
      </c>
      <c r="V63" s="688">
        <v>11.5303510425504</v>
      </c>
      <c r="W63" s="756"/>
      <c r="X63" s="755">
        <v>10.113594501097401</v>
      </c>
      <c r="Y63" s="688">
        <v>29.929037559645</v>
      </c>
      <c r="Z63" s="688">
        <v>32.4329699487093</v>
      </c>
      <c r="AA63" s="688">
        <v>7.1209823349941201</v>
      </c>
      <c r="AB63" s="688"/>
      <c r="AC63" s="756"/>
      <c r="AD63" s="688"/>
      <c r="AE63" s="688">
        <v>21.4711723011253</v>
      </c>
      <c r="AF63" s="688">
        <v>23.5892643070943</v>
      </c>
      <c r="AG63" s="688"/>
      <c r="AH63" s="688"/>
      <c r="AI63" s="756"/>
      <c r="AJ63" s="9"/>
      <c r="AK63" s="280" t="str">
        <f t="shared" si="19"/>
        <v>3Q18</v>
      </c>
      <c r="AL63" s="755">
        <f t="shared" si="20"/>
        <v>28.097625329815301</v>
      </c>
      <c r="AM63" s="688">
        <v>19.615028752299001</v>
      </c>
      <c r="AN63" s="688">
        <v>18.761351357850401</v>
      </c>
      <c r="AO63" s="688">
        <v>20.3668719163684</v>
      </c>
      <c r="AP63" s="688">
        <v>14.749642641156701</v>
      </c>
      <c r="AQ63" s="756">
        <v>17.234896180103998</v>
      </c>
      <c r="AR63" s="755">
        <f t="shared" si="21"/>
        <v>13.5710348626636</v>
      </c>
      <c r="AS63" s="688">
        <v>19.113634363172299</v>
      </c>
      <c r="AT63" s="688">
        <v>19.1607469048102</v>
      </c>
      <c r="AU63" s="688">
        <v>18.625486090338001</v>
      </c>
      <c r="AV63" s="688">
        <v>15.184611983197</v>
      </c>
      <c r="AW63" s="756">
        <v>13.147368421052599</v>
      </c>
      <c r="AX63" s="755">
        <f t="shared" si="22"/>
        <v>10.113594501097401</v>
      </c>
      <c r="AY63" s="688">
        <v>13.2211502199879</v>
      </c>
      <c r="AZ63" s="688">
        <v>10.8983183864816</v>
      </c>
      <c r="BA63" s="688">
        <v>11.474224139550699</v>
      </c>
      <c r="BB63" s="688">
        <v>9.2205540111036992</v>
      </c>
      <c r="BC63" s="756">
        <v>9.3118232464059094</v>
      </c>
      <c r="BD63" s="755">
        <f t="shared" si="31"/>
        <v>0</v>
      </c>
      <c r="BE63" s="688">
        <v>11.1083674198787</v>
      </c>
      <c r="BF63" s="688">
        <v>10.8722348425467</v>
      </c>
      <c r="BG63" s="688">
        <v>10.7747774030119</v>
      </c>
      <c r="BH63" s="688">
        <v>9.1390090216859505</v>
      </c>
      <c r="BI63" s="756">
        <v>8.2823917207974294</v>
      </c>
      <c r="BJ63" s="9"/>
      <c r="BK63" s="280" t="str">
        <f t="shared" si="23"/>
        <v>3Q18</v>
      </c>
      <c r="BL63" s="755">
        <f t="shared" si="24"/>
        <v>28.097625329815301</v>
      </c>
      <c r="BM63" s="688">
        <v>13.047724606230799</v>
      </c>
      <c r="BN63" s="688">
        <v>13.0830374054452</v>
      </c>
      <c r="BO63" s="688">
        <v>30.398533533533499</v>
      </c>
      <c r="BP63" s="688">
        <v>15.1654976430214</v>
      </c>
      <c r="BQ63" s="756">
        <v>16.426796453234601</v>
      </c>
      <c r="BR63" s="755">
        <f t="shared" si="25"/>
        <v>13.5710348626636</v>
      </c>
      <c r="BS63" s="688">
        <v>14.8416684865691</v>
      </c>
      <c r="BT63" s="688">
        <v>18.0734597156398</v>
      </c>
      <c r="BU63" s="688">
        <v>23.157758012374298</v>
      </c>
      <c r="BV63" s="688">
        <v>16.1584549974664</v>
      </c>
      <c r="BW63" s="756">
        <v>15.3246131759451</v>
      </c>
      <c r="BX63" s="755">
        <f t="shared" si="26"/>
        <v>10.113594501097401</v>
      </c>
      <c r="BY63" s="688">
        <v>6.33942479775392</v>
      </c>
      <c r="BZ63" s="688">
        <v>5.3993013760985704</v>
      </c>
      <c r="CA63" s="688">
        <v>29.4939880182529</v>
      </c>
      <c r="CB63" s="688">
        <v>10.9915068013633</v>
      </c>
      <c r="CC63" s="756">
        <v>10.943205290701201</v>
      </c>
      <c r="CD63" s="755">
        <f t="shared" si="32"/>
        <v>0</v>
      </c>
      <c r="CE63" s="688">
        <v>7.1880837900999301</v>
      </c>
      <c r="CF63" s="688">
        <v>11.002715913029601</v>
      </c>
      <c r="CG63" s="688">
        <v>17.926023127558199</v>
      </c>
      <c r="CH63" s="688">
        <v>9.8729907958619005</v>
      </c>
      <c r="CI63" s="756">
        <v>9.0273841277273501</v>
      </c>
    </row>
    <row r="64" spans="1:87" ht="14.25" customHeight="1" x14ac:dyDescent="0.25">
      <c r="A64" s="9"/>
      <c r="B64" s="9"/>
      <c r="C64" s="9" t="s">
        <v>772</v>
      </c>
      <c r="D64" s="9"/>
      <c r="E64" s="651">
        <f>AVERAGE(AM8:AQ19)</f>
        <v>22.394953041679578</v>
      </c>
      <c r="F64" s="651">
        <f>AVERAGE(AS8:AW19)</f>
        <v>19.063007806196822</v>
      </c>
      <c r="G64" s="651">
        <f>AVERAGE(AY8:BC19)</f>
        <v>10.384988120065191</v>
      </c>
      <c r="H64" s="651" t="e">
        <f>AVERAGE(BE8:BI19)</f>
        <v>#DIV/0!</v>
      </c>
      <c r="I64" s="64">
        <f>I60</f>
        <v>4</v>
      </c>
      <c r="J64" s="3">
        <f t="shared" si="27"/>
        <v>2018</v>
      </c>
      <c r="K64" s="280" t="str">
        <f t="shared" si="18"/>
        <v>4Q18</v>
      </c>
      <c r="L64" s="755">
        <v>22.913461538461501</v>
      </c>
      <c r="M64" s="688">
        <v>31.656784218730799</v>
      </c>
      <c r="N64" s="688">
        <v>41.240020636405802</v>
      </c>
      <c r="O64" s="688">
        <v>7.0692527718456901</v>
      </c>
      <c r="P64" s="688">
        <v>12.089680611741301</v>
      </c>
      <c r="Q64" s="756"/>
      <c r="R64" s="755">
        <v>11.726964194807399</v>
      </c>
      <c r="S64" s="688">
        <v>23.805498480311201</v>
      </c>
      <c r="T64" s="688">
        <v>25.054784514244002</v>
      </c>
      <c r="U64" s="688">
        <v>6.6383165574545702</v>
      </c>
      <c r="V64" s="688">
        <v>9.7053852526926292</v>
      </c>
      <c r="W64" s="756"/>
      <c r="X64" s="755">
        <v>8.9347284691195803</v>
      </c>
      <c r="Y64" s="688">
        <v>22.967288581161501</v>
      </c>
      <c r="Z64" s="688">
        <v>27.285160098561899</v>
      </c>
      <c r="AA64" s="688">
        <v>6.1093638409499196</v>
      </c>
      <c r="AB64" s="688"/>
      <c r="AC64" s="756"/>
      <c r="AD64" s="688"/>
      <c r="AE64" s="688">
        <v>26.9267586982876</v>
      </c>
      <c r="AF64" s="688">
        <v>29.543216030700702</v>
      </c>
      <c r="AG64" s="688"/>
      <c r="AH64" s="688"/>
      <c r="AI64" s="756"/>
      <c r="AJ64" s="9"/>
      <c r="AK64" s="280" t="str">
        <f t="shared" si="19"/>
        <v>4Q18</v>
      </c>
      <c r="AL64" s="755">
        <f t="shared" si="20"/>
        <v>22.913461538461501</v>
      </c>
      <c r="AM64" s="688">
        <v>19.997181435645999</v>
      </c>
      <c r="AN64" s="688">
        <v>18.5234169124132</v>
      </c>
      <c r="AO64" s="688">
        <v>20.0561270625894</v>
      </c>
      <c r="AP64" s="688">
        <v>14.106439675078301</v>
      </c>
      <c r="AQ64" s="756">
        <v>17.559171648664801</v>
      </c>
      <c r="AR64" s="755">
        <f t="shared" si="21"/>
        <v>11.726964194807399</v>
      </c>
      <c r="AS64" s="688">
        <v>18.771186440678001</v>
      </c>
      <c r="AT64" s="688">
        <v>19.371574001566199</v>
      </c>
      <c r="AU64" s="688">
        <v>17.428936895963599</v>
      </c>
      <c r="AV64" s="688">
        <v>14.0337570772353</v>
      </c>
      <c r="AW64" s="756">
        <v>13.0179028132992</v>
      </c>
      <c r="AX64" s="755">
        <f t="shared" si="22"/>
        <v>8.9347284691195803</v>
      </c>
      <c r="AY64" s="688">
        <v>13.616533231839</v>
      </c>
      <c r="AZ64" s="688">
        <v>11.671039259236499</v>
      </c>
      <c r="BA64" s="688">
        <v>11.237328099240401</v>
      </c>
      <c r="BB64" s="688">
        <v>8.5636391786993808</v>
      </c>
      <c r="BC64" s="756">
        <v>9.4807678314934005</v>
      </c>
      <c r="BD64" s="755">
        <f t="shared" si="31"/>
        <v>0</v>
      </c>
      <c r="BE64" s="688">
        <v>11.355119303791399</v>
      </c>
      <c r="BF64" s="688">
        <v>11.846434747342601</v>
      </c>
      <c r="BG64" s="688">
        <v>10.611930261701501</v>
      </c>
      <c r="BH64" s="688">
        <v>8.6543815287443895</v>
      </c>
      <c r="BI64" s="756">
        <v>8.2379108421674392</v>
      </c>
      <c r="BJ64" s="9"/>
      <c r="BK64" s="280" t="str">
        <f t="shared" si="23"/>
        <v>4Q18</v>
      </c>
      <c r="BL64" s="755">
        <f t="shared" si="24"/>
        <v>22.913461538461501</v>
      </c>
      <c r="BM64" s="688">
        <v>19.384227863700598</v>
      </c>
      <c r="BN64" s="688">
        <v>13.908477197883499</v>
      </c>
      <c r="BO64" s="688">
        <v>33.2283092526121</v>
      </c>
      <c r="BP64" s="688">
        <v>16.0444901612988</v>
      </c>
      <c r="BQ64" s="756">
        <v>17.191582410452199</v>
      </c>
      <c r="BR64" s="755">
        <f t="shared" si="25"/>
        <v>11.726964194807399</v>
      </c>
      <c r="BS64" s="688">
        <v>20.975609756097601</v>
      </c>
      <c r="BT64" s="688">
        <v>18.8101636941119</v>
      </c>
      <c r="BU64" s="688">
        <v>20.277493036496299</v>
      </c>
      <c r="BV64" s="688">
        <v>16.155061799158801</v>
      </c>
      <c r="BW64" s="756">
        <v>15.4</v>
      </c>
      <c r="BX64" s="755">
        <f t="shared" si="26"/>
        <v>8.9347284691195803</v>
      </c>
      <c r="BY64" s="688">
        <v>8.8108588558203795</v>
      </c>
      <c r="BZ64" s="688">
        <v>5.7308744067364401</v>
      </c>
      <c r="CA64" s="688">
        <v>31.517612592006198</v>
      </c>
      <c r="CB64" s="688">
        <v>11.8960133684471</v>
      </c>
      <c r="CC64" s="756">
        <v>11.3467411692216</v>
      </c>
      <c r="CD64" s="755">
        <f t="shared" si="32"/>
        <v>0</v>
      </c>
      <c r="CE64" s="688">
        <v>8.6006847953429606</v>
      </c>
      <c r="CF64" s="688">
        <v>11.055244811169899</v>
      </c>
      <c r="CG64" s="688">
        <v>18.195775926978001</v>
      </c>
      <c r="CH64" s="688">
        <v>10.898807331445401</v>
      </c>
      <c r="CI64" s="756">
        <v>9.3971229634638203</v>
      </c>
    </row>
    <row r="65" spans="1:87" ht="14.25" customHeight="1" x14ac:dyDescent="0.25">
      <c r="A65" s="9"/>
      <c r="B65" s="9"/>
      <c r="C65" s="9" t="s">
        <v>773</v>
      </c>
      <c r="D65" s="9"/>
      <c r="E65" s="651">
        <f>AVERAGE(AM16:AQ27)</f>
        <v>19.262472338714346</v>
      </c>
      <c r="F65" s="651">
        <f>AVERAGE(AS16:AW27)</f>
        <v>17.294949146403418</v>
      </c>
      <c r="G65" s="651">
        <f>AVERAGE(AY16:BC27)</f>
        <v>9.8177655309079377</v>
      </c>
      <c r="H65" s="651">
        <f>AVERAGE(BE16:BI27)</f>
        <v>8.656236152701716</v>
      </c>
      <c r="I65" s="64">
        <f>IF(I64=4,1,I64+1)</f>
        <v>1</v>
      </c>
      <c r="J65" s="3">
        <f t="shared" si="27"/>
        <v>2019</v>
      </c>
      <c r="K65" s="280" t="str">
        <f t="shared" si="18"/>
        <v>1Q19</v>
      </c>
      <c r="L65" s="755">
        <v>14.9060685837353</v>
      </c>
      <c r="M65" s="688">
        <v>37.475163916352599</v>
      </c>
      <c r="N65" s="688">
        <v>36.272647681439103</v>
      </c>
      <c r="O65" s="688">
        <v>7.6890488047054104</v>
      </c>
      <c r="P65" s="688">
        <v>11.22699411678</v>
      </c>
      <c r="Q65" s="756"/>
      <c r="R65" s="755">
        <v>13.0590798756587</v>
      </c>
      <c r="S65" s="688">
        <v>27.172164956560099</v>
      </c>
      <c r="T65" s="688">
        <v>29.740551724015599</v>
      </c>
      <c r="U65" s="688">
        <v>7.2488368597417896</v>
      </c>
      <c r="V65" s="688">
        <v>10.1205716027369</v>
      </c>
      <c r="W65" s="756"/>
      <c r="X65" s="755">
        <v>10.1758476050332</v>
      </c>
      <c r="Y65" s="688">
        <v>25.446693131601599</v>
      </c>
      <c r="Z65" s="688">
        <v>27.015479236847401</v>
      </c>
      <c r="AA65" s="688">
        <v>6.6736914785561199</v>
      </c>
      <c r="AB65" s="688"/>
      <c r="AC65" s="756"/>
      <c r="AD65" s="688"/>
      <c r="AE65" s="688">
        <v>27.046110818577802</v>
      </c>
      <c r="AF65" s="688">
        <v>31.350709025655799</v>
      </c>
      <c r="AG65" s="688"/>
      <c r="AH65" s="688"/>
      <c r="AI65" s="756"/>
      <c r="AJ65" s="9"/>
      <c r="AK65" s="280" t="str">
        <f t="shared" si="19"/>
        <v>1Q19</v>
      </c>
      <c r="AL65" s="755">
        <f t="shared" si="20"/>
        <v>14.9060685837353</v>
      </c>
      <c r="AM65" s="688">
        <v>22.475329167076101</v>
      </c>
      <c r="AN65" s="688">
        <v>20.593353168224599</v>
      </c>
      <c r="AO65" s="688">
        <v>22.034457060929199</v>
      </c>
      <c r="AP65" s="688">
        <v>15.0484698200582</v>
      </c>
      <c r="AQ65" s="756">
        <v>17.710061951419</v>
      </c>
      <c r="AR65" s="755">
        <f t="shared" si="21"/>
        <v>13.0590798756587</v>
      </c>
      <c r="AS65" s="688">
        <v>20.958533907609201</v>
      </c>
      <c r="AT65" s="688">
        <v>20.7874310296456</v>
      </c>
      <c r="AU65" s="688">
        <v>19.019306099608301</v>
      </c>
      <c r="AV65" s="688">
        <v>14.6337362059905</v>
      </c>
      <c r="AW65" s="756">
        <v>13.4704370179949</v>
      </c>
      <c r="AX65" s="755">
        <f t="shared" si="22"/>
        <v>10.1758476050332</v>
      </c>
      <c r="AY65" s="688">
        <v>14.964076135473301</v>
      </c>
      <c r="AZ65" s="688">
        <v>13.0378810681472</v>
      </c>
      <c r="BA65" s="688">
        <v>13.237373175453</v>
      </c>
      <c r="BB65" s="688">
        <v>9.4429334346529998</v>
      </c>
      <c r="BC65" s="756">
        <v>9.6626506732740101</v>
      </c>
      <c r="BD65" s="755">
        <f t="shared" si="31"/>
        <v>0</v>
      </c>
      <c r="BE65" s="688">
        <v>12.700347002688099</v>
      </c>
      <c r="BF65" s="688">
        <v>13.273740829749199</v>
      </c>
      <c r="BG65" s="688">
        <v>11.9112839944216</v>
      </c>
      <c r="BH65" s="688">
        <v>9.2980473345789996</v>
      </c>
      <c r="BI65" s="756">
        <v>8.6781159357397808</v>
      </c>
      <c r="BJ65" s="9"/>
      <c r="BK65" s="280" t="str">
        <f t="shared" si="23"/>
        <v>1Q19</v>
      </c>
      <c r="BL65" s="755">
        <f t="shared" si="24"/>
        <v>14.9060685837353</v>
      </c>
      <c r="BM65" s="688">
        <v>20.835102571861299</v>
      </c>
      <c r="BN65" s="688">
        <v>15.761428299699</v>
      </c>
      <c r="BO65" s="688">
        <v>32.483285140441502</v>
      </c>
      <c r="BP65" s="688">
        <v>16.165528201573299</v>
      </c>
      <c r="BQ65" s="756">
        <v>17.8036123538146</v>
      </c>
      <c r="BR65" s="755">
        <f t="shared" si="25"/>
        <v>13.0590798756587</v>
      </c>
      <c r="BS65" s="688">
        <v>21.336898395721899</v>
      </c>
      <c r="BT65" s="688">
        <v>20.8168507577704</v>
      </c>
      <c r="BU65" s="688">
        <v>20.106441243853801</v>
      </c>
      <c r="BV65" s="688">
        <v>16.634658775064899</v>
      </c>
      <c r="BW65" s="756">
        <v>15.6780308821281</v>
      </c>
      <c r="BX65" s="755">
        <f t="shared" si="26"/>
        <v>10.1758476050332</v>
      </c>
      <c r="BY65" s="688">
        <v>9.5962061947483903</v>
      </c>
      <c r="BZ65" s="688">
        <v>5.11271417938661</v>
      </c>
      <c r="CA65" s="688">
        <v>26.051184266846999</v>
      </c>
      <c r="CB65" s="688">
        <v>12.257617505758001</v>
      </c>
      <c r="CC65" s="756">
        <v>11.6439186851917</v>
      </c>
      <c r="CD65" s="755">
        <f t="shared" si="32"/>
        <v>0</v>
      </c>
      <c r="CE65" s="688">
        <v>9.4467034692216405</v>
      </c>
      <c r="CF65" s="688">
        <v>9.3415389650446894</v>
      </c>
      <c r="CG65" s="688">
        <v>17.722520144499502</v>
      </c>
      <c r="CH65" s="688">
        <v>11.4820845836601</v>
      </c>
      <c r="CI65" s="756">
        <v>9.5855066578281196</v>
      </c>
    </row>
    <row r="66" spans="1:87" ht="14.25" customHeight="1" x14ac:dyDescent="0.25">
      <c r="A66" s="9"/>
      <c r="B66" s="9"/>
      <c r="C66" s="9" t="s">
        <v>774</v>
      </c>
      <c r="D66" s="9"/>
      <c r="E66" s="651">
        <f>AVERAGE(AM24:AQ35)</f>
        <v>17.224511078395345</v>
      </c>
      <c r="F66" s="651">
        <f>AVERAGE(AS24:AW35)</f>
        <v>14.896640295870613</v>
      </c>
      <c r="G66" s="651">
        <f>AVERAGE(AY24:BC35)</f>
        <v>8.9307838896084188</v>
      </c>
      <c r="H66" s="651">
        <f>AVERAGE(BE24:BI35)</f>
        <v>8.2881320038219322</v>
      </c>
      <c r="I66" s="64">
        <f>IF(I65+1=5,1,I65+1)</f>
        <v>2</v>
      </c>
      <c r="J66" s="3">
        <f t="shared" si="27"/>
        <v>2019</v>
      </c>
      <c r="K66" s="280" t="str">
        <f t="shared" si="18"/>
        <v>2Q19</v>
      </c>
      <c r="L66" s="755">
        <v>14.300012974736299</v>
      </c>
      <c r="M66" s="688">
        <v>41.640403980299602</v>
      </c>
      <c r="N66" s="688">
        <v>40.752616229225303</v>
      </c>
      <c r="O66" s="688">
        <v>7.8926371715376904</v>
      </c>
      <c r="P66" s="688">
        <v>12.0981739765031</v>
      </c>
      <c r="Q66" s="756"/>
      <c r="R66" s="755">
        <v>14.45456463711</v>
      </c>
      <c r="S66" s="688">
        <v>28.860062981774099</v>
      </c>
      <c r="T66" s="688">
        <v>31.7582730751373</v>
      </c>
      <c r="U66" s="688">
        <v>7.8124758558055696</v>
      </c>
      <c r="V66" s="688">
        <v>10.748913023046301</v>
      </c>
      <c r="W66" s="756"/>
      <c r="X66" s="755">
        <v>10.2791917863842</v>
      </c>
      <c r="Y66" s="688">
        <v>28.053011830842799</v>
      </c>
      <c r="Z66" s="688">
        <v>30.2453703328008</v>
      </c>
      <c r="AA66" s="688">
        <v>5.65093787408723</v>
      </c>
      <c r="AB66" s="688"/>
      <c r="AC66" s="756"/>
      <c r="AD66" s="688">
        <v>13.057613749901</v>
      </c>
      <c r="AE66" s="688">
        <v>32.287200279868102</v>
      </c>
      <c r="AF66" s="688">
        <v>33.070540979583903</v>
      </c>
      <c r="AG66" s="688">
        <v>6.1204612133267</v>
      </c>
      <c r="AH66" s="688"/>
      <c r="AI66" s="756"/>
      <c r="AJ66" s="9"/>
      <c r="AK66" s="280" t="str">
        <f t="shared" si="19"/>
        <v>2Q19</v>
      </c>
      <c r="AL66" s="755">
        <f t="shared" si="20"/>
        <v>14.300012974736299</v>
      </c>
      <c r="AM66" s="688">
        <v>20.218534252416902</v>
      </c>
      <c r="AN66" s="688">
        <v>18.7777991734784</v>
      </c>
      <c r="AO66" s="688">
        <v>19.449682429963001</v>
      </c>
      <c r="AP66" s="688">
        <v>16.572022290843901</v>
      </c>
      <c r="AQ66" s="756">
        <v>17.710061951419</v>
      </c>
      <c r="AR66" s="755">
        <f t="shared" si="21"/>
        <v>14.45456463711</v>
      </c>
      <c r="AS66" s="688">
        <v>19.8855246785566</v>
      </c>
      <c r="AT66" s="688">
        <v>19.339238904456298</v>
      </c>
      <c r="AU66" s="688">
        <v>18.3909754120508</v>
      </c>
      <c r="AV66" s="688">
        <v>15.9416418370492</v>
      </c>
      <c r="AW66" s="756">
        <v>13.3333333333333</v>
      </c>
      <c r="AX66" s="755">
        <f t="shared" si="22"/>
        <v>10.2791917863842</v>
      </c>
      <c r="AY66" s="688">
        <v>13.1266307559514</v>
      </c>
      <c r="AZ66" s="688">
        <v>12.3867992139277</v>
      </c>
      <c r="BA66" s="688">
        <v>11.466262650738599</v>
      </c>
      <c r="BB66" s="688">
        <v>10.687788081140001</v>
      </c>
      <c r="BC66" s="756">
        <v>9.6667809175315593</v>
      </c>
      <c r="BD66" s="755">
        <f t="shared" si="31"/>
        <v>13.057613749901</v>
      </c>
      <c r="BE66" s="688">
        <v>12.4195386896497</v>
      </c>
      <c r="BF66" s="688">
        <v>12.663318332875701</v>
      </c>
      <c r="BG66" s="688">
        <v>11.541856278119299</v>
      </c>
      <c r="BH66" s="688">
        <v>10.2055491446263</v>
      </c>
      <c r="BI66" s="756">
        <v>8.5830829229704602</v>
      </c>
      <c r="BJ66" s="9"/>
      <c r="BK66" s="280" t="str">
        <f t="shared" si="23"/>
        <v>2Q19</v>
      </c>
      <c r="BL66" s="755">
        <f t="shared" si="24"/>
        <v>14.300012974736299</v>
      </c>
      <c r="BM66" s="688">
        <v>25.815956686658499</v>
      </c>
      <c r="BN66" s="688">
        <v>17.0264463502361</v>
      </c>
      <c r="BO66" s="688">
        <v>29.025166871739799</v>
      </c>
      <c r="BP66" s="688">
        <v>16.2119049357539</v>
      </c>
      <c r="BQ66" s="756">
        <v>17.3509445420435</v>
      </c>
      <c r="BR66" s="755">
        <f t="shared" si="25"/>
        <v>14.45456463711</v>
      </c>
      <c r="BS66" s="688">
        <v>25.175836642087301</v>
      </c>
      <c r="BT66" s="688">
        <v>19.871944121071</v>
      </c>
      <c r="BU66" s="688">
        <v>18.931028236702101</v>
      </c>
      <c r="BV66" s="688">
        <v>16.638279736708501</v>
      </c>
      <c r="BW66" s="756">
        <v>15.468940316687</v>
      </c>
      <c r="BX66" s="755">
        <f t="shared" si="26"/>
        <v>10.2791917863842</v>
      </c>
      <c r="BY66" s="688">
        <v>12.1990038422253</v>
      </c>
      <c r="BZ66" s="688">
        <v>5.0333249197971401</v>
      </c>
      <c r="CA66" s="688">
        <v>24.0965972999172</v>
      </c>
      <c r="CB66" s="688">
        <v>12.327696931207401</v>
      </c>
      <c r="CC66" s="756">
        <v>11.5890282932563</v>
      </c>
      <c r="CD66" s="755">
        <f t="shared" si="32"/>
        <v>13.057613749901</v>
      </c>
      <c r="CE66" s="688">
        <v>10.9486870372588</v>
      </c>
      <c r="CF66" s="688">
        <v>8.4251849217201293</v>
      </c>
      <c r="CG66" s="688">
        <v>16.1964084418045</v>
      </c>
      <c r="CH66" s="688">
        <v>11.286621192426299</v>
      </c>
      <c r="CI66" s="756">
        <v>9.3998419809461708</v>
      </c>
    </row>
    <row r="67" spans="1:87" ht="14.25" customHeight="1" x14ac:dyDescent="0.25">
      <c r="A67" s="9"/>
      <c r="B67" s="9"/>
      <c r="C67" s="9" t="s">
        <v>775</v>
      </c>
      <c r="D67" s="9"/>
      <c r="E67" s="651">
        <f>AVERAGE(AM36:AQ75)</f>
        <v>16.187707655771675</v>
      </c>
      <c r="F67" s="651">
        <f>AVERAGE(AS36:AW75)</f>
        <v>13.567451413503498</v>
      </c>
      <c r="G67" s="651">
        <f>AVERAGE(AY36:BC75)</f>
        <v>8.6942664150866467</v>
      </c>
      <c r="H67" s="651">
        <f>AVERAGE(BE36:BI75)</f>
        <v>8.2278336539548018</v>
      </c>
      <c r="I67" s="64">
        <f>IF(I66=4,1,I66+1)</f>
        <v>3</v>
      </c>
      <c r="J67" s="3">
        <f t="shared" si="27"/>
        <v>2019</v>
      </c>
      <c r="K67" s="280" t="str">
        <f t="shared" si="18"/>
        <v>3Q19</v>
      </c>
      <c r="L67" s="755">
        <v>14.6567534076828</v>
      </c>
      <c r="M67" s="688">
        <v>41.270906877852703</v>
      </c>
      <c r="N67" s="688">
        <v>41.837175327451298</v>
      </c>
      <c r="O67" s="688">
        <v>7.7538803492229098</v>
      </c>
      <c r="P67" s="688">
        <v>12.320745144931299</v>
      </c>
      <c r="Q67" s="756"/>
      <c r="R67" s="755">
        <v>13.487598105195801</v>
      </c>
      <c r="S67" s="688">
        <v>27.462222222222199</v>
      </c>
      <c r="T67" s="688">
        <v>31.321623450908099</v>
      </c>
      <c r="U67" s="688">
        <v>7.7429954991771597</v>
      </c>
      <c r="V67" s="688">
        <v>11.297854311337</v>
      </c>
      <c r="W67" s="756"/>
      <c r="X67" s="755">
        <v>10.1891251247865</v>
      </c>
      <c r="Y67" s="688">
        <v>27.660149825946</v>
      </c>
      <c r="Z67" s="688">
        <v>30.846083487787801</v>
      </c>
      <c r="AA67" s="688">
        <v>5.5230166484174799</v>
      </c>
      <c r="AB67" s="688"/>
      <c r="AC67" s="756"/>
      <c r="AD67" s="688">
        <v>15.724978653756001</v>
      </c>
      <c r="AE67" s="688">
        <v>26.640002846754602</v>
      </c>
      <c r="AF67" s="688">
        <v>31.131835493001301</v>
      </c>
      <c r="AG67" s="688">
        <v>6.7245997497494896</v>
      </c>
      <c r="AH67" s="688"/>
      <c r="AI67" s="756"/>
      <c r="AJ67" s="9"/>
      <c r="AK67" s="280" t="str">
        <f t="shared" si="19"/>
        <v>3Q19</v>
      </c>
      <c r="AL67" s="755">
        <f t="shared" si="20"/>
        <v>14.6567534076828</v>
      </c>
      <c r="AM67" s="688">
        <v>20.668809737379402</v>
      </c>
      <c r="AN67" s="688">
        <v>15.9005325905884</v>
      </c>
      <c r="AO67" s="688">
        <v>20.3173920023305</v>
      </c>
      <c r="AP67" s="688">
        <v>20.006952491309399</v>
      </c>
      <c r="AQ67" s="756">
        <v>20.5307092900158</v>
      </c>
      <c r="AR67" s="755">
        <f t="shared" si="21"/>
        <v>13.487598105195801</v>
      </c>
      <c r="AS67" s="688">
        <v>20.4015998693984</v>
      </c>
      <c r="AT67" s="688">
        <v>19.895637296834899</v>
      </c>
      <c r="AU67" s="688">
        <v>19.111709286675602</v>
      </c>
      <c r="AV67" s="688">
        <v>17.639967306906399</v>
      </c>
      <c r="AW67" s="756">
        <v>14.750623441396501</v>
      </c>
      <c r="AX67" s="755">
        <f t="shared" si="22"/>
        <v>10.1891251247865</v>
      </c>
      <c r="AY67" s="688">
        <v>12.074723405307701</v>
      </c>
      <c r="AZ67" s="688">
        <v>12.195018424916301</v>
      </c>
      <c r="BA67" s="688">
        <v>11.569258386006201</v>
      </c>
      <c r="BB67" s="688">
        <v>12.928671491471199</v>
      </c>
      <c r="BC67" s="756">
        <v>10.222826802459499</v>
      </c>
      <c r="BD67" s="755">
        <f t="shared" si="31"/>
        <v>15.724978653756001</v>
      </c>
      <c r="BE67" s="688">
        <v>11.8871481239925</v>
      </c>
      <c r="BF67" s="688">
        <v>11.964258549333101</v>
      </c>
      <c r="BG67" s="688">
        <v>11.817655580723001</v>
      </c>
      <c r="BH67" s="688">
        <v>11.2019939501488</v>
      </c>
      <c r="BI67" s="756">
        <v>8.8425288587657693</v>
      </c>
      <c r="BJ67" s="9"/>
      <c r="BK67" s="280" t="str">
        <f t="shared" si="23"/>
        <v>3Q19</v>
      </c>
      <c r="BL67" s="755">
        <f t="shared" si="24"/>
        <v>14.6567534076828</v>
      </c>
      <c r="BM67" s="688">
        <v>28.066034167082801</v>
      </c>
      <c r="BN67" s="688">
        <v>21.307420333945799</v>
      </c>
      <c r="BO67" s="688">
        <v>26.889103128374899</v>
      </c>
      <c r="BP67" s="688">
        <v>16.423273947979698</v>
      </c>
      <c r="BQ67" s="756">
        <v>17.1725751374574</v>
      </c>
      <c r="BR67" s="755">
        <f t="shared" si="25"/>
        <v>13.487598105195801</v>
      </c>
      <c r="BS67" s="688">
        <v>28.456581773550202</v>
      </c>
      <c r="BT67" s="688">
        <v>23.082437275985701</v>
      </c>
      <c r="BU67" s="688">
        <v>20.345307595445401</v>
      </c>
      <c r="BV67" s="688">
        <v>16.801093827897802</v>
      </c>
      <c r="BW67" s="756">
        <v>16.611607819366601</v>
      </c>
      <c r="BX67" s="755">
        <f t="shared" si="26"/>
        <v>10.1891251247865</v>
      </c>
      <c r="BY67" s="688">
        <v>13.7639728827608</v>
      </c>
      <c r="BZ67" s="688">
        <v>7.5504903192001098</v>
      </c>
      <c r="CA67" s="688">
        <v>23.121079340232299</v>
      </c>
      <c r="CB67" s="688">
        <v>12.2357248665092</v>
      </c>
      <c r="CC67" s="756">
        <v>10.7451877747124</v>
      </c>
      <c r="CD67" s="755">
        <f t="shared" si="32"/>
        <v>15.724978653756001</v>
      </c>
      <c r="CE67" s="688">
        <v>11.1463692074734</v>
      </c>
      <c r="CF67" s="688">
        <v>12.6304413193167</v>
      </c>
      <c r="CG67" s="688">
        <v>16.374575188527999</v>
      </c>
      <c r="CH67" s="688">
        <v>10.8915082737996</v>
      </c>
      <c r="CI67" s="756">
        <v>10.199528117422799</v>
      </c>
    </row>
    <row r="68" spans="1:87" ht="14.25" customHeight="1" x14ac:dyDescent="0.25">
      <c r="A68" s="9"/>
      <c r="B68" s="9"/>
      <c r="C68" s="9" t="s">
        <v>776</v>
      </c>
      <c r="D68" s="9"/>
      <c r="E68" s="651">
        <f>AVERAGE(AM36:AQ51)</f>
        <v>10.627759634939974</v>
      </c>
      <c r="F68" s="651">
        <f>AVERAGE(AS36:AW51)</f>
        <v>9.4357996494058476</v>
      </c>
      <c r="G68" s="651">
        <f>AVERAGE(AY36:BC51)</f>
        <v>5.6313878399053614</v>
      </c>
      <c r="H68" s="651">
        <f>AVERAGE(BE36:BI51)</f>
        <v>5.4314602700251715</v>
      </c>
      <c r="I68" s="64">
        <f>I64</f>
        <v>4</v>
      </c>
      <c r="J68" s="3">
        <f t="shared" si="27"/>
        <v>2019</v>
      </c>
      <c r="K68" s="280" t="str">
        <f t="shared" si="18"/>
        <v>4Q19</v>
      </c>
      <c r="L68" s="755">
        <v>14.6804245283019</v>
      </c>
      <c r="M68" s="688">
        <v>38.424768536269902</v>
      </c>
      <c r="N68" s="688">
        <v>45.999787093654298</v>
      </c>
      <c r="O68" s="688">
        <v>9.3638445501714997</v>
      </c>
      <c r="P68" s="688">
        <v>13.767093565078801</v>
      </c>
      <c r="Q68" s="756"/>
      <c r="R68" s="755">
        <v>13.8334518623878</v>
      </c>
      <c r="S68" s="688">
        <v>29.008616395751002</v>
      </c>
      <c r="T68" s="688">
        <v>33</v>
      </c>
      <c r="U68" s="688">
        <v>8.6378001605722208</v>
      </c>
      <c r="V68" s="688">
        <v>13.1100340013022</v>
      </c>
      <c r="W68" s="756"/>
      <c r="X68" s="755">
        <v>10.550865940896699</v>
      </c>
      <c r="Y68" s="688">
        <v>26.907066270476498</v>
      </c>
      <c r="Z68" s="688">
        <v>33.745248629255798</v>
      </c>
      <c r="AA68" s="688">
        <v>5.6682881564608696</v>
      </c>
      <c r="AB68" s="688"/>
      <c r="AC68" s="756"/>
      <c r="AD68" s="688">
        <v>14.8218649967116</v>
      </c>
      <c r="AE68" s="688">
        <v>27.448445316168598</v>
      </c>
      <c r="AF68" s="688">
        <v>30.494958849569901</v>
      </c>
      <c r="AG68" s="688">
        <v>5.3891358092380903</v>
      </c>
      <c r="AH68" s="688"/>
      <c r="AI68" s="756"/>
      <c r="AJ68" s="9"/>
      <c r="AK68" s="280" t="str">
        <f t="shared" si="19"/>
        <v>4Q19</v>
      </c>
      <c r="AL68" s="755">
        <f t="shared" si="20"/>
        <v>14.6804245283019</v>
      </c>
      <c r="AM68" s="688">
        <v>21.591940880684898</v>
      </c>
      <c r="AN68" s="688">
        <v>16.3220713054363</v>
      </c>
      <c r="AO68" s="688">
        <v>20.9216903189234</v>
      </c>
      <c r="AP68" s="688">
        <v>20.7308970099668</v>
      </c>
      <c r="AQ68" s="756">
        <v>22.300897242324801</v>
      </c>
      <c r="AR68" s="755">
        <f t="shared" si="21"/>
        <v>13.8334518623878</v>
      </c>
      <c r="AS68" s="688">
        <v>21.109095211800899</v>
      </c>
      <c r="AT68" s="688">
        <v>20.016832183134198</v>
      </c>
      <c r="AU68" s="688">
        <v>20.596974608319801</v>
      </c>
      <c r="AV68" s="688">
        <v>19.1940941248847</v>
      </c>
      <c r="AW68" s="756">
        <v>14.7025171624714</v>
      </c>
      <c r="AX68" s="755">
        <f t="shared" si="22"/>
        <v>10.550865940896699</v>
      </c>
      <c r="AY68" s="688">
        <v>12.2299186581744</v>
      </c>
      <c r="AZ68" s="688">
        <v>12.2332703953318</v>
      </c>
      <c r="BA68" s="688">
        <v>11.5069141760127</v>
      </c>
      <c r="BB68" s="688">
        <v>13.594794257068299</v>
      </c>
      <c r="BC68" s="756">
        <v>11.0410116059098</v>
      </c>
      <c r="BD68" s="755">
        <f t="shared" si="31"/>
        <v>14.8218649967116</v>
      </c>
      <c r="BE68" s="688">
        <v>12.6639328350543</v>
      </c>
      <c r="BF68" s="688">
        <v>12.5960409466614</v>
      </c>
      <c r="BG68" s="688">
        <v>12.3328687695918</v>
      </c>
      <c r="BH68" s="688">
        <v>12.4744740331326</v>
      </c>
      <c r="BI68" s="756">
        <v>9.4987184392038593</v>
      </c>
      <c r="BJ68" s="9"/>
      <c r="BK68" s="280" t="str">
        <f t="shared" si="23"/>
        <v>4Q19</v>
      </c>
      <c r="BL68" s="755">
        <f t="shared" si="24"/>
        <v>14.6804245283019</v>
      </c>
      <c r="BM68" s="688">
        <v>23.6974210277568</v>
      </c>
      <c r="BN68" s="688">
        <v>23.589525782489201</v>
      </c>
      <c r="BO68" s="688">
        <v>25.791558894553301</v>
      </c>
      <c r="BP68" s="688">
        <v>17.307023437642702</v>
      </c>
      <c r="BQ68" s="756">
        <v>17.537528451010001</v>
      </c>
      <c r="BR68" s="755">
        <f t="shared" si="25"/>
        <v>13.8334518623878</v>
      </c>
      <c r="BS68" s="688">
        <v>29.616858237547898</v>
      </c>
      <c r="BT68" s="688">
        <v>22.745507730881702</v>
      </c>
      <c r="BU68" s="688">
        <v>17.6495944054221</v>
      </c>
      <c r="BV68" s="688">
        <v>16.987359911395298</v>
      </c>
      <c r="BW68" s="756">
        <v>17.128682643871201</v>
      </c>
      <c r="BX68" s="755">
        <f t="shared" si="26"/>
        <v>10.550865940896699</v>
      </c>
      <c r="BY68" s="688">
        <v>13.8194579192422</v>
      </c>
      <c r="BZ68" s="688">
        <v>7.9942188901472404</v>
      </c>
      <c r="CA68" s="688">
        <v>22.026197427592699</v>
      </c>
      <c r="CB68" s="688">
        <v>13.3849672643896</v>
      </c>
      <c r="CC68" s="756">
        <v>10.5374575768322</v>
      </c>
      <c r="CD68" s="755">
        <f t="shared" si="32"/>
        <v>14.8218649967116</v>
      </c>
      <c r="CE68" s="688">
        <v>10.810994531561599</v>
      </c>
      <c r="CF68" s="688">
        <v>11.5073082924952</v>
      </c>
      <c r="CG68" s="688">
        <v>16.071896079336099</v>
      </c>
      <c r="CH68" s="688">
        <v>11.679860272055899</v>
      </c>
      <c r="CI68" s="756">
        <v>10.218256912726</v>
      </c>
    </row>
    <row r="69" spans="1:87" ht="14.25" customHeight="1" x14ac:dyDescent="0.25">
      <c r="A69" s="9"/>
      <c r="B69" s="9"/>
      <c r="C69" s="9" t="s">
        <v>777</v>
      </c>
      <c r="D69" s="9"/>
      <c r="E69" s="651">
        <f>AVERAGE(AM48:AQ63)</f>
        <v>17.086430719061759</v>
      </c>
      <c r="F69" s="651">
        <f>AVERAGE(AS48:AW63)</f>
        <v>13.060402390627019</v>
      </c>
      <c r="G69" s="651">
        <f>AVERAGE(AY48:BC63)</f>
        <v>8.3890089185246133</v>
      </c>
      <c r="H69" s="651">
        <f>AVERAGE(BE48:BI63)</f>
        <v>7.6783842052479061</v>
      </c>
      <c r="I69" s="64">
        <f>IF(I68=4,1,I68+1)</f>
        <v>1</v>
      </c>
      <c r="J69" s="3">
        <f t="shared" si="27"/>
        <v>2020</v>
      </c>
      <c r="K69" s="280" t="str">
        <f t="shared" si="18"/>
        <v>1Q20</v>
      </c>
      <c r="L69" s="755">
        <v>10.440243902439001</v>
      </c>
      <c r="M69" s="688">
        <v>32.9483699125269</v>
      </c>
      <c r="N69" s="688">
        <v>31.117253148824901</v>
      </c>
      <c r="O69" s="688">
        <v>4.1783268809038399</v>
      </c>
      <c r="P69" s="688">
        <v>8.5411736177823396</v>
      </c>
      <c r="Q69" s="756"/>
      <c r="R69" s="755">
        <v>10.9627247717047</v>
      </c>
      <c r="S69" s="688">
        <v>26.484030481099701</v>
      </c>
      <c r="T69" s="688">
        <v>29.1850815480866</v>
      </c>
      <c r="U69" s="688">
        <v>5.1058925449279897</v>
      </c>
      <c r="V69" s="688">
        <v>9.6579759542586903</v>
      </c>
      <c r="W69" s="756"/>
      <c r="X69" s="755">
        <v>8.2191160918592505</v>
      </c>
      <c r="Y69" s="688">
        <v>23.0945773978506</v>
      </c>
      <c r="Z69" s="688">
        <v>23.844954152204998</v>
      </c>
      <c r="AA69" s="688">
        <v>4.3085521594323</v>
      </c>
      <c r="AB69" s="688"/>
      <c r="AC69" s="756"/>
      <c r="AD69" s="688">
        <v>13.674955161162</v>
      </c>
      <c r="AE69" s="688">
        <v>24.054961533101999</v>
      </c>
      <c r="AF69" s="688">
        <v>26.841199885701698</v>
      </c>
      <c r="AG69" s="688">
        <v>6.5106614407711803</v>
      </c>
      <c r="AH69" s="688"/>
      <c r="AI69" s="756"/>
      <c r="AJ69" s="9"/>
      <c r="AK69" s="280" t="str">
        <f t="shared" si="19"/>
        <v>1Q20</v>
      </c>
      <c r="AL69" s="755">
        <f t="shared" si="20"/>
        <v>10.440243902439001</v>
      </c>
      <c r="AM69" s="688">
        <v>21.784416902937199</v>
      </c>
      <c r="AN69" s="688">
        <v>17.250068540648599</v>
      </c>
      <c r="AO69" s="688">
        <v>22.120547945205502</v>
      </c>
      <c r="AP69" s="688">
        <v>21.579520697167801</v>
      </c>
      <c r="AQ69" s="756">
        <v>18.736782952041501</v>
      </c>
      <c r="AR69" s="755">
        <f t="shared" si="21"/>
        <v>10.9627247717047</v>
      </c>
      <c r="AS69" s="688">
        <v>22.1397240609299</v>
      </c>
      <c r="AT69" s="688">
        <v>20.814886888834799</v>
      </c>
      <c r="AU69" s="688">
        <v>21.559412550066799</v>
      </c>
      <c r="AV69" s="688">
        <v>20.203977562468101</v>
      </c>
      <c r="AW69" s="756">
        <v>14.4305239179954</v>
      </c>
      <c r="AX69" s="755">
        <f t="shared" si="22"/>
        <v>8.2191160918592505</v>
      </c>
      <c r="AY69" s="688">
        <v>12.0202300603609</v>
      </c>
      <c r="AZ69" s="688">
        <v>12.6144758164482</v>
      </c>
      <c r="BA69" s="688">
        <v>11.7393095004713</v>
      </c>
      <c r="BB69" s="688">
        <v>14.265995216413099</v>
      </c>
      <c r="BC69" s="756">
        <v>10.3526050422766</v>
      </c>
      <c r="BD69" s="755">
        <f t="shared" si="31"/>
        <v>13.674955161162</v>
      </c>
      <c r="BE69" s="688">
        <v>13.3289772635557</v>
      </c>
      <c r="BF69" s="688">
        <v>13.1897408687117</v>
      </c>
      <c r="BG69" s="688">
        <v>12.849733579212099</v>
      </c>
      <c r="BH69" s="688">
        <v>13.133248032386</v>
      </c>
      <c r="BI69" s="756">
        <v>9.4087010231322701</v>
      </c>
      <c r="BJ69" s="9"/>
      <c r="BK69" s="280" t="str">
        <f t="shared" si="23"/>
        <v>1Q20</v>
      </c>
      <c r="BL69" s="755">
        <f t="shared" si="24"/>
        <v>10.440243902439001</v>
      </c>
      <c r="BM69" s="688">
        <v>24.742040170703</v>
      </c>
      <c r="BN69" s="688">
        <v>24.021492034170802</v>
      </c>
      <c r="BO69" s="688">
        <v>23.4933771233793</v>
      </c>
      <c r="BP69" s="688">
        <v>18.0285981640464</v>
      </c>
      <c r="BQ69" s="756">
        <v>18.379104744491201</v>
      </c>
      <c r="BR69" s="755">
        <f t="shared" si="25"/>
        <v>10.9627247717047</v>
      </c>
      <c r="BS69" s="688">
        <v>25.962792945155801</v>
      </c>
      <c r="BT69" s="688">
        <v>19.639281741617701</v>
      </c>
      <c r="BU69" s="688">
        <v>15.870049091686999</v>
      </c>
      <c r="BV69" s="688">
        <v>18.0227065984269</v>
      </c>
      <c r="BW69" s="756">
        <v>18.523968446601899</v>
      </c>
      <c r="BX69" s="755">
        <f t="shared" si="26"/>
        <v>8.2191160918592505</v>
      </c>
      <c r="BY69" s="688">
        <v>14.326424404120401</v>
      </c>
      <c r="BZ69" s="688">
        <v>7.1606597322998997</v>
      </c>
      <c r="CA69" s="688">
        <v>25.6475468440842</v>
      </c>
      <c r="CB69" s="688">
        <v>14.752252083434</v>
      </c>
      <c r="CC69" s="756">
        <v>11.3109397504525</v>
      </c>
      <c r="CD69" s="755">
        <f t="shared" si="32"/>
        <v>13.674955161162</v>
      </c>
      <c r="CE69" s="688">
        <v>11.112001785686999</v>
      </c>
      <c r="CF69" s="688">
        <v>11.7841043437958</v>
      </c>
      <c r="CG69" s="688">
        <v>15.946937408692801</v>
      </c>
      <c r="CH69" s="688">
        <v>12.6190343687216</v>
      </c>
      <c r="CI69" s="756">
        <v>10.944111913626999</v>
      </c>
    </row>
    <row r="70" spans="1:87" ht="14.25" customHeight="1" x14ac:dyDescent="0.25">
      <c r="A70" s="9"/>
      <c r="B70" s="9"/>
      <c r="C70" s="9" t="s">
        <v>778</v>
      </c>
      <c r="D70" s="9"/>
      <c r="E70" s="651">
        <f>AVERAGE(AM60:AQ75)</f>
        <v>19.526720332021341</v>
      </c>
      <c r="F70" s="651">
        <f>AVERAGE(AS60:AW75)</f>
        <v>17.863020065982958</v>
      </c>
      <c r="G70" s="651">
        <f>AVERAGE(AY60:BC75)</f>
        <v>11.701290624943695</v>
      </c>
      <c r="H70" s="651">
        <f>AVERAGE(BE60:BI75)</f>
        <v>11.295095761117661</v>
      </c>
      <c r="I70" s="64">
        <f>IF(I69+1=5,1,I69+1)</f>
        <v>2</v>
      </c>
      <c r="J70" s="3">
        <f t="shared" si="27"/>
        <v>2020</v>
      </c>
      <c r="K70" s="280" t="str">
        <f t="shared" si="18"/>
        <v>2Q20</v>
      </c>
      <c r="L70" s="755">
        <v>14.4461305007587</v>
      </c>
      <c r="M70" s="688">
        <v>39.502461618686802</v>
      </c>
      <c r="N70" s="688">
        <v>38.091454529340602</v>
      </c>
      <c r="O70" s="688">
        <v>11.009843070597601</v>
      </c>
      <c r="P70" s="688">
        <v>10.8880913497668</v>
      </c>
      <c r="Q70" s="756"/>
      <c r="R70" s="755">
        <v>18.8648230433244</v>
      </c>
      <c r="S70" s="688">
        <v>34.075319926660697</v>
      </c>
      <c r="T70" s="688">
        <v>38.791191430117003</v>
      </c>
      <c r="U70" s="688">
        <v>26.354063810548801</v>
      </c>
      <c r="V70" s="688">
        <v>13.538052465537699</v>
      </c>
      <c r="W70" s="756"/>
      <c r="X70" s="755">
        <v>8.4490457069604794</v>
      </c>
      <c r="Y70" s="688">
        <v>27.3097856379779</v>
      </c>
      <c r="Z70" s="688">
        <v>29.1288416577089</v>
      </c>
      <c r="AA70" s="688">
        <v>5.2179289260824202</v>
      </c>
      <c r="AB70" s="688"/>
      <c r="AC70" s="756"/>
      <c r="AD70" s="688">
        <v>12.907087182134999</v>
      </c>
      <c r="AE70" s="688">
        <v>23.020758390370901</v>
      </c>
      <c r="AF70" s="688">
        <v>26.393436581818399</v>
      </c>
      <c r="AG70" s="688">
        <v>6.5731445639986603</v>
      </c>
      <c r="AH70" s="688"/>
      <c r="AI70" s="756"/>
      <c r="AJ70" s="9"/>
      <c r="AK70" s="280" t="str">
        <f t="shared" si="19"/>
        <v>2Q20</v>
      </c>
      <c r="AL70" s="755">
        <f t="shared" si="20"/>
        <v>14.4461305007587</v>
      </c>
      <c r="AM70" s="688">
        <v>24.245630293402701</v>
      </c>
      <c r="AN70" s="688">
        <v>18.926855452818401</v>
      </c>
      <c r="AO70" s="688">
        <v>25.111709286675602</v>
      </c>
      <c r="AP70" s="688">
        <v>22.0107066381156</v>
      </c>
      <c r="AQ70" s="756">
        <v>18.677629730409201</v>
      </c>
      <c r="AR70" s="755">
        <f t="shared" si="21"/>
        <v>18.8648230433244</v>
      </c>
      <c r="AS70" s="688">
        <v>24.559917682444201</v>
      </c>
      <c r="AT70" s="688">
        <v>22.898527656187799</v>
      </c>
      <c r="AU70" s="688">
        <v>24.575869336143299</v>
      </c>
      <c r="AV70" s="688">
        <v>20.983974686128398</v>
      </c>
      <c r="AW70" s="756">
        <v>14.7202797202797</v>
      </c>
      <c r="AX70" s="755">
        <f t="shared" si="22"/>
        <v>8.4490457069604794</v>
      </c>
      <c r="AY70" s="688">
        <v>12.9700972455721</v>
      </c>
      <c r="AZ70" s="688">
        <v>13.7961004266903</v>
      </c>
      <c r="BA70" s="688">
        <v>12.589375476923101</v>
      </c>
      <c r="BB70" s="688">
        <v>14.538753651645001</v>
      </c>
      <c r="BC70" s="756">
        <v>10.3251758897163</v>
      </c>
      <c r="BD70" s="755">
        <f t="shared" si="31"/>
        <v>12.907087182134999</v>
      </c>
      <c r="BE70" s="688">
        <v>14.403700175227801</v>
      </c>
      <c r="BF70" s="688">
        <v>14.572876084436899</v>
      </c>
      <c r="BG70" s="688">
        <v>14.6792074636279</v>
      </c>
      <c r="BH70" s="688">
        <v>13.6358243911247</v>
      </c>
      <c r="BI70" s="756">
        <v>9.4601225986614104</v>
      </c>
      <c r="BJ70" s="9"/>
      <c r="BK70" s="280" t="str">
        <f t="shared" si="23"/>
        <v>2Q20</v>
      </c>
      <c r="BL70" s="755">
        <f t="shared" si="24"/>
        <v>14.4461305007587</v>
      </c>
      <c r="BM70" s="688">
        <v>22.911092065994101</v>
      </c>
      <c r="BN70" s="688">
        <v>22.684546980981001</v>
      </c>
      <c r="BO70" s="688">
        <v>23.0472722740321</v>
      </c>
      <c r="BP70" s="688">
        <v>18.562480488484098</v>
      </c>
      <c r="BQ70" s="756">
        <v>17.196000181915</v>
      </c>
      <c r="BR70" s="755">
        <f t="shared" si="25"/>
        <v>18.8648230433244</v>
      </c>
      <c r="BS70" s="688">
        <v>24.196740395809101</v>
      </c>
      <c r="BT70" s="688">
        <v>19.250459840588601</v>
      </c>
      <c r="BU70" s="688">
        <v>14.9761977139175</v>
      </c>
      <c r="BV70" s="688">
        <v>19.154446768158</v>
      </c>
      <c r="BW70" s="756">
        <v>17.6816450875857</v>
      </c>
      <c r="BX70" s="755">
        <f t="shared" si="26"/>
        <v>8.4490457069604794</v>
      </c>
      <c r="BY70" s="688">
        <v>13.667693155228401</v>
      </c>
      <c r="BZ70" s="688">
        <v>7.4503412945722296</v>
      </c>
      <c r="CA70" s="688">
        <v>30.114087931275598</v>
      </c>
      <c r="CB70" s="688">
        <v>15.5163968058044</v>
      </c>
      <c r="CC70" s="756">
        <v>11.1544756048268</v>
      </c>
      <c r="CD70" s="755">
        <f t="shared" si="32"/>
        <v>12.907087182134999</v>
      </c>
      <c r="CE70" s="688">
        <v>11.266430673689401</v>
      </c>
      <c r="CF70" s="688">
        <v>12.2155263486962</v>
      </c>
      <c r="CG70" s="688">
        <v>15.5063637404971</v>
      </c>
      <c r="CH70" s="688">
        <v>13.3370545414741</v>
      </c>
      <c r="CI70" s="756">
        <v>10.5691443030444</v>
      </c>
    </row>
    <row r="71" spans="1:87" ht="14.25" customHeight="1" x14ac:dyDescent="0.25">
      <c r="A71" s="9"/>
      <c r="B71" s="9"/>
      <c r="C71" s="9"/>
      <c r="D71" s="9"/>
      <c r="E71" s="9"/>
      <c r="F71" s="9"/>
      <c r="G71" s="9"/>
      <c r="H71" s="9"/>
      <c r="I71" s="64">
        <f>IF(I70=4,1,I70+1)</f>
        <v>3</v>
      </c>
      <c r="J71" s="3">
        <f t="shared" si="27"/>
        <v>2020</v>
      </c>
      <c r="K71" s="280" t="str">
        <f t="shared" si="18"/>
        <v>3Q20</v>
      </c>
      <c r="L71" s="755">
        <v>20.8419958419958</v>
      </c>
      <c r="M71" s="688">
        <v>40.893033337934497</v>
      </c>
      <c r="N71" s="688">
        <v>43.562350957683798</v>
      </c>
      <c r="O71" s="688">
        <v>99.876578900551394</v>
      </c>
      <c r="P71" s="688">
        <v>12.745285852785701</v>
      </c>
      <c r="Q71" s="756"/>
      <c r="R71" s="755">
        <v>17.053264195979398</v>
      </c>
      <c r="S71" s="688">
        <v>34.247954329210302</v>
      </c>
      <c r="T71" s="688">
        <v>41.263941190290097</v>
      </c>
      <c r="U71" s="688">
        <v>15.702103719277099</v>
      </c>
      <c r="V71" s="688">
        <v>11.9783426557763</v>
      </c>
      <c r="W71" s="756"/>
      <c r="X71" s="755">
        <v>9.3531428670129504</v>
      </c>
      <c r="Y71" s="688">
        <v>28.220013694874702</v>
      </c>
      <c r="Z71" s="688">
        <v>33.210502521530998</v>
      </c>
      <c r="AA71" s="688">
        <v>3.1646054959602998</v>
      </c>
      <c r="AB71" s="688"/>
      <c r="AC71" s="756"/>
      <c r="AD71" s="688">
        <v>15.464004920046399</v>
      </c>
      <c r="AE71" s="688">
        <v>22.572911263425699</v>
      </c>
      <c r="AF71" s="688">
        <v>25.212743385212601</v>
      </c>
      <c r="AG71" s="688">
        <v>7.1020714621418604</v>
      </c>
      <c r="AH71" s="688"/>
      <c r="AI71" s="756"/>
      <c r="AJ71" s="9"/>
      <c r="AK71" s="280" t="str">
        <f t="shared" si="19"/>
        <v>3Q20</v>
      </c>
      <c r="AL71" s="755">
        <f t="shared" si="20"/>
        <v>20.8419958419958</v>
      </c>
      <c r="AM71" s="688">
        <v>24.598213221955302</v>
      </c>
      <c r="AN71" s="688">
        <v>21.862621869104199</v>
      </c>
      <c r="AO71" s="688">
        <v>24.9480221869395</v>
      </c>
      <c r="AP71" s="688">
        <v>21.303664921466002</v>
      </c>
      <c r="AQ71" s="756">
        <v>22.038037730043701</v>
      </c>
      <c r="AR71" s="755">
        <f t="shared" si="21"/>
        <v>17.053264195979398</v>
      </c>
      <c r="AS71" s="688">
        <v>24.500152625152602</v>
      </c>
      <c r="AT71" s="688">
        <v>23.289573531643601</v>
      </c>
      <c r="AU71" s="688">
        <v>24.616695059625201</v>
      </c>
      <c r="AV71" s="688">
        <v>20.707379134859998</v>
      </c>
      <c r="AW71" s="756">
        <v>13.419203747072601</v>
      </c>
      <c r="AX71" s="755">
        <f t="shared" si="22"/>
        <v>9.3531428670129504</v>
      </c>
      <c r="AY71" s="688">
        <v>13.040938255454099</v>
      </c>
      <c r="AZ71" s="688">
        <v>15.552757560763199</v>
      </c>
      <c r="BA71" s="688">
        <v>11.8107075820958</v>
      </c>
      <c r="BB71" s="688">
        <v>13.201985791394099</v>
      </c>
      <c r="BC71" s="756">
        <v>9.3627293419853004</v>
      </c>
      <c r="BD71" s="755">
        <f t="shared" si="31"/>
        <v>15.464004920046399</v>
      </c>
      <c r="BE71" s="688">
        <v>14.363320845507699</v>
      </c>
      <c r="BF71" s="688">
        <v>13.597737754988501</v>
      </c>
      <c r="BG71" s="688">
        <v>13.6092786505394</v>
      </c>
      <c r="BH71" s="688">
        <v>12.6617017462373</v>
      </c>
      <c r="BI71" s="756">
        <v>8.0837870522272794</v>
      </c>
      <c r="BJ71" s="9"/>
      <c r="BK71" s="280" t="str">
        <f t="shared" si="23"/>
        <v>3Q20</v>
      </c>
      <c r="BL71" s="755">
        <f t="shared" si="24"/>
        <v>20.8419958419958</v>
      </c>
      <c r="BM71" s="688">
        <v>22.941199164636402</v>
      </c>
      <c r="BN71" s="688">
        <v>25.1826307908707</v>
      </c>
      <c r="BO71" s="688">
        <v>742.46799442280303</v>
      </c>
      <c r="BP71" s="688">
        <v>51.539734556059202</v>
      </c>
      <c r="BQ71" s="756">
        <v>18.773529455913501</v>
      </c>
      <c r="BR71" s="755">
        <f t="shared" si="25"/>
        <v>17.053264195979398</v>
      </c>
      <c r="BS71" s="688">
        <v>24.4120836560806</v>
      </c>
      <c r="BT71" s="688">
        <v>19.315068493150701</v>
      </c>
      <c r="BU71" s="688">
        <v>15.750081624413101</v>
      </c>
      <c r="BV71" s="688">
        <v>20.6897066816639</v>
      </c>
      <c r="BW71" s="756">
        <v>19.252942952007199</v>
      </c>
      <c r="BX71" s="755">
        <f t="shared" si="26"/>
        <v>9.3531428670129504</v>
      </c>
      <c r="BY71" s="688">
        <v>12.8627005385798</v>
      </c>
      <c r="BZ71" s="688">
        <v>8.3525767950180292</v>
      </c>
      <c r="CA71" s="688">
        <v>24.2403751473379</v>
      </c>
      <c r="CB71" s="688">
        <v>16.729522716731399</v>
      </c>
      <c r="CC71" s="756">
        <v>11.7565902366369</v>
      </c>
      <c r="CD71" s="755">
        <f t="shared" si="32"/>
        <v>15.464004920046399</v>
      </c>
      <c r="CE71" s="688">
        <v>10.591679578122401</v>
      </c>
      <c r="CF71" s="688">
        <v>10.7911630214727</v>
      </c>
      <c r="CG71" s="688">
        <v>13.760511897776</v>
      </c>
      <c r="CH71" s="688">
        <v>13.3151035628192</v>
      </c>
      <c r="CI71" s="756">
        <v>11.118698209023799</v>
      </c>
    </row>
    <row r="72" spans="1:87" ht="14.25" customHeight="1" x14ac:dyDescent="0.25">
      <c r="A72" s="205" t="s">
        <v>0</v>
      </c>
      <c r="B72" s="9"/>
      <c r="C72" s="746" t="str">
        <f>Comparables!S86</f>
        <v>Cap. Goods Peer Group</v>
      </c>
      <c r="D72" s="76"/>
      <c r="E72" s="76"/>
      <c r="F72" s="76"/>
      <c r="G72" s="76"/>
      <c r="H72" s="78"/>
      <c r="I72" s="64">
        <f>I68</f>
        <v>4</v>
      </c>
      <c r="J72" s="3">
        <f t="shared" si="27"/>
        <v>2020</v>
      </c>
      <c r="K72" s="280" t="str">
        <f t="shared" si="18"/>
        <v>4Q20</v>
      </c>
      <c r="L72" s="755">
        <v>30.0024813895782</v>
      </c>
      <c r="M72" s="688">
        <v>48.557957639825297</v>
      </c>
      <c r="N72" s="688">
        <v>45.980263035856701</v>
      </c>
      <c r="O72" s="688">
        <v>36.963468799990402</v>
      </c>
      <c r="P72" s="688">
        <v>16.033666788682499</v>
      </c>
      <c r="Q72" s="756"/>
      <c r="R72" s="755">
        <v>17.757469867314899</v>
      </c>
      <c r="S72" s="688">
        <v>37.617005253569097</v>
      </c>
      <c r="T72" s="688">
        <v>43.2834030060312</v>
      </c>
      <c r="U72" s="688">
        <v>10.8338661064937</v>
      </c>
      <c r="V72" s="688">
        <v>13.5817663592098</v>
      </c>
      <c r="W72" s="756"/>
      <c r="X72" s="755">
        <v>13.2670858249024</v>
      </c>
      <c r="Y72" s="688">
        <v>36.155264935036399</v>
      </c>
      <c r="Z72" s="688">
        <v>34.904278391226804</v>
      </c>
      <c r="AA72" s="688">
        <v>5.1504330996966203</v>
      </c>
      <c r="AB72" s="688"/>
      <c r="AC72" s="756"/>
      <c r="AD72" s="688">
        <v>10.7256511107378</v>
      </c>
      <c r="AE72" s="688">
        <v>19.386085762329099</v>
      </c>
      <c r="AF72" s="688">
        <v>21.334904201422098</v>
      </c>
      <c r="AG72" s="688">
        <v>6.4755697570385404</v>
      </c>
      <c r="AH72" s="688"/>
      <c r="AI72" s="756"/>
      <c r="AJ72" s="9"/>
      <c r="AK72" s="280" t="str">
        <f t="shared" si="19"/>
        <v>4Q20</v>
      </c>
      <c r="AL72" s="755">
        <f t="shared" si="20"/>
        <v>30.0024813895782</v>
      </c>
      <c r="AM72" s="688">
        <v>24.150938326094799</v>
      </c>
      <c r="AN72" s="688">
        <v>22.022785811754598</v>
      </c>
      <c r="AO72" s="688">
        <v>26.978663454861501</v>
      </c>
      <c r="AP72" s="688">
        <v>22.726337448559701</v>
      </c>
      <c r="AQ72" s="756">
        <v>22.361108440222299</v>
      </c>
      <c r="AR72" s="755">
        <f t="shared" si="21"/>
        <v>17.757469867314899</v>
      </c>
      <c r="AS72" s="688">
        <v>21.676074406670899</v>
      </c>
      <c r="AT72" s="688">
        <v>22.413970210580398</v>
      </c>
      <c r="AU72" s="688">
        <v>22.254073004743201</v>
      </c>
      <c r="AV72" s="688">
        <v>19.7144132083891</v>
      </c>
      <c r="AW72" s="756">
        <v>13.365517241379299</v>
      </c>
      <c r="AX72" s="755">
        <f t="shared" si="22"/>
        <v>13.2670858249024</v>
      </c>
      <c r="AY72" s="688">
        <v>13.140693534794099</v>
      </c>
      <c r="AZ72" s="688">
        <v>17.753029920302801</v>
      </c>
      <c r="BA72" s="688">
        <v>13.334774527567101</v>
      </c>
      <c r="BB72" s="688">
        <v>14.6630133422256</v>
      </c>
      <c r="BC72" s="756">
        <v>9.5006017082676504</v>
      </c>
      <c r="BD72" s="755">
        <f t="shared" si="31"/>
        <v>10.7256511107378</v>
      </c>
      <c r="BE72" s="688">
        <v>13.4225475232659</v>
      </c>
      <c r="BF72" s="688">
        <v>15.691728942063</v>
      </c>
      <c r="BG72" s="688">
        <v>13.1858626537768</v>
      </c>
      <c r="BH72" s="688">
        <v>14.2275973172747</v>
      </c>
      <c r="BI72" s="756">
        <v>8.7443957905330993</v>
      </c>
      <c r="BJ72" s="9"/>
      <c r="BK72" s="280" t="str">
        <f t="shared" si="23"/>
        <v>4Q20</v>
      </c>
      <c r="BL72" s="755">
        <f t="shared" si="24"/>
        <v>30.0024813895782</v>
      </c>
      <c r="BM72" s="688">
        <v>17.5267411238021</v>
      </c>
      <c r="BN72" s="688">
        <v>22.261822364933099</v>
      </c>
      <c r="BO72" s="688">
        <v>649.50721162907303</v>
      </c>
      <c r="BP72" s="688">
        <v>42.8914940993145</v>
      </c>
      <c r="BQ72" s="756">
        <v>17.734212611249301</v>
      </c>
      <c r="BR72" s="755">
        <f t="shared" si="25"/>
        <v>17.757469867314899</v>
      </c>
      <c r="BS72" s="688">
        <v>16.112386574833302</v>
      </c>
      <c r="BT72" s="688">
        <v>16.481324278437999</v>
      </c>
      <c r="BU72" s="688">
        <v>13.6540241011591</v>
      </c>
      <c r="BV72" s="688">
        <v>17.353743580307398</v>
      </c>
      <c r="BW72" s="756">
        <v>17.773696849837499</v>
      </c>
      <c r="BX72" s="755">
        <f t="shared" si="26"/>
        <v>13.2670858249024</v>
      </c>
      <c r="BY72" s="688">
        <v>9.8614526646038101</v>
      </c>
      <c r="BZ72" s="688">
        <v>8.9144088443626295</v>
      </c>
      <c r="CA72" s="688"/>
      <c r="CB72" s="688">
        <v>15.2716598940273</v>
      </c>
      <c r="CC72" s="756">
        <v>11.9371984794053</v>
      </c>
      <c r="CD72" s="755">
        <f t="shared" si="32"/>
        <v>10.7256511107378</v>
      </c>
      <c r="CE72" s="688">
        <v>9.0120718721198898</v>
      </c>
      <c r="CF72" s="688">
        <v>10.990644209248201</v>
      </c>
      <c r="CG72" s="688">
        <v>11.741001553121899</v>
      </c>
      <c r="CH72" s="688">
        <v>12.427811782767201</v>
      </c>
      <c r="CI72" s="756">
        <v>11.240920086014601</v>
      </c>
    </row>
    <row r="73" spans="1:87" ht="14.25" customHeight="1" x14ac:dyDescent="0.25">
      <c r="A73" s="9"/>
      <c r="B73" s="9"/>
      <c r="C73" s="754" t="s">
        <v>765</v>
      </c>
      <c r="D73" s="754"/>
      <c r="E73" s="754"/>
      <c r="F73" s="754"/>
      <c r="G73" s="754"/>
      <c r="H73" s="754"/>
      <c r="I73" s="64">
        <f>IF(I72=4,1,I72+1)</f>
        <v>1</v>
      </c>
      <c r="J73" s="3">
        <f t="shared" si="27"/>
        <v>2021</v>
      </c>
      <c r="K73" s="280" t="str">
        <f t="shared" si="18"/>
        <v>1Q21</v>
      </c>
      <c r="L73" s="755">
        <v>37.517241379310299</v>
      </c>
      <c r="M73" s="688">
        <v>47.003960915650403</v>
      </c>
      <c r="N73" s="688">
        <v>55.444906247420903</v>
      </c>
      <c r="O73" s="688">
        <v>21.919151529163599</v>
      </c>
      <c r="P73" s="688">
        <v>16.609376338267001</v>
      </c>
      <c r="Q73" s="756"/>
      <c r="R73" s="755">
        <v>19.747540431782401</v>
      </c>
      <c r="S73" s="688">
        <v>34.033870508352699</v>
      </c>
      <c r="T73" s="688">
        <v>41.2354347847117</v>
      </c>
      <c r="U73" s="688">
        <v>9.5459212567024903</v>
      </c>
      <c r="V73" s="688">
        <v>13.9033601536752</v>
      </c>
      <c r="W73" s="756"/>
      <c r="X73" s="755">
        <v>15.812125390570699</v>
      </c>
      <c r="Y73" s="688">
        <v>32.183255329530198</v>
      </c>
      <c r="Z73" s="688">
        <v>41.0009977471083</v>
      </c>
      <c r="AA73" s="688">
        <v>6.0803754099634704</v>
      </c>
      <c r="AB73" s="688"/>
      <c r="AC73" s="756"/>
      <c r="AD73" s="688">
        <v>10.736618391052501</v>
      </c>
      <c r="AE73" s="688">
        <v>16.856217080110401</v>
      </c>
      <c r="AF73" s="688">
        <v>18.450880956695201</v>
      </c>
      <c r="AG73" s="688">
        <v>9.0071971305448102</v>
      </c>
      <c r="AH73" s="688"/>
      <c r="AI73" s="756"/>
      <c r="AJ73" s="9"/>
      <c r="AK73" s="280" t="str">
        <f t="shared" si="19"/>
        <v>1Q21</v>
      </c>
      <c r="AL73" s="755">
        <f t="shared" si="20"/>
        <v>37.517241379310299</v>
      </c>
      <c r="AM73" s="688">
        <v>19.659771428122699</v>
      </c>
      <c r="AN73" s="688">
        <v>17.897159906266999</v>
      </c>
      <c r="AO73" s="688">
        <v>22.5695103649992</v>
      </c>
      <c r="AP73" s="688">
        <v>18.503614364069701</v>
      </c>
      <c r="AQ73" s="756">
        <v>28.2439248051353</v>
      </c>
      <c r="AR73" s="755">
        <f t="shared" si="21"/>
        <v>19.747540431782401</v>
      </c>
      <c r="AS73" s="688">
        <v>18.406853582554501</v>
      </c>
      <c r="AT73" s="688">
        <v>18.7006199100523</v>
      </c>
      <c r="AU73" s="688">
        <v>19.4875416120246</v>
      </c>
      <c r="AV73" s="688">
        <v>16.7891560839413</v>
      </c>
      <c r="AW73" s="756">
        <v>14.9032258064516</v>
      </c>
      <c r="AX73" s="755">
        <f t="shared" si="22"/>
        <v>15.812125390570699</v>
      </c>
      <c r="AY73" s="688">
        <v>11.7060983861026</v>
      </c>
      <c r="AZ73" s="688">
        <v>18.210129401083101</v>
      </c>
      <c r="BA73" s="688">
        <v>11.756786004056799</v>
      </c>
      <c r="BB73" s="688">
        <v>14.219845002532001</v>
      </c>
      <c r="BC73" s="756">
        <v>11.6540606664239</v>
      </c>
      <c r="BD73" s="755">
        <f t="shared" si="31"/>
        <v>10.736618391052501</v>
      </c>
      <c r="BE73" s="688">
        <v>11.8571842051646</v>
      </c>
      <c r="BF73" s="688">
        <v>15.8835936734414</v>
      </c>
      <c r="BG73" s="688">
        <v>11.272551051406699</v>
      </c>
      <c r="BH73" s="688">
        <v>13.1408227441087</v>
      </c>
      <c r="BI73" s="756">
        <v>10.252465604512</v>
      </c>
      <c r="BJ73" s="9"/>
      <c r="BK73" s="280" t="str">
        <f t="shared" si="23"/>
        <v>1Q21</v>
      </c>
      <c r="BL73" s="755">
        <f t="shared" si="24"/>
        <v>37.517241379310299</v>
      </c>
      <c r="BM73" s="688">
        <v>13.7596348884381</v>
      </c>
      <c r="BN73" s="688">
        <v>17.5804740540875</v>
      </c>
      <c r="BO73" s="688">
        <v>666.37127127819599</v>
      </c>
      <c r="BP73" s="688">
        <v>37.906538616739098</v>
      </c>
      <c r="BQ73" s="756">
        <v>17.318721686355602</v>
      </c>
      <c r="BR73" s="755">
        <f t="shared" si="25"/>
        <v>19.747540431782401</v>
      </c>
      <c r="BS73" s="688">
        <v>12.5249261447563</v>
      </c>
      <c r="BT73" s="688">
        <v>14.533735315521399</v>
      </c>
      <c r="BU73" s="688">
        <v>13.977170463675201</v>
      </c>
      <c r="BV73" s="688">
        <v>17.160752720790999</v>
      </c>
      <c r="BW73" s="756">
        <v>17.516110955449701</v>
      </c>
      <c r="BX73" s="755">
        <f t="shared" si="26"/>
        <v>15.812125390570699</v>
      </c>
      <c r="BY73" s="688">
        <v>8.1510109918097093</v>
      </c>
      <c r="BZ73" s="688">
        <v>7.5611859674321797</v>
      </c>
      <c r="CA73" s="688"/>
      <c r="CB73" s="688">
        <v>14.727524945524401</v>
      </c>
      <c r="CC73" s="756">
        <v>10.944667815762701</v>
      </c>
      <c r="CD73" s="755">
        <f t="shared" si="32"/>
        <v>10.736618391052501</v>
      </c>
      <c r="CE73" s="688">
        <v>7.5157935811650098</v>
      </c>
      <c r="CF73" s="688">
        <v>10.075354706715499</v>
      </c>
      <c r="CG73" s="688">
        <v>11.693477565016501</v>
      </c>
      <c r="CH73" s="688">
        <v>12.3198580391385</v>
      </c>
      <c r="CI73" s="756">
        <v>10.8240208659149</v>
      </c>
    </row>
    <row r="74" spans="1:87" ht="14.25" customHeight="1" x14ac:dyDescent="0.25">
      <c r="A74" s="9"/>
      <c r="B74" s="9"/>
      <c r="C74" s="64"/>
      <c r="D74" s="9"/>
      <c r="E74" s="64" t="s">
        <v>761</v>
      </c>
      <c r="F74" s="64" t="s">
        <v>762</v>
      </c>
      <c r="G74" s="64" t="s">
        <v>763</v>
      </c>
      <c r="H74" s="64" t="s">
        <v>764</v>
      </c>
      <c r="I74" s="64">
        <f>IF(I73+1=5,1,I73+1)</f>
        <v>2</v>
      </c>
      <c r="J74" s="3">
        <f t="shared" si="27"/>
        <v>2021</v>
      </c>
      <c r="K74" s="280" t="str">
        <f t="shared" si="18"/>
        <v>2Q21</v>
      </c>
      <c r="L74" s="755">
        <v>27.131362889983599</v>
      </c>
      <c r="M74" s="688">
        <v>51.907930578082301</v>
      </c>
      <c r="N74" s="688">
        <v>56.852635365456798</v>
      </c>
      <c r="O74" s="688">
        <v>9.8679988497009798</v>
      </c>
      <c r="P74" s="688">
        <v>12.120885296869</v>
      </c>
      <c r="Q74" s="756"/>
      <c r="R74" s="755">
        <v>19.973713459821401</v>
      </c>
      <c r="S74" s="688">
        <v>34.792285126391398</v>
      </c>
      <c r="T74" s="688">
        <v>39.930502859710401</v>
      </c>
      <c r="U74" s="688">
        <v>9.0832895066046397</v>
      </c>
      <c r="V74" s="688">
        <v>12.485764748275701</v>
      </c>
      <c r="W74" s="756"/>
      <c r="X74" s="755">
        <v>13.326156469053799</v>
      </c>
      <c r="Y74" s="688">
        <v>35.385876192592498</v>
      </c>
      <c r="Z74" s="688">
        <v>41.9381943160991</v>
      </c>
      <c r="AA74" s="688">
        <v>3.95722592979596</v>
      </c>
      <c r="AB74" s="688"/>
      <c r="AC74" s="756"/>
      <c r="AD74" s="688">
        <v>11.786123368814</v>
      </c>
      <c r="AE74" s="688">
        <v>18.864772892291199</v>
      </c>
      <c r="AF74" s="688">
        <v>22.219837125557</v>
      </c>
      <c r="AG74" s="688">
        <v>9.7187039341085093</v>
      </c>
      <c r="AH74" s="688"/>
      <c r="AI74" s="756"/>
      <c r="AJ74" s="9"/>
      <c r="AK74" s="280" t="str">
        <f t="shared" si="19"/>
        <v>2Q21</v>
      </c>
      <c r="AL74" s="755">
        <f t="shared" si="20"/>
        <v>27.131362889983599</v>
      </c>
      <c r="AM74" s="688">
        <v>20.535244780224598</v>
      </c>
      <c r="AN74" s="688">
        <v>15.8189298015738</v>
      </c>
      <c r="AO74" s="688">
        <v>23.379586812808899</v>
      </c>
      <c r="AP74" s="688">
        <v>19.6012197335797</v>
      </c>
      <c r="AQ74" s="756">
        <v>27.501582934870399</v>
      </c>
      <c r="AR74" s="755">
        <f t="shared" si="21"/>
        <v>19.973713459821401</v>
      </c>
      <c r="AS74" s="688">
        <v>20.239864271924201</v>
      </c>
      <c r="AT74" s="688">
        <v>18.7604185139209</v>
      </c>
      <c r="AU74" s="688">
        <v>20.767762033966399</v>
      </c>
      <c r="AV74" s="688">
        <v>18.423326133909299</v>
      </c>
      <c r="AW74" s="756">
        <v>14.680652680652701</v>
      </c>
      <c r="AX74" s="755">
        <f t="shared" si="22"/>
        <v>13.326156469053799</v>
      </c>
      <c r="AY74" s="688">
        <v>13.064953230283599</v>
      </c>
      <c r="AZ74" s="688">
        <v>16.512227422282599</v>
      </c>
      <c r="BA74" s="688">
        <v>12.523413146292601</v>
      </c>
      <c r="BB74" s="688">
        <v>14.6980062164592</v>
      </c>
      <c r="BC74" s="756">
        <v>11.3790542079959</v>
      </c>
      <c r="BD74" s="755">
        <f t="shared" si="31"/>
        <v>11.786123368814</v>
      </c>
      <c r="BE74" s="688">
        <v>13.2572136445254</v>
      </c>
      <c r="BF74" s="688">
        <v>16.3477708057932</v>
      </c>
      <c r="BG74" s="688">
        <v>12.122566750727399</v>
      </c>
      <c r="BH74" s="688">
        <v>13.9077997746548</v>
      </c>
      <c r="BI74" s="756">
        <v>10.072731572447299</v>
      </c>
      <c r="BJ74" s="9"/>
      <c r="BK74" s="280" t="str">
        <f t="shared" si="23"/>
        <v>2Q21</v>
      </c>
      <c r="BL74" s="755">
        <f t="shared" si="24"/>
        <v>27.131362889983599</v>
      </c>
      <c r="BM74" s="688">
        <v>13.9515096065874</v>
      </c>
      <c r="BN74" s="688">
        <v>17.179660415722001</v>
      </c>
      <c r="BO74" s="688"/>
      <c r="BP74" s="688">
        <v>39.415229490272601</v>
      </c>
      <c r="BQ74" s="756">
        <v>18.420867479112001</v>
      </c>
      <c r="BR74" s="755">
        <f t="shared" si="25"/>
        <v>19.973713459821401</v>
      </c>
      <c r="BS74" s="688">
        <v>13.143423547664201</v>
      </c>
      <c r="BT74" s="688">
        <v>15.7926252757643</v>
      </c>
      <c r="BU74" s="688">
        <v>11.5207306857749</v>
      </c>
      <c r="BV74" s="688">
        <v>19.577294570659198</v>
      </c>
      <c r="BW74" s="756">
        <v>19.348187102131199</v>
      </c>
      <c r="BX74" s="755">
        <f t="shared" si="26"/>
        <v>13.326156469053799</v>
      </c>
      <c r="BY74" s="688">
        <v>8.6475229941545404</v>
      </c>
      <c r="BZ74" s="688">
        <v>7.5663032963924399</v>
      </c>
      <c r="CA74" s="688"/>
      <c r="CB74" s="688">
        <v>16.398589972675801</v>
      </c>
      <c r="CC74" s="756">
        <v>13.0317764934829</v>
      </c>
      <c r="CD74" s="755">
        <f t="shared" si="32"/>
        <v>11.786123368814</v>
      </c>
      <c r="CE74" s="688">
        <v>8.0574066310076304</v>
      </c>
      <c r="CF74" s="688">
        <v>11.455186403480299</v>
      </c>
      <c r="CG74" s="688">
        <v>12.1940402897499</v>
      </c>
      <c r="CH74" s="688">
        <v>14.1615035463187</v>
      </c>
      <c r="CI74" s="756">
        <v>12.6911814506045</v>
      </c>
    </row>
    <row r="75" spans="1:87" ht="14.25" customHeight="1" x14ac:dyDescent="0.25">
      <c r="A75" s="9"/>
      <c r="B75" s="9"/>
      <c r="C75" s="9" t="s">
        <v>735</v>
      </c>
      <c r="D75" s="9"/>
      <c r="E75" s="651">
        <f>AVERAGE(BM81:BQ86)</f>
        <v>15.683339457774522</v>
      </c>
      <c r="F75" s="651">
        <f>AVERAGE(BS81:BW86)</f>
        <v>16.168745623234717</v>
      </c>
      <c r="G75" s="651">
        <f>AVERAGE(BY81:CC86)</f>
        <v>10.768373282856134</v>
      </c>
      <c r="H75" s="651">
        <f>AVERAGE(CE81:CI86)</f>
        <v>11.620890184734101</v>
      </c>
      <c r="I75" s="64">
        <f>IF(I74=4,1,I74+1)</f>
        <v>3</v>
      </c>
      <c r="J75" s="3">
        <f t="shared" si="27"/>
        <v>2021</v>
      </c>
      <c r="K75" s="280" t="str">
        <f t="shared" si="18"/>
        <v>3Q21</v>
      </c>
      <c r="L75" s="755">
        <v>19.480232558139502</v>
      </c>
      <c r="M75" s="688">
        <v>49.450395758565698</v>
      </c>
      <c r="N75" s="688">
        <v>54.141511035257103</v>
      </c>
      <c r="O75" s="688">
        <v>6.4680984018321999</v>
      </c>
      <c r="P75" s="688">
        <v>10.733639576592701</v>
      </c>
      <c r="Q75" s="756"/>
      <c r="R75" s="755">
        <v>18.086762461400099</v>
      </c>
      <c r="S75" s="688">
        <v>30.701787970443</v>
      </c>
      <c r="T75" s="688">
        <v>34.755259578817402</v>
      </c>
      <c r="U75" s="688">
        <v>8.3577762386673307</v>
      </c>
      <c r="V75" s="688">
        <v>13.2433777957469</v>
      </c>
      <c r="W75" s="756"/>
      <c r="X75" s="755">
        <v>11.4639427478558</v>
      </c>
      <c r="Y75" s="688">
        <v>33.616205560366303</v>
      </c>
      <c r="Z75" s="688">
        <v>39.779256521032302</v>
      </c>
      <c r="AA75" s="688">
        <v>3.7987997521625698</v>
      </c>
      <c r="AB75" s="688"/>
      <c r="AC75" s="756"/>
      <c r="AD75" s="688">
        <v>11.8820556096279</v>
      </c>
      <c r="AE75" s="688">
        <v>19.836918311601799</v>
      </c>
      <c r="AF75" s="688">
        <v>22.1431822893747</v>
      </c>
      <c r="AG75" s="688">
        <v>7.7428717626572396</v>
      </c>
      <c r="AH75" s="688"/>
      <c r="AI75" s="756"/>
      <c r="AJ75" s="9"/>
      <c r="AK75" s="280" t="str">
        <f t="shared" si="19"/>
        <v>3Q21</v>
      </c>
      <c r="AL75" s="755">
        <f t="shared" si="20"/>
        <v>19.480232558139502</v>
      </c>
      <c r="AM75" s="688">
        <v>14.4221283831607</v>
      </c>
      <c r="AN75" s="688">
        <v>10.8122994961928</v>
      </c>
      <c r="AO75" s="688">
        <v>15.600711315119099</v>
      </c>
      <c r="AP75" s="688">
        <v>13.773136872442199</v>
      </c>
      <c r="AQ75" s="756">
        <v>14.6417832875778</v>
      </c>
      <c r="AR75" s="755">
        <f t="shared" si="21"/>
        <v>18.086762461400099</v>
      </c>
      <c r="AS75" s="688">
        <v>14.8865768377963</v>
      </c>
      <c r="AT75" s="688">
        <v>12.8079075362167</v>
      </c>
      <c r="AU75" s="688">
        <v>15.177157561361801</v>
      </c>
      <c r="AV75" s="688">
        <v>14.103346191800499</v>
      </c>
      <c r="AW75" s="756">
        <v>10.7540983606557</v>
      </c>
      <c r="AX75" s="755">
        <f t="shared" si="22"/>
        <v>11.4639427478558</v>
      </c>
      <c r="AY75" s="688">
        <v>10.342674767029999</v>
      </c>
      <c r="AZ75" s="688">
        <v>12.114813261602499</v>
      </c>
      <c r="BA75" s="688">
        <v>9.0373840481786107</v>
      </c>
      <c r="BB75" s="688">
        <v>11.113353061982799</v>
      </c>
      <c r="BC75" s="756">
        <v>8.3832981092451995</v>
      </c>
      <c r="BD75" s="755">
        <f t="shared" si="31"/>
        <v>11.8820556096279</v>
      </c>
      <c r="BE75" s="688">
        <v>9.7555816796082606</v>
      </c>
      <c r="BF75" s="688">
        <v>11.082343072522599</v>
      </c>
      <c r="BG75" s="688">
        <v>8.6945520377183794</v>
      </c>
      <c r="BH75" s="688">
        <v>10.407686029648</v>
      </c>
      <c r="BI75" s="756">
        <v>6.865640275054</v>
      </c>
      <c r="BJ75" s="9"/>
      <c r="BK75" s="280" t="str">
        <f t="shared" si="23"/>
        <v>3Q21</v>
      </c>
      <c r="BL75" s="755">
        <f t="shared" si="24"/>
        <v>19.480232558139502</v>
      </c>
      <c r="BM75" s="688">
        <v>11.1878312459125</v>
      </c>
      <c r="BN75" s="688">
        <v>15.8605218246713</v>
      </c>
      <c r="BO75" s="688">
        <v>13.074326127188</v>
      </c>
      <c r="BP75" s="688">
        <v>14.3644481864395</v>
      </c>
      <c r="BQ75" s="756">
        <v>13.5962086905669</v>
      </c>
      <c r="BR75" s="755">
        <f t="shared" si="25"/>
        <v>18.086762461400099</v>
      </c>
      <c r="BS75" s="688">
        <v>10.9166666666667</v>
      </c>
      <c r="BT75" s="688">
        <v>13.0018303843807</v>
      </c>
      <c r="BU75" s="688">
        <v>10.365631193732201</v>
      </c>
      <c r="BV75" s="688">
        <v>16.529463280370301</v>
      </c>
      <c r="BW75" s="756">
        <v>14.8943908238915</v>
      </c>
      <c r="BX75" s="755">
        <f t="shared" si="26"/>
        <v>11.4639427478558</v>
      </c>
      <c r="BY75" s="688">
        <v>6.8788190403083496</v>
      </c>
      <c r="BZ75" s="688">
        <v>7.0102347385175099</v>
      </c>
      <c r="CA75" s="688"/>
      <c r="CB75" s="688">
        <v>13.2075042312185</v>
      </c>
      <c r="CC75" s="756">
        <v>12.1601264994065</v>
      </c>
      <c r="CD75" s="755">
        <f t="shared" si="32"/>
        <v>11.8820556096279</v>
      </c>
      <c r="CE75" s="688">
        <v>6.2097034226505503</v>
      </c>
      <c r="CF75" s="688">
        <v>8.9033540715749595</v>
      </c>
      <c r="CG75" s="688">
        <v>8.6851186752440697</v>
      </c>
      <c r="CH75" s="688">
        <v>11.793632965070399</v>
      </c>
      <c r="CI75" s="756">
        <v>9.8597315777774401</v>
      </c>
    </row>
    <row r="76" spans="1:87" ht="14.25" customHeight="1" x14ac:dyDescent="0.25">
      <c r="A76" s="205"/>
      <c r="B76" s="9"/>
      <c r="C76" s="9" t="s">
        <v>737</v>
      </c>
      <c r="D76" s="9"/>
      <c r="E76" s="651">
        <f>AVERAGE(BM77:BQ86)</f>
        <v>15.757842039857469</v>
      </c>
      <c r="F76" s="651">
        <f>AVERAGE(BS77:BW86)</f>
        <v>16.211283525086312</v>
      </c>
      <c r="G76" s="651">
        <f>AVERAGE(BY77:CC86)</f>
        <v>10.797620950823877</v>
      </c>
      <c r="H76" s="651">
        <f>AVERAGE(CE77:CI86)</f>
        <v>11.601419698040905</v>
      </c>
      <c r="I76" s="64">
        <f>I72</f>
        <v>4</v>
      </c>
      <c r="J76" s="3">
        <f t="shared" si="27"/>
        <v>2021</v>
      </c>
      <c r="K76" s="280" t="str">
        <f t="shared" si="18"/>
        <v>4Q21</v>
      </c>
      <c r="L76" s="755">
        <v>17.095088819226699</v>
      </c>
      <c r="M76" s="688">
        <v>41.052058693210498</v>
      </c>
      <c r="N76" s="688">
        <v>55.954117996975903</v>
      </c>
      <c r="O76" s="688">
        <v>5.3842358673085897</v>
      </c>
      <c r="P76" s="688">
        <v>9.9242386068988697</v>
      </c>
      <c r="Q76" s="756"/>
      <c r="R76" s="755">
        <v>16.885788518347201</v>
      </c>
      <c r="S76" s="688">
        <v>29.262248674249602</v>
      </c>
      <c r="T76" s="688">
        <v>34.145366755701701</v>
      </c>
      <c r="U76" s="688">
        <v>7.4721256598429298</v>
      </c>
      <c r="V76" s="688">
        <v>13.2499372437453</v>
      </c>
      <c r="W76" s="756"/>
      <c r="X76" s="755">
        <v>10.1708931787183</v>
      </c>
      <c r="Y76" s="688">
        <v>28.3039096859073</v>
      </c>
      <c r="Z76" s="688">
        <v>40.927940457534604</v>
      </c>
      <c r="AA76" s="688">
        <v>3.67347197957158</v>
      </c>
      <c r="AB76" s="688"/>
      <c r="AC76" s="756"/>
      <c r="AD76" s="688">
        <v>11.765131423795699</v>
      </c>
      <c r="AE76" s="688">
        <v>19.916448262233001</v>
      </c>
      <c r="AF76" s="688">
        <v>22.987528457557101</v>
      </c>
      <c r="AG76" s="688">
        <v>7.5474863790961102</v>
      </c>
      <c r="AH76" s="688"/>
      <c r="AI76" s="756"/>
      <c r="AJ76" s="9"/>
      <c r="AK76" s="280" t="str">
        <f t="shared" si="19"/>
        <v>4Q21</v>
      </c>
      <c r="AL76" s="755">
        <f t="shared" si="20"/>
        <v>17.095088819226699</v>
      </c>
      <c r="AM76" s="688">
        <v>15.014176832348801</v>
      </c>
      <c r="AN76" s="688">
        <v>11.762100009524</v>
      </c>
      <c r="AO76" s="688">
        <v>17.508231022493</v>
      </c>
      <c r="AP76" s="688">
        <v>14.9484539723962</v>
      </c>
      <c r="AQ76" s="756">
        <v>15.3815249519327</v>
      </c>
      <c r="AR76" s="755">
        <f t="shared" si="21"/>
        <v>16.885788518347201</v>
      </c>
      <c r="AS76" s="688">
        <v>15.4657873042045</v>
      </c>
      <c r="AT76" s="688">
        <v>14.209666367996601</v>
      </c>
      <c r="AU76" s="688">
        <v>15.693845888639901</v>
      </c>
      <c r="AV76" s="688">
        <v>14.443686006825899</v>
      </c>
      <c r="AW76" s="756">
        <v>10.8648648648649</v>
      </c>
      <c r="AX76" s="755">
        <f t="shared" si="22"/>
        <v>10.1708931787183</v>
      </c>
      <c r="AY76" s="688">
        <v>10.6573226693313</v>
      </c>
      <c r="AZ76" s="688">
        <v>11.9267964065934</v>
      </c>
      <c r="BA76" s="688">
        <v>10.5195834978257</v>
      </c>
      <c r="BB76" s="688">
        <v>11.128020294465101</v>
      </c>
      <c r="BC76" s="756">
        <v>8.7923965197611906</v>
      </c>
      <c r="BD76" s="755">
        <f t="shared" si="31"/>
        <v>11.765131423795699</v>
      </c>
      <c r="BE76" s="688">
        <v>10.7614328987076</v>
      </c>
      <c r="BF76" s="688">
        <v>12.3090957616733</v>
      </c>
      <c r="BG76" s="688">
        <v>10.549168640280101</v>
      </c>
      <c r="BH76" s="688">
        <v>11.755398185119301</v>
      </c>
      <c r="BI76" s="756">
        <v>7.1011861923879298</v>
      </c>
      <c r="BJ76" s="9"/>
      <c r="BK76" s="280" t="str">
        <f t="shared" si="23"/>
        <v>4Q21</v>
      </c>
      <c r="BL76" s="755">
        <f t="shared" si="24"/>
        <v>17.095088819226699</v>
      </c>
      <c r="BM76" s="688">
        <v>11.734944254467701</v>
      </c>
      <c r="BN76" s="688">
        <v>16.687423284989801</v>
      </c>
      <c r="BO76" s="688">
        <v>16.284706883426601</v>
      </c>
      <c r="BP76" s="688">
        <v>17.633680373897899</v>
      </c>
      <c r="BQ76" s="756">
        <v>16.522907924111799</v>
      </c>
      <c r="BR76" s="755">
        <f t="shared" si="25"/>
        <v>16.885788518347201</v>
      </c>
      <c r="BS76" s="688">
        <v>11.0082872928177</v>
      </c>
      <c r="BT76" s="688">
        <v>14.284182305630001</v>
      </c>
      <c r="BU76" s="688">
        <v>18.097826086956498</v>
      </c>
      <c r="BV76" s="688">
        <v>19.927272727272701</v>
      </c>
      <c r="BW76" s="756">
        <v>16.362828488003</v>
      </c>
      <c r="BX76" s="755">
        <f t="shared" si="26"/>
        <v>10.1708931787183</v>
      </c>
      <c r="BY76" s="688">
        <v>6.9750558793405997</v>
      </c>
      <c r="BZ76" s="688">
        <v>7.3011178257355196</v>
      </c>
      <c r="CA76" s="688"/>
      <c r="CB76" s="688">
        <v>15.4025408311834</v>
      </c>
      <c r="CC76" s="756">
        <v>12.8108272529198</v>
      </c>
      <c r="CD76" s="755">
        <f t="shared" si="32"/>
        <v>11.765131423795699</v>
      </c>
      <c r="CE76" s="688">
        <v>6.3968599404937896</v>
      </c>
      <c r="CF76" s="688">
        <v>10.4551699244796</v>
      </c>
      <c r="CG76" s="688">
        <v>12.507422464210901</v>
      </c>
      <c r="CH76" s="688">
        <v>13.9698695489038</v>
      </c>
      <c r="CI76" s="756">
        <v>11.484140436493</v>
      </c>
    </row>
    <row r="77" spans="1:87" ht="14.25" customHeight="1" x14ac:dyDescent="0.25">
      <c r="A77" s="9"/>
      <c r="B77" s="9"/>
      <c r="C77" s="9" t="s">
        <v>732</v>
      </c>
      <c r="D77" s="9"/>
      <c r="E77" s="651">
        <f>AVERAGE(BM73:BQ86)</f>
        <v>26.530528095386988</v>
      </c>
      <c r="F77" s="651">
        <f>AVERAGE(BS73:BW86)</f>
        <v>15.846016840935276</v>
      </c>
      <c r="G77" s="651">
        <f>AVERAGE(BY73:CC86)</f>
        <v>10.720945442413932</v>
      </c>
      <c r="H77" s="651">
        <f>AVERAGE(CE73:CI86)</f>
        <v>11.2817955771977</v>
      </c>
      <c r="I77" s="64">
        <f>IF(I76=4,1,I76+1)</f>
        <v>1</v>
      </c>
      <c r="J77" s="3">
        <f t="shared" si="27"/>
        <v>2022</v>
      </c>
      <c r="K77" s="280" t="str">
        <f t="shared" si="18"/>
        <v>1Q22</v>
      </c>
      <c r="L77" s="755">
        <v>18.662674650698602</v>
      </c>
      <c r="M77" s="688">
        <v>42.010590449879103</v>
      </c>
      <c r="N77" s="688">
        <v>42.529314917212503</v>
      </c>
      <c r="O77" s="688">
        <v>4.8408814187215299</v>
      </c>
      <c r="P77" s="688">
        <v>8.8112139244068697</v>
      </c>
      <c r="Q77" s="756"/>
      <c r="R77" s="755">
        <v>18.507700013679301</v>
      </c>
      <c r="S77" s="688">
        <v>28.375620641095999</v>
      </c>
      <c r="T77" s="688">
        <v>32.636157380461199</v>
      </c>
      <c r="U77" s="688">
        <v>6.6201058663983501</v>
      </c>
      <c r="V77" s="688">
        <v>11.7715962144276</v>
      </c>
      <c r="W77" s="756"/>
      <c r="X77" s="755">
        <v>11.7438373763079</v>
      </c>
      <c r="Y77" s="688">
        <v>28.795299412553799</v>
      </c>
      <c r="Z77" s="688">
        <v>34.226050050054901</v>
      </c>
      <c r="AA77" s="688">
        <v>3.7278175707599601</v>
      </c>
      <c r="AB77" s="688"/>
      <c r="AC77" s="756"/>
      <c r="AD77" s="688">
        <v>10.162276223908</v>
      </c>
      <c r="AE77" s="688">
        <v>18.5729401500767</v>
      </c>
      <c r="AF77" s="688">
        <v>22.2447964277209</v>
      </c>
      <c r="AG77" s="688">
        <v>7.7729967975443097</v>
      </c>
      <c r="AH77" s="688"/>
      <c r="AI77" s="756"/>
      <c r="AJ77" s="9"/>
      <c r="AK77" s="280" t="str">
        <f t="shared" si="19"/>
        <v>1Q22</v>
      </c>
      <c r="AL77" s="755">
        <f t="shared" si="20"/>
        <v>18.662674650698602</v>
      </c>
      <c r="AM77" s="688">
        <v>17.363472686895399</v>
      </c>
      <c r="AN77" s="688">
        <v>13.7604420785299</v>
      </c>
      <c r="AO77" s="688">
        <v>15.996320147194099</v>
      </c>
      <c r="AP77" s="688">
        <v>16.104517271922099</v>
      </c>
      <c r="AQ77" s="756">
        <v>11.919455853020599</v>
      </c>
      <c r="AR77" s="755">
        <f t="shared" si="21"/>
        <v>18.507700013679301</v>
      </c>
      <c r="AS77" s="688">
        <v>17.697400447862901</v>
      </c>
      <c r="AT77" s="688">
        <v>16.781448010803</v>
      </c>
      <c r="AU77" s="688">
        <v>14.9961190168176</v>
      </c>
      <c r="AV77" s="688">
        <v>15.4753596050728</v>
      </c>
      <c r="AW77" s="756">
        <v>11.157657657657699</v>
      </c>
      <c r="AX77" s="755">
        <f t="shared" si="22"/>
        <v>11.7438373763079</v>
      </c>
      <c r="AY77" s="688">
        <v>12.228317582731201</v>
      </c>
      <c r="AZ77" s="688">
        <v>13.107899317428799</v>
      </c>
      <c r="BA77" s="688">
        <v>9.7187249681421797</v>
      </c>
      <c r="BB77" s="688">
        <v>11.921419388362199</v>
      </c>
      <c r="BC77" s="756">
        <v>9.2022807879390491</v>
      </c>
      <c r="BD77" s="755">
        <f t="shared" si="31"/>
        <v>10.162276223908</v>
      </c>
      <c r="BE77" s="688">
        <v>12.426935441913599</v>
      </c>
      <c r="BF77" s="688">
        <v>13.999081760165801</v>
      </c>
      <c r="BG77" s="688">
        <v>10.1973626177734</v>
      </c>
      <c r="BH77" s="688">
        <v>12.511625560959599</v>
      </c>
      <c r="BI77" s="756">
        <v>8.2885651531940798</v>
      </c>
      <c r="BJ77" s="9"/>
      <c r="BK77" s="280" t="str">
        <f t="shared" si="23"/>
        <v>1Q22</v>
      </c>
      <c r="BL77" s="755">
        <f t="shared" si="24"/>
        <v>18.662674650698602</v>
      </c>
      <c r="BM77" s="688">
        <v>11.792353858178</v>
      </c>
      <c r="BN77" s="688">
        <v>16.642521235007401</v>
      </c>
      <c r="BO77" s="688">
        <v>17.271668541876402</v>
      </c>
      <c r="BP77" s="688">
        <v>19.735925873675601</v>
      </c>
      <c r="BQ77" s="756">
        <v>16.227004577211801</v>
      </c>
      <c r="BR77" s="755">
        <f t="shared" si="25"/>
        <v>18.507700013679301</v>
      </c>
      <c r="BS77" s="688">
        <v>11.049047426023501</v>
      </c>
      <c r="BT77" s="688">
        <v>16.125924484235099</v>
      </c>
      <c r="BU77" s="688">
        <v>18.1034482758621</v>
      </c>
      <c r="BV77" s="688">
        <v>21.538366641993601</v>
      </c>
      <c r="BW77" s="756">
        <v>16.321925535915799</v>
      </c>
      <c r="BX77" s="755">
        <f t="shared" si="26"/>
        <v>11.7438373763079</v>
      </c>
      <c r="BY77" s="688">
        <v>6.96557670431564</v>
      </c>
      <c r="BZ77" s="688">
        <v>7.30308788720167</v>
      </c>
      <c r="CA77" s="688"/>
      <c r="CB77" s="688">
        <v>16.936945454512699</v>
      </c>
      <c r="CC77" s="756">
        <v>12.720418557455099</v>
      </c>
      <c r="CD77" s="755">
        <f t="shared" si="32"/>
        <v>10.162276223908</v>
      </c>
      <c r="CE77" s="688">
        <v>6.7674809046734801</v>
      </c>
      <c r="CF77" s="688">
        <v>11.657693955115199</v>
      </c>
      <c r="CG77" s="688">
        <v>12.7447865854973</v>
      </c>
      <c r="CH77" s="688">
        <v>15.2325098937223</v>
      </c>
      <c r="CI77" s="756">
        <v>11.569936532439099</v>
      </c>
    </row>
    <row r="78" spans="1:87" ht="14.25" customHeight="1" x14ac:dyDescent="0.25">
      <c r="A78" s="9"/>
      <c r="B78" s="9"/>
      <c r="C78" s="9" t="s">
        <v>738</v>
      </c>
      <c r="D78" s="9"/>
      <c r="E78" s="651">
        <f>AVERAGE(BM65:BQ86)</f>
        <v>37.962569353978218</v>
      </c>
      <c r="F78" s="651">
        <f>AVERAGE(BS65:BW86)</f>
        <v>17.182365546775141</v>
      </c>
      <c r="G78" s="651">
        <f>AVERAGE(BY65:CC86)</f>
        <v>12.017610025365714</v>
      </c>
      <c r="H78" s="651">
        <f>AVERAGE(CE65:CI86)</f>
        <v>11.514027269594164</v>
      </c>
      <c r="I78" s="64">
        <f>IF(I77+1=5,1,I77+1)</f>
        <v>2</v>
      </c>
      <c r="J78" s="3">
        <f t="shared" si="27"/>
        <v>2022</v>
      </c>
      <c r="K78" s="280" t="str">
        <f t="shared" si="18"/>
        <v>2Q22</v>
      </c>
      <c r="L78" s="755">
        <v>13.8897795591182</v>
      </c>
      <c r="M78" s="688">
        <v>37.297493591002798</v>
      </c>
      <c r="N78" s="688">
        <v>37.543086546763099</v>
      </c>
      <c r="O78" s="688">
        <v>4.0699148798338003</v>
      </c>
      <c r="P78" s="688">
        <v>8.1922859962615604</v>
      </c>
      <c r="Q78" s="756"/>
      <c r="R78" s="688">
        <v>13.212208911451</v>
      </c>
      <c r="S78" s="688">
        <v>24.320159661081998</v>
      </c>
      <c r="T78" s="688">
        <v>27.219763689205799</v>
      </c>
      <c r="U78" s="688">
        <v>5.2973420162211902</v>
      </c>
      <c r="V78" s="688">
        <v>9.2387627103273804</v>
      </c>
      <c r="W78" s="756"/>
      <c r="X78" s="688">
        <v>8.7959023899376891</v>
      </c>
      <c r="Y78" s="688">
        <v>25.199823077204101</v>
      </c>
      <c r="Z78" s="688">
        <v>30.1354797507983</v>
      </c>
      <c r="AA78" s="688">
        <v>3.2716939269225702</v>
      </c>
      <c r="AB78" s="688"/>
      <c r="AC78" s="756"/>
      <c r="AD78" s="688">
        <v>9.32179420814923</v>
      </c>
      <c r="AE78" s="688">
        <v>20.262611697206601</v>
      </c>
      <c r="AF78" s="688">
        <v>23.4544441867024</v>
      </c>
      <c r="AG78" s="688">
        <v>8.4007311086762595</v>
      </c>
      <c r="AH78" s="688"/>
      <c r="AI78" s="756"/>
      <c r="AJ78" s="9"/>
      <c r="AK78" s="280" t="str">
        <f t="shared" si="19"/>
        <v>2Q22</v>
      </c>
      <c r="AL78" s="755">
        <f t="shared" si="20"/>
        <v>13.8897795591182</v>
      </c>
      <c r="AM78" s="688">
        <v>18.630126413188201</v>
      </c>
      <c r="AN78" s="688">
        <v>15.9613632713695</v>
      </c>
      <c r="AO78" s="688">
        <v>18.048758049678</v>
      </c>
      <c r="AP78" s="688">
        <v>16.185119574845</v>
      </c>
      <c r="AQ78" s="756">
        <v>13.714351708158601</v>
      </c>
      <c r="AR78" s="755">
        <f t="shared" si="21"/>
        <v>13.212208911451</v>
      </c>
      <c r="AS78" s="688">
        <v>18.3782510365624</v>
      </c>
      <c r="AT78" s="688">
        <v>19.062611260871801</v>
      </c>
      <c r="AU78" s="688">
        <v>16.939216024866202</v>
      </c>
      <c r="AV78" s="688">
        <v>15.3839030139754</v>
      </c>
      <c r="AW78" s="756">
        <v>12.4183006535948</v>
      </c>
      <c r="AX78" s="755">
        <f t="shared" si="22"/>
        <v>8.7959023899376891</v>
      </c>
      <c r="AY78" s="688">
        <v>13.0108331657086</v>
      </c>
      <c r="AZ78" s="688">
        <v>14.7207664372533</v>
      </c>
      <c r="BA78" s="688">
        <v>10.8634721764166</v>
      </c>
      <c r="BB78" s="688">
        <v>11.9670120353024</v>
      </c>
      <c r="BC78" s="756">
        <v>10.344170119618999</v>
      </c>
      <c r="BD78" s="755">
        <f t="shared" si="31"/>
        <v>9.32179420814923</v>
      </c>
      <c r="BE78" s="688">
        <v>12.963830585001499</v>
      </c>
      <c r="BF78" s="688">
        <v>15.8491313030872</v>
      </c>
      <c r="BG78" s="688">
        <v>11.268157797573</v>
      </c>
      <c r="BH78" s="688">
        <v>12.447252760254701</v>
      </c>
      <c r="BI78" s="756">
        <v>9.1310455028163098</v>
      </c>
      <c r="BJ78" s="9"/>
      <c r="BK78" s="280" t="str">
        <f t="shared" si="23"/>
        <v>2Q22</v>
      </c>
      <c r="BL78" s="755">
        <f t="shared" si="24"/>
        <v>13.8897795591182</v>
      </c>
      <c r="BM78" s="688">
        <v>10.928844492086499</v>
      </c>
      <c r="BN78" s="688">
        <v>16.7407934072159</v>
      </c>
      <c r="BO78" s="688">
        <v>14.7055920727976</v>
      </c>
      <c r="BP78" s="688">
        <v>19.126631867953002</v>
      </c>
      <c r="BQ78" s="756">
        <v>17.014674845475799</v>
      </c>
      <c r="BR78" s="755">
        <f t="shared" si="25"/>
        <v>13.212208911451</v>
      </c>
      <c r="BS78" s="688">
        <v>10.6852212164791</v>
      </c>
      <c r="BT78" s="688">
        <v>16.9204534055572</v>
      </c>
      <c r="BU78" s="688">
        <v>14.9748743718593</v>
      </c>
      <c r="BV78" s="688">
        <v>20.881155127730501</v>
      </c>
      <c r="BW78" s="756">
        <v>17.001245330012502</v>
      </c>
      <c r="BX78" s="755">
        <f t="shared" si="26"/>
        <v>8.7959023899376891</v>
      </c>
      <c r="BY78" s="688">
        <v>6.3599718964184504</v>
      </c>
      <c r="BZ78" s="688">
        <v>7.4825752744952396</v>
      </c>
      <c r="CA78" s="688"/>
      <c r="CB78" s="688">
        <v>16.265938004998699</v>
      </c>
      <c r="CC78" s="756">
        <v>13.1653885302904</v>
      </c>
      <c r="CD78" s="755">
        <f t="shared" si="32"/>
        <v>9.32179420814923</v>
      </c>
      <c r="CE78" s="688">
        <v>6.44909324484202</v>
      </c>
      <c r="CF78" s="688">
        <v>12.6021043694989</v>
      </c>
      <c r="CG78" s="688">
        <v>11.8642050200603</v>
      </c>
      <c r="CH78" s="688">
        <v>14.642263970264301</v>
      </c>
      <c r="CI78" s="756">
        <v>11.8026554700342</v>
      </c>
    </row>
    <row r="79" spans="1:87" ht="14.25" customHeight="1" x14ac:dyDescent="0.25">
      <c r="A79" s="9"/>
      <c r="B79" s="9"/>
      <c r="C79" s="754" t="s">
        <v>766</v>
      </c>
      <c r="D79" s="754"/>
      <c r="E79" s="754"/>
      <c r="F79" s="754"/>
      <c r="G79" s="754"/>
      <c r="H79" s="754"/>
      <c r="I79" s="64">
        <f>IF(I78=4,1,I78+1)</f>
        <v>3</v>
      </c>
      <c r="J79" s="3">
        <f t="shared" si="27"/>
        <v>2022</v>
      </c>
      <c r="K79" s="280" t="str">
        <f t="shared" si="18"/>
        <v>3Q22</v>
      </c>
      <c r="L79" s="755">
        <v>13.8369230769231</v>
      </c>
      <c r="M79" s="688">
        <v>33.6527997178204</v>
      </c>
      <c r="N79" s="688">
        <v>33.8373311420902</v>
      </c>
      <c r="O79" s="688">
        <v>4.0341950222751697</v>
      </c>
      <c r="P79" s="688">
        <v>8.2770225181743999</v>
      </c>
      <c r="Q79" s="756"/>
      <c r="R79" s="688">
        <v>12.2890963186462</v>
      </c>
      <c r="S79" s="688">
        <v>21.008130081300799</v>
      </c>
      <c r="T79" s="688">
        <v>23.432335497513701</v>
      </c>
      <c r="U79" s="688">
        <v>5.0047408252653902</v>
      </c>
      <c r="V79" s="688">
        <v>8.4818488799296006</v>
      </c>
      <c r="W79" s="756"/>
      <c r="X79" s="688">
        <v>9.0089416715791497</v>
      </c>
      <c r="Y79" s="688">
        <v>22.6374115681135</v>
      </c>
      <c r="Z79" s="688">
        <v>27.047315636125202</v>
      </c>
      <c r="AA79" s="688">
        <v>4.3803397496511796</v>
      </c>
      <c r="AB79" s="688"/>
      <c r="AC79" s="756"/>
      <c r="AD79" s="688">
        <v>10.6871475589124</v>
      </c>
      <c r="AE79" s="688">
        <v>21.316191301831601</v>
      </c>
      <c r="AF79" s="688">
        <v>25.4099549219011</v>
      </c>
      <c r="AG79" s="688">
        <v>8.0377940702107402</v>
      </c>
      <c r="AH79" s="688"/>
      <c r="AI79" s="756"/>
      <c r="AJ79" s="9"/>
      <c r="AK79" s="757" t="str">
        <f t="shared" si="19"/>
        <v>3Q22</v>
      </c>
      <c r="AL79" s="755">
        <f t="shared" si="20"/>
        <v>13.8369230769231</v>
      </c>
      <c r="AM79" s="688">
        <v>18.285283104649</v>
      </c>
      <c r="AN79" s="688">
        <v>15.531229783089</v>
      </c>
      <c r="AO79" s="688">
        <v>18.434223080295499</v>
      </c>
      <c r="AP79" s="688">
        <v>15.7918506010747</v>
      </c>
      <c r="AQ79" s="756">
        <v>13.3630724097093</v>
      </c>
      <c r="AR79" s="755">
        <f t="shared" si="21"/>
        <v>12.2890963186462</v>
      </c>
      <c r="AS79" s="688">
        <v>18.0372200865908</v>
      </c>
      <c r="AT79" s="688">
        <v>18.548904045644001</v>
      </c>
      <c r="AU79" s="688">
        <v>17.3009847075473</v>
      </c>
      <c r="AV79" s="688">
        <v>15.0214839738927</v>
      </c>
      <c r="AW79" s="756">
        <v>12.1266380876433</v>
      </c>
      <c r="AX79" s="755">
        <f t="shared" si="22"/>
        <v>9.0089416715791497</v>
      </c>
      <c r="AY79" s="688">
        <v>12.796323855725401</v>
      </c>
      <c r="AZ79" s="688">
        <v>14.3983930880516</v>
      </c>
      <c r="BA79" s="688">
        <v>11.0784790142357</v>
      </c>
      <c r="BB79" s="688">
        <v>11.740186808549501</v>
      </c>
      <c r="BC79" s="756">
        <v>10.121380136389201</v>
      </c>
      <c r="BD79" s="755">
        <f t="shared" si="31"/>
        <v>10.6871475589124</v>
      </c>
      <c r="BE79" s="688">
        <v>12.783834567162399</v>
      </c>
      <c r="BF79" s="688">
        <v>15.506245752162901</v>
      </c>
      <c r="BG79" s="688">
        <v>11.493190886357301</v>
      </c>
      <c r="BH79" s="688">
        <v>12.2156576237082</v>
      </c>
      <c r="BI79" s="756">
        <v>8.9483231492258302</v>
      </c>
      <c r="BJ79" s="9"/>
      <c r="BK79" s="757" t="str">
        <f t="shared" si="23"/>
        <v>3Q22</v>
      </c>
      <c r="BL79" s="755">
        <f t="shared" si="24"/>
        <v>13.8369230769231</v>
      </c>
      <c r="BM79" s="688">
        <v>11.264557763490499</v>
      </c>
      <c r="BN79" s="688">
        <v>16.9769983363012</v>
      </c>
      <c r="BO79" s="688">
        <v>14.639794612769601</v>
      </c>
      <c r="BP79" s="688">
        <v>18.4969909334805</v>
      </c>
      <c r="BQ79" s="756">
        <v>17.038355642830801</v>
      </c>
      <c r="BR79" s="755">
        <f t="shared" si="25"/>
        <v>12.2890963186462</v>
      </c>
      <c r="BS79" s="688">
        <v>11.098891938738801</v>
      </c>
      <c r="BT79" s="688">
        <v>17.1678038497184</v>
      </c>
      <c r="BU79" s="688">
        <v>15.3184158666614</v>
      </c>
      <c r="BV79" s="688">
        <v>20.233709024707899</v>
      </c>
      <c r="BW79" s="756">
        <v>17.0249074363471</v>
      </c>
      <c r="BX79" s="755">
        <f t="shared" si="26"/>
        <v>9.0089416715791497</v>
      </c>
      <c r="BY79" s="688">
        <v>6.5521070460169701</v>
      </c>
      <c r="BZ79" s="688">
        <v>7.5805714791436696</v>
      </c>
      <c r="CA79" s="688"/>
      <c r="CB79" s="688">
        <v>15.7600485469973</v>
      </c>
      <c r="CC79" s="756">
        <v>13.180766059266601</v>
      </c>
      <c r="CD79" s="755">
        <f t="shared" si="32"/>
        <v>10.6871475589124</v>
      </c>
      <c r="CE79" s="688">
        <v>6.6876218938895002</v>
      </c>
      <c r="CF79" s="688">
        <v>13.011960831629301</v>
      </c>
      <c r="CG79" s="688">
        <v>12.452113855824701</v>
      </c>
      <c r="CH79" s="688">
        <v>14.1638045774507</v>
      </c>
      <c r="CI79" s="756">
        <v>11.7889497648763</v>
      </c>
    </row>
    <row r="80" spans="1:87" ht="14.25" customHeight="1" x14ac:dyDescent="0.25">
      <c r="A80" s="9"/>
      <c r="B80" s="9"/>
      <c r="C80" s="64"/>
      <c r="D80" s="9"/>
      <c r="E80" s="64" t="s">
        <v>761</v>
      </c>
      <c r="F80" s="64" t="s">
        <v>762</v>
      </c>
      <c r="G80" s="64" t="s">
        <v>763</v>
      </c>
      <c r="H80" s="64" t="s">
        <v>764</v>
      </c>
      <c r="I80" s="64">
        <f>I76</f>
        <v>4</v>
      </c>
      <c r="J80" s="3">
        <f t="shared" si="27"/>
        <v>2022</v>
      </c>
      <c r="K80" s="280" t="str">
        <f t="shared" si="18"/>
        <v>4Q22</v>
      </c>
      <c r="L80" s="755">
        <v>14.849246231155799</v>
      </c>
      <c r="M80" s="688">
        <v>27.840360670425301</v>
      </c>
      <c r="N80" s="688">
        <v>41.3809353521806</v>
      </c>
      <c r="O80" s="688">
        <v>4.6038563834529</v>
      </c>
      <c r="P80" s="688">
        <v>11.020441974784299</v>
      </c>
      <c r="Q80" s="756"/>
      <c r="R80" s="688">
        <v>13.7801612612071</v>
      </c>
      <c r="S80" s="688">
        <v>24.0955362234427</v>
      </c>
      <c r="T80" s="688">
        <v>28.6049701561065</v>
      </c>
      <c r="U80" s="688">
        <v>5.7407249061802297</v>
      </c>
      <c r="V80" s="688">
        <v>10.427159626768301</v>
      </c>
      <c r="W80" s="756"/>
      <c r="X80" s="688">
        <v>9.1240926886995197</v>
      </c>
      <c r="Y80" s="688">
        <v>21.076065153249601</v>
      </c>
      <c r="Z80" s="688">
        <v>32.781454748266697</v>
      </c>
      <c r="AA80" s="688">
        <v>4.2403862000920203</v>
      </c>
      <c r="AB80" s="688"/>
      <c r="AC80" s="756"/>
      <c r="AD80" s="688">
        <v>10.043192955575901</v>
      </c>
      <c r="AE80" s="688">
        <v>19.467127836058602</v>
      </c>
      <c r="AF80" s="688">
        <v>22.7881229472797</v>
      </c>
      <c r="AG80" s="688">
        <v>8.0823871372369407</v>
      </c>
      <c r="AH80" s="688"/>
      <c r="AI80" s="756"/>
      <c r="AJ80" s="9"/>
      <c r="AK80" s="757" t="str">
        <f t="shared" si="19"/>
        <v>4Q22</v>
      </c>
      <c r="AL80" s="755">
        <f t="shared" si="20"/>
        <v>14.849246231155799</v>
      </c>
      <c r="AM80" s="688">
        <v>18.285283104649</v>
      </c>
      <c r="AN80" s="688">
        <v>15.531229783089</v>
      </c>
      <c r="AO80" s="688">
        <v>18.434223080295499</v>
      </c>
      <c r="AP80" s="688">
        <v>15.7918506010747</v>
      </c>
      <c r="AQ80" s="756">
        <v>13.3630724097093</v>
      </c>
      <c r="AR80" s="755">
        <f t="shared" si="21"/>
        <v>13.7801612612071</v>
      </c>
      <c r="AS80" s="688">
        <v>18.0372200865908</v>
      </c>
      <c r="AT80" s="688">
        <v>18.548904045644001</v>
      </c>
      <c r="AU80" s="688">
        <v>17.3009847075473</v>
      </c>
      <c r="AV80" s="688">
        <v>15.0214839738927</v>
      </c>
      <c r="AW80" s="756">
        <v>12.1266380876433</v>
      </c>
      <c r="AX80" s="755">
        <f t="shared" si="22"/>
        <v>9.1240926886995197</v>
      </c>
      <c r="AY80" s="688">
        <v>12.796323855725401</v>
      </c>
      <c r="AZ80" s="688">
        <v>14.3983930880516</v>
      </c>
      <c r="BA80" s="688">
        <v>11.0784790142357</v>
      </c>
      <c r="BB80" s="688">
        <v>11.740186808549501</v>
      </c>
      <c r="BC80" s="756">
        <v>10.121380136389201</v>
      </c>
      <c r="BD80" s="755">
        <f t="shared" si="31"/>
        <v>10.043192955575901</v>
      </c>
      <c r="BE80" s="688">
        <v>12.783834567162399</v>
      </c>
      <c r="BF80" s="688">
        <v>15.506245752162901</v>
      </c>
      <c r="BG80" s="688">
        <v>11.493190886357301</v>
      </c>
      <c r="BH80" s="688">
        <v>12.2156576237082</v>
      </c>
      <c r="BI80" s="756">
        <v>8.9483231492258302</v>
      </c>
      <c r="BJ80" s="9"/>
      <c r="BK80" s="757" t="str">
        <f t="shared" si="23"/>
        <v>4Q22</v>
      </c>
      <c r="BL80" s="755">
        <f t="shared" si="24"/>
        <v>14.849246231155799</v>
      </c>
      <c r="BM80" s="688">
        <v>11.264557763490499</v>
      </c>
      <c r="BN80" s="688">
        <v>16.9769983363012</v>
      </c>
      <c r="BO80" s="688">
        <v>14.639794612769601</v>
      </c>
      <c r="BP80" s="688">
        <v>18.4969909334805</v>
      </c>
      <c r="BQ80" s="756">
        <v>17.038355642830801</v>
      </c>
      <c r="BR80" s="755">
        <f t="shared" si="25"/>
        <v>13.7801612612071</v>
      </c>
      <c r="BS80" s="688">
        <v>11.098891938738801</v>
      </c>
      <c r="BT80" s="688">
        <v>17.1678038497184</v>
      </c>
      <c r="BU80" s="688">
        <v>15.3184158666614</v>
      </c>
      <c r="BV80" s="688">
        <v>20.233709024707899</v>
      </c>
      <c r="BW80" s="756">
        <v>17.0249074363471</v>
      </c>
      <c r="BX80" s="755">
        <f t="shared" si="26"/>
        <v>9.1240926886995197</v>
      </c>
      <c r="BY80" s="688">
        <v>6.5521070460169701</v>
      </c>
      <c r="BZ80" s="688">
        <v>7.5805714791436696</v>
      </c>
      <c r="CA80" s="688"/>
      <c r="CB80" s="688">
        <v>15.7600485469973</v>
      </c>
      <c r="CC80" s="756">
        <v>13.180766059266601</v>
      </c>
      <c r="CD80" s="755">
        <f t="shared" si="32"/>
        <v>10.043192955575901</v>
      </c>
      <c r="CE80" s="688">
        <v>6.6876218938895002</v>
      </c>
      <c r="CF80" s="688">
        <v>13.011960831629301</v>
      </c>
      <c r="CG80" s="688">
        <v>12.452113855824701</v>
      </c>
      <c r="CH80" s="688">
        <v>14.1638045774507</v>
      </c>
      <c r="CI80" s="756">
        <v>11.7889497648763</v>
      </c>
    </row>
    <row r="81" spans="1:87" ht="14.25" customHeight="1" x14ac:dyDescent="0.25">
      <c r="A81" s="9"/>
      <c r="B81" s="9"/>
      <c r="C81" s="9" t="s">
        <v>767</v>
      </c>
      <c r="D81" s="9"/>
      <c r="E81" s="651">
        <f>AVERAGE(BM8:BQ75)</f>
        <v>23.989111745649577</v>
      </c>
      <c r="F81" s="651">
        <f>AVERAGE(BS8:BW75)</f>
        <v>16.203546988432574</v>
      </c>
      <c r="G81" s="651">
        <f>AVERAGE(BY8:CC75)</f>
        <v>9.8661131234978807</v>
      </c>
      <c r="H81" s="651">
        <f>AVERAGE(CE8:CI75)</f>
        <v>9.2441464344112774</v>
      </c>
      <c r="I81" s="64">
        <f>IF(I80=4,1,I80+1)</f>
        <v>1</v>
      </c>
      <c r="J81" s="3">
        <f t="shared" si="27"/>
        <v>2023</v>
      </c>
      <c r="K81" s="280" t="str">
        <f t="shared" si="18"/>
        <v>1Q23</v>
      </c>
      <c r="L81" s="755">
        <v>16.746192893400998</v>
      </c>
      <c r="M81" s="688">
        <v>30.212205028658399</v>
      </c>
      <c r="N81" s="688">
        <v>34.137958082108298</v>
      </c>
      <c r="O81" s="688">
        <v>5.4327683615819202</v>
      </c>
      <c r="P81" s="688">
        <v>10.523191843738999</v>
      </c>
      <c r="Q81" s="756"/>
      <c r="R81" s="688">
        <v>14.3378171913409</v>
      </c>
      <c r="S81" s="688">
        <v>24.838495327223502</v>
      </c>
      <c r="T81" s="688">
        <v>28.442654782386199</v>
      </c>
      <c r="U81" s="688">
        <v>6.4471176232842398</v>
      </c>
      <c r="V81" s="688">
        <v>9.8993086252370208</v>
      </c>
      <c r="W81" s="756"/>
      <c r="X81" s="688">
        <v>9.4991173430191793</v>
      </c>
      <c r="Y81" s="688">
        <v>22.8424323959294</v>
      </c>
      <c r="Z81" s="688">
        <v>26.349665642932599</v>
      </c>
      <c r="AA81" s="688">
        <v>3.5310680159630801</v>
      </c>
      <c r="AB81" s="688"/>
      <c r="AC81" s="756"/>
      <c r="AD81" s="688">
        <v>12.5324265867905</v>
      </c>
      <c r="AE81" s="688">
        <v>19.968939889158701</v>
      </c>
      <c r="AF81" s="688">
        <v>24.4988863883802</v>
      </c>
      <c r="AG81" s="688">
        <v>8.6858489858055492</v>
      </c>
      <c r="AH81" s="688"/>
      <c r="AI81" s="756"/>
      <c r="AJ81" s="9"/>
      <c r="AK81" s="757" t="str">
        <f t="shared" si="19"/>
        <v>1Q23</v>
      </c>
      <c r="AL81" s="755">
        <f t="shared" si="20"/>
        <v>16.746192893400998</v>
      </c>
      <c r="AM81" s="688">
        <v>18.285283104649</v>
      </c>
      <c r="AN81" s="688">
        <v>15.531229783089</v>
      </c>
      <c r="AO81" s="688">
        <v>18.434223080295499</v>
      </c>
      <c r="AP81" s="688">
        <v>15.7918506010747</v>
      </c>
      <c r="AQ81" s="756">
        <v>13.3630724097093</v>
      </c>
      <c r="AR81" s="755">
        <f t="shared" si="21"/>
        <v>14.3378171913409</v>
      </c>
      <c r="AS81" s="688">
        <v>18.0372200865908</v>
      </c>
      <c r="AT81" s="688">
        <v>18.548904045644001</v>
      </c>
      <c r="AU81" s="688">
        <v>17.3009847075473</v>
      </c>
      <c r="AV81" s="688">
        <v>15.0214839738927</v>
      </c>
      <c r="AW81" s="756">
        <v>12.1266380876433</v>
      </c>
      <c r="AX81" s="755">
        <f t="shared" si="22"/>
        <v>9.4991173430191793</v>
      </c>
      <c r="AY81" s="688">
        <v>12.796323855725401</v>
      </c>
      <c r="AZ81" s="688">
        <v>14.3983930880516</v>
      </c>
      <c r="BA81" s="688">
        <v>11.0784790142357</v>
      </c>
      <c r="BB81" s="688">
        <v>11.740186808549501</v>
      </c>
      <c r="BC81" s="756">
        <v>10.121380136389201</v>
      </c>
      <c r="BD81" s="755">
        <f t="shared" si="31"/>
        <v>12.5324265867905</v>
      </c>
      <c r="BE81" s="688">
        <v>12.783834567162399</v>
      </c>
      <c r="BF81" s="688">
        <v>15.506245752162901</v>
      </c>
      <c r="BG81" s="688">
        <v>11.493190886357301</v>
      </c>
      <c r="BH81" s="688">
        <v>12.2156576237082</v>
      </c>
      <c r="BI81" s="756">
        <v>8.9483231492258302</v>
      </c>
      <c r="BJ81" s="9"/>
      <c r="BK81" s="757" t="str">
        <f t="shared" si="23"/>
        <v>1Q23</v>
      </c>
      <c r="BL81" s="755">
        <f t="shared" si="24"/>
        <v>16.746192893400998</v>
      </c>
      <c r="BM81" s="688">
        <v>11.264557763490499</v>
      </c>
      <c r="BN81" s="688">
        <v>16.9769983363012</v>
      </c>
      <c r="BO81" s="688">
        <v>14.639794612769601</v>
      </c>
      <c r="BP81" s="688">
        <v>18.4969909334805</v>
      </c>
      <c r="BQ81" s="756">
        <v>17.038355642830801</v>
      </c>
      <c r="BR81" s="755">
        <f t="shared" si="25"/>
        <v>14.3378171913409</v>
      </c>
      <c r="BS81" s="688">
        <v>11.098891938738801</v>
      </c>
      <c r="BT81" s="688">
        <v>17.1678038497184</v>
      </c>
      <c r="BU81" s="688">
        <v>15.3184158666614</v>
      </c>
      <c r="BV81" s="688">
        <v>20.233709024707899</v>
      </c>
      <c r="BW81" s="756">
        <v>17.0249074363471</v>
      </c>
      <c r="BX81" s="755">
        <f t="shared" si="26"/>
        <v>9.4991173430191793</v>
      </c>
      <c r="BY81" s="688">
        <v>6.5521070460169701</v>
      </c>
      <c r="BZ81" s="688">
        <v>7.5805714791436696</v>
      </c>
      <c r="CA81" s="688"/>
      <c r="CB81" s="688">
        <v>15.7600485469973</v>
      </c>
      <c r="CC81" s="756">
        <v>13.180766059266601</v>
      </c>
      <c r="CD81" s="755">
        <f t="shared" si="32"/>
        <v>12.5324265867905</v>
      </c>
      <c r="CE81" s="688">
        <v>6.6876218938895002</v>
      </c>
      <c r="CF81" s="688">
        <v>13.011960831629301</v>
      </c>
      <c r="CG81" s="688">
        <v>12.452113855824701</v>
      </c>
      <c r="CH81" s="688">
        <v>14.1638045774507</v>
      </c>
      <c r="CI81" s="756">
        <v>11.7889497648763</v>
      </c>
    </row>
    <row r="82" spans="1:87" ht="14.25" customHeight="1" x14ac:dyDescent="0.25">
      <c r="A82" s="9"/>
      <c r="B82" s="9"/>
      <c r="C82" s="9" t="s">
        <v>768</v>
      </c>
      <c r="D82" s="9"/>
      <c r="E82" s="651">
        <f t="shared" ref="E82:H82" si="39">AVERAGE(E86,E90)</f>
        <v>20.103998318150133</v>
      </c>
      <c r="F82" s="651">
        <f t="shared" si="39"/>
        <v>16.997209724820074</v>
      </c>
      <c r="G82" s="651">
        <f t="shared" si="39"/>
        <v>9.076301266902977</v>
      </c>
      <c r="H82" s="651" t="e">
        <f t="shared" si="39"/>
        <v>#DIV/0!</v>
      </c>
      <c r="I82" s="64">
        <f>IF(I81+1=5,1,I81+1)</f>
        <v>2</v>
      </c>
      <c r="J82" s="3">
        <f t="shared" si="27"/>
        <v>2023</v>
      </c>
      <c r="K82" s="280" t="str">
        <f t="shared" si="18"/>
        <v>2Q23</v>
      </c>
      <c r="L82" s="755">
        <v>18.317560462670901</v>
      </c>
      <c r="M82" s="688">
        <v>31.822915152159201</v>
      </c>
      <c r="N82" s="688">
        <v>36.9457607487223</v>
      </c>
      <c r="O82" s="688">
        <v>7.6527984738345296</v>
      </c>
      <c r="P82" s="688">
        <v>10.570016328872899</v>
      </c>
      <c r="Q82" s="756"/>
      <c r="R82" s="688">
        <v>14.8653912595877</v>
      </c>
      <c r="S82" s="688">
        <v>25.0947013800448</v>
      </c>
      <c r="T82" s="688">
        <v>29.403219350507801</v>
      </c>
      <c r="U82" s="688">
        <v>8.2410086231877493</v>
      </c>
      <c r="V82" s="688">
        <v>10.2617643248369</v>
      </c>
      <c r="W82" s="756"/>
      <c r="X82" s="688">
        <v>9.0420498631231503</v>
      </c>
      <c r="Y82" s="688">
        <v>23.949176322744201</v>
      </c>
      <c r="Z82" s="688">
        <v>28.3110534655324</v>
      </c>
      <c r="AA82" s="688">
        <v>2.8281234871549299</v>
      </c>
      <c r="AB82" s="688"/>
      <c r="AC82" s="756"/>
      <c r="AD82" s="688">
        <v>15.686868094132601</v>
      </c>
      <c r="AE82" s="688">
        <v>22.1702742372043</v>
      </c>
      <c r="AF82" s="688">
        <v>24.8914823719137</v>
      </c>
      <c r="AG82" s="688">
        <v>7.9325398444822799</v>
      </c>
      <c r="AH82" s="688"/>
      <c r="AI82" s="756"/>
      <c r="AJ82" s="9"/>
      <c r="AK82" s="757" t="str">
        <f t="shared" si="19"/>
        <v>2Q23</v>
      </c>
      <c r="AL82" s="755">
        <f t="shared" si="20"/>
        <v>18.317560462670901</v>
      </c>
      <c r="AM82" s="688">
        <v>18.285283104649</v>
      </c>
      <c r="AN82" s="688">
        <v>15.531229783089</v>
      </c>
      <c r="AO82" s="688">
        <v>18.434223080295499</v>
      </c>
      <c r="AP82" s="688">
        <v>15.7918506010747</v>
      </c>
      <c r="AQ82" s="756">
        <v>13.3630724097093</v>
      </c>
      <c r="AR82" s="755">
        <f t="shared" si="21"/>
        <v>14.8653912595877</v>
      </c>
      <c r="AS82" s="688">
        <v>18.0372200865908</v>
      </c>
      <c r="AT82" s="688">
        <v>18.548904045644001</v>
      </c>
      <c r="AU82" s="688">
        <v>17.3009847075473</v>
      </c>
      <c r="AV82" s="688">
        <v>15.0214839738927</v>
      </c>
      <c r="AW82" s="756">
        <v>12.1266380876433</v>
      </c>
      <c r="AX82" s="755">
        <f t="shared" si="22"/>
        <v>9.0420498631231503</v>
      </c>
      <c r="AY82" s="688">
        <v>12.796323855725401</v>
      </c>
      <c r="AZ82" s="688">
        <v>14.3983930880516</v>
      </c>
      <c r="BA82" s="688">
        <v>11.0784790142357</v>
      </c>
      <c r="BB82" s="688">
        <v>11.740186808549501</v>
      </c>
      <c r="BC82" s="756">
        <v>10.121380136389201</v>
      </c>
      <c r="BD82" s="755">
        <f t="shared" si="31"/>
        <v>15.686868094132601</v>
      </c>
      <c r="BE82" s="688">
        <v>12.783834567162399</v>
      </c>
      <c r="BF82" s="688">
        <v>15.506245752162901</v>
      </c>
      <c r="BG82" s="688">
        <v>11.493190886357301</v>
      </c>
      <c r="BH82" s="688">
        <v>12.2156576237082</v>
      </c>
      <c r="BI82" s="756">
        <v>8.9483231492258302</v>
      </c>
      <c r="BJ82" s="9"/>
      <c r="BK82" s="757" t="str">
        <f t="shared" si="23"/>
        <v>2Q23</v>
      </c>
      <c r="BL82" s="755">
        <f t="shared" si="24"/>
        <v>18.317560462670901</v>
      </c>
      <c r="BM82" s="688">
        <v>11.264557763490499</v>
      </c>
      <c r="BN82" s="688">
        <v>16.9769983363012</v>
      </c>
      <c r="BO82" s="688">
        <v>14.639794612769601</v>
      </c>
      <c r="BP82" s="688">
        <v>18.4969909334805</v>
      </c>
      <c r="BQ82" s="756">
        <v>17.038355642830801</v>
      </c>
      <c r="BR82" s="755">
        <f t="shared" si="25"/>
        <v>14.8653912595877</v>
      </c>
      <c r="BS82" s="688">
        <v>11.098891938738801</v>
      </c>
      <c r="BT82" s="688">
        <v>17.1678038497184</v>
      </c>
      <c r="BU82" s="688">
        <v>15.3184158666614</v>
      </c>
      <c r="BV82" s="688">
        <v>20.233709024707899</v>
      </c>
      <c r="BW82" s="756">
        <v>17.0249074363471</v>
      </c>
      <c r="BX82" s="755">
        <f t="shared" si="26"/>
        <v>9.0420498631231503</v>
      </c>
      <c r="BY82" s="688">
        <v>6.5521070460169701</v>
      </c>
      <c r="BZ82" s="688">
        <v>7.5805714791436696</v>
      </c>
      <c r="CA82" s="688"/>
      <c r="CB82" s="688">
        <v>15.7600485469973</v>
      </c>
      <c r="CC82" s="756">
        <v>13.180766059266601</v>
      </c>
      <c r="CD82" s="755">
        <f t="shared" si="32"/>
        <v>15.686868094132601</v>
      </c>
      <c r="CE82" s="688">
        <v>6.6876218938895002</v>
      </c>
      <c r="CF82" s="688">
        <v>13.011960831629301</v>
      </c>
      <c r="CG82" s="688">
        <v>12.452113855824701</v>
      </c>
      <c r="CH82" s="688">
        <v>14.1638045774507</v>
      </c>
      <c r="CI82" s="756">
        <v>11.7889497648763</v>
      </c>
    </row>
    <row r="83" spans="1:87" ht="14.25" customHeight="1" x14ac:dyDescent="0.25">
      <c r="A83" s="9"/>
      <c r="B83" s="9"/>
      <c r="C83" s="9" t="s">
        <v>769</v>
      </c>
      <c r="D83" s="9"/>
      <c r="E83" s="651">
        <f t="shared" ref="E83:H83" si="40">AVERAGE(E87,E91)</f>
        <v>16.107894681806094</v>
      </c>
      <c r="F83" s="651">
        <f t="shared" si="40"/>
        <v>15.302983644943669</v>
      </c>
      <c r="G83" s="651">
        <f t="shared" si="40"/>
        <v>9.9751232285254474</v>
      </c>
      <c r="H83" s="651">
        <f t="shared" si="40"/>
        <v>9.3757588494886495</v>
      </c>
      <c r="I83" s="64">
        <f>IF(I82=4,1,I82+1)</f>
        <v>3</v>
      </c>
      <c r="J83" s="3">
        <f t="shared" si="27"/>
        <v>2023</v>
      </c>
      <c r="K83" s="280" t="str">
        <f t="shared" si="18"/>
        <v>3Q23</v>
      </c>
      <c r="L83" s="755">
        <v>15.177009155645999</v>
      </c>
      <c r="M83" s="688">
        <v>30.8219164314811</v>
      </c>
      <c r="N83" s="688">
        <v>37.190938566047897</v>
      </c>
      <c r="O83" s="688">
        <v>7.5516453171551001</v>
      </c>
      <c r="P83" s="688">
        <v>9.1929873139057197</v>
      </c>
      <c r="Q83" s="756"/>
      <c r="R83" s="688">
        <v>12.4229432572373</v>
      </c>
      <c r="S83" s="688">
        <v>23.425053533190599</v>
      </c>
      <c r="T83" s="688">
        <v>28.337282501967898</v>
      </c>
      <c r="U83" s="688">
        <v>7.4785622480476297</v>
      </c>
      <c r="V83" s="688">
        <v>9.7795184838349591</v>
      </c>
      <c r="W83" s="756"/>
      <c r="X83" s="688">
        <v>7.2158253452955901</v>
      </c>
      <c r="Y83" s="688">
        <v>23.078007562886398</v>
      </c>
      <c r="Z83" s="688">
        <v>28.335593516687599</v>
      </c>
      <c r="AA83" s="688">
        <v>2.7371955482664299</v>
      </c>
      <c r="AB83" s="688"/>
      <c r="AC83" s="756"/>
      <c r="AD83" s="688">
        <v>13.377150976683801</v>
      </c>
      <c r="AE83" s="688">
        <v>23.803935928093399</v>
      </c>
      <c r="AF83" s="688">
        <v>25.3638897889372</v>
      </c>
      <c r="AG83" s="688">
        <v>8.2584627999439402</v>
      </c>
      <c r="AH83" s="688"/>
      <c r="AI83" s="756"/>
      <c r="AJ83" s="9"/>
      <c r="AK83" s="757" t="str">
        <f t="shared" si="19"/>
        <v>3Q23</v>
      </c>
      <c r="AL83" s="755">
        <f t="shared" si="20"/>
        <v>15.177009155645999</v>
      </c>
      <c r="AM83" s="688">
        <v>18.285283104649</v>
      </c>
      <c r="AN83" s="688">
        <v>15.531229783089</v>
      </c>
      <c r="AO83" s="688">
        <v>18.434223080295499</v>
      </c>
      <c r="AP83" s="688">
        <v>15.7918506010747</v>
      </c>
      <c r="AQ83" s="756">
        <v>13.3630724097093</v>
      </c>
      <c r="AR83" s="755">
        <f t="shared" si="21"/>
        <v>12.4229432572373</v>
      </c>
      <c r="AS83" s="688">
        <v>18.0372200865908</v>
      </c>
      <c r="AT83" s="688">
        <v>18.548904045644001</v>
      </c>
      <c r="AU83" s="688">
        <v>17.3009847075473</v>
      </c>
      <c r="AV83" s="688">
        <v>15.0214839738927</v>
      </c>
      <c r="AW83" s="756">
        <v>12.1266380876433</v>
      </c>
      <c r="AX83" s="755">
        <f t="shared" si="22"/>
        <v>7.2158253452955901</v>
      </c>
      <c r="AY83" s="688">
        <v>12.796323855725401</v>
      </c>
      <c r="AZ83" s="688">
        <v>14.3983930880516</v>
      </c>
      <c r="BA83" s="688">
        <v>11.0784790142357</v>
      </c>
      <c r="BB83" s="688">
        <v>11.740186808549501</v>
      </c>
      <c r="BC83" s="756">
        <v>10.121380136389201</v>
      </c>
      <c r="BD83" s="755">
        <f t="shared" si="31"/>
        <v>13.377150976683801</v>
      </c>
      <c r="BE83" s="688">
        <v>12.783834567162399</v>
      </c>
      <c r="BF83" s="688">
        <v>15.506245752162901</v>
      </c>
      <c r="BG83" s="688">
        <v>11.493190886357301</v>
      </c>
      <c r="BH83" s="688">
        <v>12.2156576237082</v>
      </c>
      <c r="BI83" s="756">
        <v>8.9483231492258302</v>
      </c>
      <c r="BJ83" s="9"/>
      <c r="BK83" s="757" t="str">
        <f t="shared" si="23"/>
        <v>3Q23</v>
      </c>
      <c r="BL83" s="755">
        <f t="shared" si="24"/>
        <v>15.177009155645999</v>
      </c>
      <c r="BM83" s="688">
        <v>11.264557763490499</v>
      </c>
      <c r="BN83" s="688">
        <v>16.9769983363012</v>
      </c>
      <c r="BO83" s="688">
        <v>14.639794612769601</v>
      </c>
      <c r="BP83" s="688">
        <v>18.4969909334805</v>
      </c>
      <c r="BQ83" s="756">
        <v>17.038355642830801</v>
      </c>
      <c r="BR83" s="755">
        <f t="shared" si="25"/>
        <v>12.4229432572373</v>
      </c>
      <c r="BS83" s="688">
        <v>11.098891938738801</v>
      </c>
      <c r="BT83" s="688">
        <v>17.1678038497184</v>
      </c>
      <c r="BU83" s="688">
        <v>15.3184158666614</v>
      </c>
      <c r="BV83" s="688">
        <v>20.233709024707899</v>
      </c>
      <c r="BW83" s="756">
        <v>17.0249074363471</v>
      </c>
      <c r="BX83" s="755">
        <f t="shared" si="26"/>
        <v>7.2158253452955901</v>
      </c>
      <c r="BY83" s="688">
        <v>6.5521070460169701</v>
      </c>
      <c r="BZ83" s="688">
        <v>7.5805714791436696</v>
      </c>
      <c r="CA83" s="688"/>
      <c r="CB83" s="688">
        <v>15.7600485469973</v>
      </c>
      <c r="CC83" s="756">
        <v>13.180766059266601</v>
      </c>
      <c r="CD83" s="755">
        <f t="shared" si="32"/>
        <v>13.377150976683801</v>
      </c>
      <c r="CE83" s="688">
        <v>6.6876218938895002</v>
      </c>
      <c r="CF83" s="688">
        <v>13.011960831629301</v>
      </c>
      <c r="CG83" s="688">
        <v>12.452113855824701</v>
      </c>
      <c r="CH83" s="688">
        <v>14.1638045774507</v>
      </c>
      <c r="CI83" s="756">
        <v>11.7889497648763</v>
      </c>
    </row>
    <row r="84" spans="1:87" ht="14.25" customHeight="1" x14ac:dyDescent="0.25">
      <c r="A84" s="9"/>
      <c r="B84" s="9"/>
      <c r="C84" s="9" t="s">
        <v>770</v>
      </c>
      <c r="D84" s="9"/>
      <c r="E84" s="651">
        <f t="shared" ref="E84:H84" si="41">AVERAGE(E88,E92)</f>
        <v>30.136895572954842</v>
      </c>
      <c r="F84" s="651">
        <f t="shared" si="41"/>
        <v>16.117007849523496</v>
      </c>
      <c r="G84" s="651">
        <f t="shared" si="41"/>
        <v>10.637190256202512</v>
      </c>
      <c r="H84" s="651">
        <f t="shared" si="41"/>
        <v>9.9954522991745449</v>
      </c>
      <c r="I84" s="64">
        <f>I80</f>
        <v>4</v>
      </c>
      <c r="J84" s="3">
        <f t="shared" si="27"/>
        <v>2023</v>
      </c>
      <c r="K84" s="280" t="str">
        <f t="shared" si="18"/>
        <v>4Q23</v>
      </c>
      <c r="L84" s="755">
        <v>17.5741088180113</v>
      </c>
      <c r="M84" s="688">
        <v>29.921163738468699</v>
      </c>
      <c r="N84" s="688">
        <v>40.065437114003501</v>
      </c>
      <c r="O84" s="688">
        <v>10.008011293970499</v>
      </c>
      <c r="P84" s="688">
        <v>9.9316723132009201</v>
      </c>
      <c r="Q84" s="756"/>
      <c r="R84" s="688">
        <v>15.207814698560499</v>
      </c>
      <c r="S84" s="688">
        <v>25.435175762489799</v>
      </c>
      <c r="T84" s="688">
        <v>29.976806297441701</v>
      </c>
      <c r="U84" s="688">
        <v>9.5464142701128498</v>
      </c>
      <c r="V84" s="688">
        <v>11.120905381337799</v>
      </c>
      <c r="W84" s="756"/>
      <c r="X84" s="688">
        <v>7.9806658192080304</v>
      </c>
      <c r="Y84" s="688">
        <v>23.126569081547199</v>
      </c>
      <c r="Z84" s="688">
        <v>30.345859844572001</v>
      </c>
      <c r="AA84" s="688">
        <v>2.8367119929762601</v>
      </c>
      <c r="AB84" s="688"/>
      <c r="AC84" s="756"/>
      <c r="AD84" s="688">
        <v>14.566727912103</v>
      </c>
      <c r="AE84" s="688">
        <v>23.4454890288835</v>
      </c>
      <c r="AF84" s="688">
        <v>24.9317897126001</v>
      </c>
      <c r="AG84" s="688">
        <v>11.432738216204401</v>
      </c>
      <c r="AH84" s="688"/>
      <c r="AI84" s="756"/>
      <c r="AJ84" s="9"/>
      <c r="AK84" s="757" t="str">
        <f t="shared" si="19"/>
        <v>4Q23</v>
      </c>
      <c r="AL84" s="755">
        <f t="shared" si="20"/>
        <v>17.5741088180113</v>
      </c>
      <c r="AM84" s="688">
        <v>18.285283104649</v>
      </c>
      <c r="AN84" s="688">
        <v>15.531229783089</v>
      </c>
      <c r="AO84" s="688">
        <v>18.434223080295499</v>
      </c>
      <c r="AP84" s="688">
        <v>15.7918506010747</v>
      </c>
      <c r="AQ84" s="756">
        <v>13.3630724097093</v>
      </c>
      <c r="AR84" s="755">
        <f t="shared" si="21"/>
        <v>15.207814698560499</v>
      </c>
      <c r="AS84" s="688">
        <v>18.0372200865908</v>
      </c>
      <c r="AT84" s="688">
        <v>18.548904045644001</v>
      </c>
      <c r="AU84" s="688">
        <v>17.3009847075473</v>
      </c>
      <c r="AV84" s="688">
        <v>15.0214839738927</v>
      </c>
      <c r="AW84" s="756">
        <v>12.1266380876433</v>
      </c>
      <c r="AX84" s="755">
        <f t="shared" si="22"/>
        <v>7.9806658192080304</v>
      </c>
      <c r="AY84" s="688">
        <v>12.796323855725401</v>
      </c>
      <c r="AZ84" s="688">
        <v>14.3983930880516</v>
      </c>
      <c r="BA84" s="688">
        <v>11.0784790142357</v>
      </c>
      <c r="BB84" s="688">
        <v>11.740186808549501</v>
      </c>
      <c r="BC84" s="756">
        <v>10.121380136389201</v>
      </c>
      <c r="BD84" s="755">
        <f t="shared" si="31"/>
        <v>14.566727912103</v>
      </c>
      <c r="BE84" s="688">
        <v>12.783834567162399</v>
      </c>
      <c r="BF84" s="688">
        <v>15.506245752162901</v>
      </c>
      <c r="BG84" s="688">
        <v>11.493190886357301</v>
      </c>
      <c r="BH84" s="688">
        <v>12.2156576237082</v>
      </c>
      <c r="BI84" s="756">
        <v>8.9483231492258302</v>
      </c>
      <c r="BJ84" s="9"/>
      <c r="BK84" s="757" t="str">
        <f t="shared" si="23"/>
        <v>4Q23</v>
      </c>
      <c r="BL84" s="755">
        <f t="shared" si="24"/>
        <v>17.5741088180113</v>
      </c>
      <c r="BM84" s="688">
        <v>11.264557763490499</v>
      </c>
      <c r="BN84" s="688">
        <v>16.9769983363012</v>
      </c>
      <c r="BO84" s="688">
        <v>14.639794612769601</v>
      </c>
      <c r="BP84" s="688">
        <v>18.4969909334805</v>
      </c>
      <c r="BQ84" s="756">
        <v>17.038355642830801</v>
      </c>
      <c r="BR84" s="755">
        <f t="shared" si="25"/>
        <v>15.207814698560499</v>
      </c>
      <c r="BS84" s="688">
        <v>11.098891938738801</v>
      </c>
      <c r="BT84" s="688">
        <v>17.1678038497184</v>
      </c>
      <c r="BU84" s="688">
        <v>15.3184158666614</v>
      </c>
      <c r="BV84" s="688">
        <v>20.233709024707899</v>
      </c>
      <c r="BW84" s="756">
        <v>17.0249074363471</v>
      </c>
      <c r="BX84" s="755">
        <f t="shared" si="26"/>
        <v>7.9806658192080304</v>
      </c>
      <c r="BY84" s="688">
        <v>6.5521070460169701</v>
      </c>
      <c r="BZ84" s="688">
        <v>7.5805714791436696</v>
      </c>
      <c r="CA84" s="688"/>
      <c r="CB84" s="688">
        <v>15.7600485469973</v>
      </c>
      <c r="CC84" s="756">
        <v>13.180766059266601</v>
      </c>
      <c r="CD84" s="755">
        <f t="shared" si="32"/>
        <v>14.566727912103</v>
      </c>
      <c r="CE84" s="688">
        <v>6.6876218938895002</v>
      </c>
      <c r="CF84" s="688">
        <v>13.011960831629301</v>
      </c>
      <c r="CG84" s="688">
        <v>12.452113855824701</v>
      </c>
      <c r="CH84" s="688">
        <v>14.1638045774507</v>
      </c>
      <c r="CI84" s="756">
        <v>11.7889497648763</v>
      </c>
    </row>
    <row r="85" spans="1:87" ht="14.25" customHeight="1" x14ac:dyDescent="0.25">
      <c r="A85" s="9"/>
      <c r="B85" s="9"/>
      <c r="C85" s="9" t="s">
        <v>771</v>
      </c>
      <c r="D85" s="9"/>
      <c r="E85" s="651">
        <f>AVERAGE(BM8:BQ35)</f>
        <v>19.419899684661807</v>
      </c>
      <c r="F85" s="651">
        <f>AVERAGE(BS8:BW35)</f>
        <v>16.743680586508308</v>
      </c>
      <c r="G85" s="651">
        <f>AVERAGE(BY8:CC35)</f>
        <v>9.5404200826670245</v>
      </c>
      <c r="H85" s="651">
        <f>AVERAGE(CE8:CI35)</f>
        <v>9.3638146738226631</v>
      </c>
      <c r="I85" s="64">
        <f>IF(I84=4,1,I84+1)</f>
        <v>1</v>
      </c>
      <c r="J85" s="3">
        <f t="shared" si="27"/>
        <v>2024</v>
      </c>
      <c r="K85" s="280" t="str">
        <f t="shared" si="18"/>
        <v>1Q24</v>
      </c>
      <c r="L85" s="755">
        <v>20.311329170383601</v>
      </c>
      <c r="M85" s="688">
        <v>32.0737406419506</v>
      </c>
      <c r="N85" s="688">
        <v>38.1859466962024</v>
      </c>
      <c r="O85" s="688">
        <v>11.892172523961699</v>
      </c>
      <c r="P85" s="688">
        <v>12.007707233513599</v>
      </c>
      <c r="Q85" s="756"/>
      <c r="R85" s="688">
        <v>17.188951779495198</v>
      </c>
      <c r="S85" s="688">
        <v>26.5116929732439</v>
      </c>
      <c r="T85" s="688">
        <v>32.1827451570474</v>
      </c>
      <c r="U85" s="688">
        <v>10.4803395626151</v>
      </c>
      <c r="V85" s="688">
        <v>12.6017665667523</v>
      </c>
      <c r="W85" s="756"/>
      <c r="X85" s="688">
        <v>8.7576181956524497</v>
      </c>
      <c r="Y85" s="688">
        <v>24.792133784231101</v>
      </c>
      <c r="Z85" s="688">
        <v>29.7010203723855</v>
      </c>
      <c r="AA85" s="688">
        <v>3.02036369783574</v>
      </c>
      <c r="AB85" s="688"/>
      <c r="AC85" s="756"/>
      <c r="AD85" s="688">
        <v>15.6840403028121</v>
      </c>
      <c r="AE85" s="688">
        <v>21.5252457074304</v>
      </c>
      <c r="AF85" s="688">
        <v>23.6626388127589</v>
      </c>
      <c r="AG85" s="688">
        <v>9.2543178060677391</v>
      </c>
      <c r="AH85" s="688"/>
      <c r="AI85" s="756"/>
      <c r="AJ85" s="9"/>
      <c r="AK85" s="757"/>
      <c r="AL85" s="755"/>
      <c r="AM85" s="688"/>
      <c r="AN85" s="688"/>
      <c r="AO85" s="688"/>
      <c r="AP85" s="688"/>
      <c r="AQ85" s="756"/>
      <c r="AR85" s="755"/>
      <c r="AS85" s="688"/>
      <c r="AT85" s="688"/>
      <c r="AU85" s="688"/>
      <c r="AV85" s="688"/>
      <c r="AW85" s="756"/>
      <c r="AX85" s="755"/>
      <c r="AY85" s="688"/>
      <c r="AZ85" s="688"/>
      <c r="BA85" s="688"/>
      <c r="BB85" s="688"/>
      <c r="BC85" s="756"/>
      <c r="BD85" s="755"/>
      <c r="BE85" s="688"/>
      <c r="BF85" s="688"/>
      <c r="BG85" s="688"/>
      <c r="BH85" s="688"/>
      <c r="BI85" s="756"/>
      <c r="BJ85" s="9"/>
      <c r="BK85" s="757"/>
      <c r="BL85" s="755"/>
      <c r="BM85" s="688"/>
      <c r="BN85" s="688"/>
      <c r="BO85" s="688"/>
      <c r="BP85" s="688"/>
      <c r="BQ85" s="756"/>
      <c r="BR85" s="755"/>
      <c r="BS85" s="688"/>
      <c r="BT85" s="688"/>
      <c r="BU85" s="688"/>
      <c r="BV85" s="688"/>
      <c r="BW85" s="756"/>
      <c r="BX85" s="755"/>
      <c r="BY85" s="688"/>
      <c r="BZ85" s="688"/>
      <c r="CA85" s="688"/>
      <c r="CB85" s="688"/>
      <c r="CC85" s="756"/>
      <c r="CD85" s="755"/>
      <c r="CE85" s="688"/>
      <c r="CF85" s="688"/>
      <c r="CG85" s="688"/>
      <c r="CH85" s="688"/>
      <c r="CI85" s="756"/>
    </row>
    <row r="86" spans="1:87" ht="14.25" customHeight="1" x14ac:dyDescent="0.25">
      <c r="A86" s="9"/>
      <c r="B86" s="9"/>
      <c r="C86" s="9" t="s">
        <v>772</v>
      </c>
      <c r="D86" s="9"/>
      <c r="E86" s="651">
        <f>AVERAGE(BM8:BQ19)</f>
        <v>25.08153198498405</v>
      </c>
      <c r="F86" s="651">
        <f>AVERAGE(BS8:BW19)</f>
        <v>19.390935509155117</v>
      </c>
      <c r="G86" s="651">
        <f>AVERAGE(BY8:CC19)</f>
        <v>9.9820368351702946</v>
      </c>
      <c r="H86" s="651" t="e">
        <f>AVERAGE(CE8:CI19)</f>
        <v>#DIV/0!</v>
      </c>
      <c r="I86" s="64">
        <f t="shared" ref="I86" si="42">IF(I85=4,1,I85+1)</f>
        <v>2</v>
      </c>
      <c r="J86" s="3">
        <f t="shared" ref="J86:J93" si="43">IF(I86=1,J85+1,J85)</f>
        <v>2024</v>
      </c>
      <c r="K86" s="280" t="str">
        <f t="shared" ref="K86:K92" si="44">I86&amp;"Q"&amp;RIGHT(J86,2)</f>
        <v>2Q24</v>
      </c>
      <c r="L86" s="755">
        <v>19.073311367380601</v>
      </c>
      <c r="M86" s="688">
        <v>30.164808321243999</v>
      </c>
      <c r="N86" s="688">
        <v>34.981648035584897</v>
      </c>
      <c r="O86" s="688">
        <v>10.3140292252432</v>
      </c>
      <c r="P86" s="688">
        <v>11.978582819824499</v>
      </c>
      <c r="Q86" s="756"/>
      <c r="R86" s="688">
        <v>16.643763590749799</v>
      </c>
      <c r="S86" s="688">
        <v>24.192179067883799</v>
      </c>
      <c r="T86" s="688">
        <v>28.677359787741299</v>
      </c>
      <c r="U86" s="688">
        <v>9.5665769704675796</v>
      </c>
      <c r="V86" s="688">
        <v>12.2428982506251</v>
      </c>
      <c r="W86" s="756"/>
      <c r="X86" s="688">
        <v>7.9259327586917401</v>
      </c>
      <c r="Y86" s="688">
        <v>23.213816530412501</v>
      </c>
      <c r="Z86" s="688">
        <v>27.1511224697987</v>
      </c>
      <c r="AA86" s="688">
        <v>2.4388779249444301</v>
      </c>
      <c r="AB86" s="688"/>
      <c r="AC86" s="756"/>
      <c r="AD86" s="688">
        <v>16.6069707406422</v>
      </c>
      <c r="AE86" s="688">
        <v>21.481584788259699</v>
      </c>
      <c r="AF86" s="688">
        <v>22.5743545424071</v>
      </c>
      <c r="AG86" s="688">
        <v>9.7105992629279392</v>
      </c>
      <c r="AH86" s="688"/>
      <c r="AI86" s="756"/>
      <c r="AJ86" s="9"/>
      <c r="AK86" s="757" t="str">
        <f>$K86</f>
        <v>2Q24</v>
      </c>
      <c r="AL86" s="755">
        <f>L86</f>
        <v>19.073311367380601</v>
      </c>
      <c r="AM86" s="688">
        <v>18.285283104649</v>
      </c>
      <c r="AN86" s="688">
        <v>15.531229783089</v>
      </c>
      <c r="AO86" s="688">
        <v>18.434223080295499</v>
      </c>
      <c r="AP86" s="688">
        <v>15.7918506010747</v>
      </c>
      <c r="AQ86" s="756">
        <v>13.3630724097093</v>
      </c>
      <c r="AR86" s="755">
        <f>R86</f>
        <v>16.643763590749799</v>
      </c>
      <c r="AS86" s="688">
        <v>18.0372200865908</v>
      </c>
      <c r="AT86" s="688">
        <v>18.548904045644001</v>
      </c>
      <c r="AU86" s="688">
        <v>17.3009847075473</v>
      </c>
      <c r="AV86" s="688">
        <v>15.0214839738927</v>
      </c>
      <c r="AW86" s="756">
        <v>12.1266380876433</v>
      </c>
      <c r="AX86" s="755">
        <f>X86</f>
        <v>7.9259327586917401</v>
      </c>
      <c r="AY86" s="688">
        <v>12.796323855725401</v>
      </c>
      <c r="AZ86" s="688">
        <v>14.3983930880516</v>
      </c>
      <c r="BA86" s="688">
        <v>11.0784790142357</v>
      </c>
      <c r="BB86" s="688">
        <v>11.740186808549501</v>
      </c>
      <c r="BC86" s="756">
        <v>10.121380136389201</v>
      </c>
      <c r="BD86" s="755">
        <f>AD86</f>
        <v>16.6069707406422</v>
      </c>
      <c r="BE86" s="688">
        <v>12.783834567162399</v>
      </c>
      <c r="BF86" s="688">
        <v>15.506245752162901</v>
      </c>
      <c r="BG86" s="688">
        <v>11.493190886357301</v>
      </c>
      <c r="BH86" s="688">
        <v>12.2156576237082</v>
      </c>
      <c r="BI86" s="756">
        <v>8.9483231492258302</v>
      </c>
      <c r="BJ86" s="9"/>
      <c r="BK86" s="757" t="str">
        <f>$K86</f>
        <v>2Q24</v>
      </c>
      <c r="BL86" s="755">
        <f>AL86</f>
        <v>19.073311367380601</v>
      </c>
      <c r="BM86" s="688">
        <v>11.264557763490499</v>
      </c>
      <c r="BN86" s="688">
        <v>16.9769983363012</v>
      </c>
      <c r="BO86" s="688">
        <v>14.639794612769601</v>
      </c>
      <c r="BP86" s="688">
        <v>18.4969909334805</v>
      </c>
      <c r="BQ86" s="756">
        <v>17.038355642830801</v>
      </c>
      <c r="BR86" s="755">
        <f>AR86</f>
        <v>16.643763590749799</v>
      </c>
      <c r="BS86" s="688">
        <v>11.098891938738801</v>
      </c>
      <c r="BT86" s="688">
        <v>17.1678038497184</v>
      </c>
      <c r="BU86" s="688">
        <v>15.3184158666614</v>
      </c>
      <c r="BV86" s="688">
        <v>20.233709024707899</v>
      </c>
      <c r="BW86" s="756">
        <v>17.0249074363471</v>
      </c>
      <c r="BX86" s="755">
        <f>AX86</f>
        <v>7.9259327586917401</v>
      </c>
      <c r="BY86" s="688">
        <v>6.5521070460169701</v>
      </c>
      <c r="BZ86" s="688">
        <v>7.5805714791436696</v>
      </c>
      <c r="CA86" s="688"/>
      <c r="CB86" s="688">
        <v>15.7600485469973</v>
      </c>
      <c r="CC86" s="756">
        <v>13.180766059266601</v>
      </c>
      <c r="CD86" s="755">
        <f>BD86</f>
        <v>16.6069707406422</v>
      </c>
      <c r="CE86" s="688">
        <v>6.6876218938895002</v>
      </c>
      <c r="CF86" s="688">
        <v>13.011960831629301</v>
      </c>
      <c r="CG86" s="688">
        <v>12.452113855824701</v>
      </c>
      <c r="CH86" s="688">
        <v>14.1638045774507</v>
      </c>
      <c r="CI86" s="756">
        <v>11.7889497648763</v>
      </c>
    </row>
    <row r="87" spans="1:87" ht="14.25" customHeight="1" x14ac:dyDescent="0.25">
      <c r="A87" s="9"/>
      <c r="B87" s="9"/>
      <c r="C87" s="9" t="s">
        <v>773</v>
      </c>
      <c r="D87" s="9"/>
      <c r="E87" s="651">
        <f>AVERAGE(BM16:BQ27)</f>
        <v>16.855510192182262</v>
      </c>
      <c r="F87" s="651">
        <f>AVERAGE(BS16:BW27)</f>
        <v>16.195028889155573</v>
      </c>
      <c r="G87" s="651">
        <f>AVERAGE(BY16:CC27)</f>
        <v>10.485944434620379</v>
      </c>
      <c r="H87" s="651">
        <f>AVERAGE(CE16:CI27)</f>
        <v>10.278506200183173</v>
      </c>
      <c r="I87" s="64">
        <f t="shared" ref="I87" si="45">IF(I86+1=5,1,I86+1)</f>
        <v>3</v>
      </c>
      <c r="J87" s="3">
        <f t="shared" si="43"/>
        <v>2024</v>
      </c>
      <c r="K87" s="280" t="str">
        <f t="shared" si="44"/>
        <v>3Q24</v>
      </c>
      <c r="L87" s="755">
        <v>20.238805970149301</v>
      </c>
      <c r="M87" s="688">
        <v>31.5990934122987</v>
      </c>
      <c r="N87" s="688">
        <v>39.155720826847002</v>
      </c>
      <c r="O87" s="688">
        <v>13.180196695047901</v>
      </c>
      <c r="P87" s="688">
        <v>11.546069397319901</v>
      </c>
      <c r="Q87" s="756"/>
      <c r="R87" s="755">
        <v>18.792613932116101</v>
      </c>
      <c r="S87" s="688">
        <v>24.915046894114401</v>
      </c>
      <c r="T87" s="688">
        <v>30.834078605348399</v>
      </c>
      <c r="U87" s="688">
        <v>10.3343955524115</v>
      </c>
      <c r="V87" s="688">
        <v>12.417185192279501</v>
      </c>
      <c r="W87" s="756"/>
      <c r="X87" s="688">
        <v>8.7656862789375705</v>
      </c>
      <c r="Y87" s="688">
        <v>24.012165876067701</v>
      </c>
      <c r="Z87" s="688">
        <v>30.154455365713201</v>
      </c>
      <c r="AA87" s="688">
        <v>2.7446465476588902</v>
      </c>
      <c r="AB87" s="688"/>
      <c r="AC87" s="756"/>
      <c r="AD87" s="688">
        <v>13.3602119362394</v>
      </c>
      <c r="AE87" s="688">
        <v>17.7100467156883</v>
      </c>
      <c r="AF87" s="688">
        <v>18.701165737717002</v>
      </c>
      <c r="AG87" s="688">
        <v>6.7339621167519601</v>
      </c>
      <c r="AH87" s="688"/>
      <c r="AI87" s="756"/>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row>
    <row r="88" spans="1:87" ht="14.25" customHeight="1" x14ac:dyDescent="0.25">
      <c r="A88" s="9"/>
      <c r="B88" s="9"/>
      <c r="C88" s="9" t="s">
        <v>774</v>
      </c>
      <c r="D88" s="9"/>
      <c r="E88" s="651">
        <f>AVERAGE(BM24:BQ35)</f>
        <v>14.892234450874573</v>
      </c>
      <c r="F88" s="651">
        <f>AVERAGE(BS24:BW35)</f>
        <v>14.540423109972403</v>
      </c>
      <c r="G88" s="651">
        <f>AVERAGE(BY24:CC35)</f>
        <v>8.8701398491107799</v>
      </c>
      <c r="H88" s="651">
        <f>AVERAGE(CE24:CI35)</f>
        <v>8.9448678093886382</v>
      </c>
      <c r="I88" s="64">
        <f t="shared" ref="I88" si="46">IF(I87=4,1,I87+1)</f>
        <v>4</v>
      </c>
      <c r="J88" s="3">
        <f t="shared" si="43"/>
        <v>2024</v>
      </c>
      <c r="K88" s="280" t="str">
        <f t="shared" si="44"/>
        <v>4Q24</v>
      </c>
      <c r="L88" s="755">
        <v>21.8388520971302</v>
      </c>
      <c r="M88" s="688">
        <v>31.5853204414909</v>
      </c>
      <c r="N88" s="688">
        <v>41.754208010921097</v>
      </c>
      <c r="O88" s="688">
        <v>15.605037822876699</v>
      </c>
      <c r="P88" s="688">
        <v>13.1411339475767</v>
      </c>
      <c r="Q88" s="756"/>
      <c r="R88" s="755">
        <v>19.590577938587899</v>
      </c>
      <c r="S88" s="688">
        <v>27.3409711876374</v>
      </c>
      <c r="T88" s="688">
        <v>32.376306562307903</v>
      </c>
      <c r="U88" s="688">
        <v>11.7981096408318</v>
      </c>
      <c r="V88" s="688">
        <v>14.093334313221099</v>
      </c>
      <c r="W88" s="756"/>
      <c r="X88" s="688">
        <v>9.6146783606040405</v>
      </c>
      <c r="Y88" s="688">
        <v>24.953734234253499</v>
      </c>
      <c r="Z88" s="688">
        <v>31.9232750798488</v>
      </c>
      <c r="AA88" s="688">
        <v>3.0557781784300699</v>
      </c>
      <c r="AB88" s="688"/>
      <c r="AC88" s="756"/>
      <c r="AD88" s="688">
        <v>12.4849</v>
      </c>
      <c r="AE88" s="688">
        <v>15.5814</v>
      </c>
      <c r="AF88" s="688">
        <v>15.501099999999999</v>
      </c>
      <c r="AG88" s="688">
        <v>15.501099999999999</v>
      </c>
      <c r="AH88" s="688"/>
      <c r="AI88" s="756"/>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row>
    <row r="89" spans="1:87" ht="14.25" customHeight="1" x14ac:dyDescent="0.25">
      <c r="A89" s="9"/>
      <c r="B89" s="9"/>
      <c r="C89" s="9" t="s">
        <v>775</v>
      </c>
      <c r="D89" s="9"/>
      <c r="E89" s="651">
        <f>AVERAGE(BM36:BQ75)</f>
        <v>27.20363279358067</v>
      </c>
      <c r="F89" s="651">
        <f>AVERAGE(BS36:BW75)</f>
        <v>15.825453469779573</v>
      </c>
      <c r="G89" s="651">
        <f>AVERAGE(BY36:CC75)</f>
        <v>10.073825521986931</v>
      </c>
      <c r="H89" s="651">
        <f>AVERAGE(CE36:CI75)</f>
        <v>9.1998691858290744</v>
      </c>
      <c r="I89" s="64">
        <f t="shared" ref="I89" si="47">I85</f>
        <v>1</v>
      </c>
      <c r="J89" s="3">
        <f t="shared" si="43"/>
        <v>2025</v>
      </c>
      <c r="K89" s="280" t="str">
        <f t="shared" si="44"/>
        <v>1Q25</v>
      </c>
      <c r="L89" s="755">
        <v>19.2041399000714</v>
      </c>
      <c r="M89" s="688">
        <v>35.025286045832502</v>
      </c>
      <c r="N89" s="688">
        <v>37.5179891201117</v>
      </c>
      <c r="O89" s="688">
        <v>14.790937156418</v>
      </c>
      <c r="P89" s="688">
        <v>12.252741132496899</v>
      </c>
      <c r="Q89" s="756"/>
      <c r="R89" s="755">
        <v>16.947409434980599</v>
      </c>
      <c r="S89" s="688">
        <v>29.179711429225499</v>
      </c>
      <c r="T89" s="688">
        <v>33.069964973523199</v>
      </c>
      <c r="U89" s="688">
        <v>10.9494170821915</v>
      </c>
      <c r="V89" s="688">
        <v>13.1474034282468</v>
      </c>
      <c r="W89" s="756"/>
      <c r="X89" s="688">
        <v>8.7228899545283305</v>
      </c>
      <c r="Y89" s="688">
        <v>27.5697962021489</v>
      </c>
      <c r="Z89" s="688">
        <v>29.269969897609901</v>
      </c>
      <c r="AA89" s="688">
        <v>3.0738727507753199</v>
      </c>
      <c r="AB89" s="688"/>
      <c r="AC89" s="756"/>
      <c r="AD89" s="688">
        <v>12.4849</v>
      </c>
      <c r="AE89" s="688">
        <v>15.5814</v>
      </c>
      <c r="AF89" s="688">
        <v>15.501099999999999</v>
      </c>
      <c r="AG89" s="688">
        <v>15.501099999999999</v>
      </c>
      <c r="AH89" s="688"/>
      <c r="AI89" s="756"/>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row>
    <row r="90" spans="1:87" ht="14.25" customHeight="1" x14ac:dyDescent="0.25">
      <c r="A90" s="9"/>
      <c r="B90" s="9"/>
      <c r="C90" s="9" t="s">
        <v>776</v>
      </c>
      <c r="D90" s="9"/>
      <c r="E90" s="651">
        <f>AVERAGE(BM36:BQ51)</f>
        <v>15.126464651316216</v>
      </c>
      <c r="F90" s="651">
        <f>AVERAGE(BS36:BW51)</f>
        <v>14.603483940485029</v>
      </c>
      <c r="G90" s="651">
        <f>AVERAGE(BY36:CC51)</f>
        <v>8.1705656986356576</v>
      </c>
      <c r="H90" s="651">
        <f>AVERAGE(CE36:CI51)</f>
        <v>7.7150307167356171</v>
      </c>
      <c r="I90" s="64">
        <f t="shared" ref="I90:I91" si="48">IF(I89=4,1,I89+1)</f>
        <v>2</v>
      </c>
      <c r="J90" s="3">
        <f t="shared" si="43"/>
        <v>2025</v>
      </c>
      <c r="K90" s="280" t="str">
        <f t="shared" si="44"/>
        <v>2Q25</v>
      </c>
      <c r="L90" s="755">
        <v>22.275139664804499</v>
      </c>
      <c r="M90" s="688">
        <v>35.4840147536747</v>
      </c>
      <c r="N90" s="688">
        <v>38.463947322038202</v>
      </c>
      <c r="O90" s="688">
        <v>16.917633563707099</v>
      </c>
      <c r="P90" s="688">
        <v>14.008092619724501</v>
      </c>
      <c r="Q90" s="756"/>
      <c r="R90" s="755">
        <v>19.622894109616499</v>
      </c>
      <c r="S90" s="688">
        <v>28.674463311210602</v>
      </c>
      <c r="T90" s="688">
        <v>32.528405795396203</v>
      </c>
      <c r="U90" s="688">
        <v>12.637430830288199</v>
      </c>
      <c r="V90" s="688">
        <v>15.1282439856033</v>
      </c>
      <c r="W90" s="756"/>
      <c r="X90" s="688">
        <v>9.7240814285602593</v>
      </c>
      <c r="Y90" s="688">
        <v>27.744298436652699</v>
      </c>
      <c r="Z90" s="688">
        <v>29.875971792183702</v>
      </c>
      <c r="AA90" s="688">
        <v>5.5460459451742796</v>
      </c>
      <c r="AB90" s="688"/>
      <c r="AC90" s="756"/>
      <c r="AD90" s="688">
        <v>12.4849</v>
      </c>
      <c r="AE90" s="688">
        <v>15.5814</v>
      </c>
      <c r="AF90" s="688">
        <v>15.501099999999999</v>
      </c>
      <c r="AG90" s="688">
        <v>15.501099999999999</v>
      </c>
      <c r="AH90" s="688"/>
      <c r="AI90" s="756"/>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row>
    <row r="91" spans="1:87" ht="14.25" customHeight="1" x14ac:dyDescent="0.25">
      <c r="A91" s="9"/>
      <c r="B91" s="9"/>
      <c r="C91" s="9" t="s">
        <v>777</v>
      </c>
      <c r="D91" s="9"/>
      <c r="E91" s="651">
        <f>AVERAGE(BM48:BQ63)</f>
        <v>15.360279171429923</v>
      </c>
      <c r="F91" s="651">
        <f>AVERAGE(BS48:BW63)</f>
        <v>14.410938400731766</v>
      </c>
      <c r="G91" s="651">
        <f>AVERAGE(BY48:CC63)</f>
        <v>9.4643020224305161</v>
      </c>
      <c r="H91" s="651">
        <f>AVERAGE(CE48:CI63)</f>
        <v>8.4730114987941256</v>
      </c>
      <c r="I91" s="64">
        <f t="shared" si="48"/>
        <v>3</v>
      </c>
      <c r="J91" s="3">
        <f t="shared" si="43"/>
        <v>2025</v>
      </c>
      <c r="K91" s="280" t="str">
        <f t="shared" si="44"/>
        <v>3Q25</v>
      </c>
      <c r="L91" s="755">
        <v>23.309473684210499</v>
      </c>
      <c r="M91" s="688">
        <v>34.117822719643598</v>
      </c>
      <c r="N91" s="688">
        <v>38.934188483198497</v>
      </c>
      <c r="O91" s="688">
        <v>70.665622427908303</v>
      </c>
      <c r="P91" s="688">
        <v>16.191751236223201</v>
      </c>
      <c r="Q91" s="756"/>
      <c r="R91" s="755">
        <v>19.796494722956702</v>
      </c>
      <c r="S91" s="688">
        <v>26.5601771500389</v>
      </c>
      <c r="T91" s="688">
        <v>31.0669778169324</v>
      </c>
      <c r="U91" s="688">
        <v>11.198248383512899</v>
      </c>
      <c r="V91" s="688">
        <v>15.456866887359499</v>
      </c>
      <c r="W91" s="756"/>
      <c r="X91" s="688">
        <v>10.2194927828135</v>
      </c>
      <c r="Y91" s="688">
        <v>26.506365401219501</v>
      </c>
      <c r="Z91" s="688">
        <v>30.102602345460099</v>
      </c>
      <c r="AA91" s="688">
        <v>7.4274713119070697</v>
      </c>
      <c r="AB91" s="688"/>
      <c r="AC91" s="756"/>
      <c r="AD91" s="688">
        <v>12.4849</v>
      </c>
      <c r="AE91" s="688">
        <v>15.5814</v>
      </c>
      <c r="AF91" s="688">
        <v>15.501099999999999</v>
      </c>
      <c r="AG91" s="688">
        <v>15.501099999999999</v>
      </c>
      <c r="AH91" s="688"/>
      <c r="AI91" s="756"/>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row>
    <row r="92" spans="1:87" ht="14.25" customHeight="1" x14ac:dyDescent="0.25">
      <c r="A92" s="9"/>
      <c r="B92" s="9"/>
      <c r="C92" s="9" t="s">
        <v>778</v>
      </c>
      <c r="D92" s="9"/>
      <c r="E92" s="651">
        <f>AVERAGE(BM60:BQ75)</f>
        <v>45.381556695035108</v>
      </c>
      <c r="F92" s="651">
        <f>AVERAGE(BS60:BW75)</f>
        <v>17.693592589074591</v>
      </c>
      <c r="G92" s="651">
        <f>AVERAGE(BY60:CC75)</f>
        <v>12.404240663294244</v>
      </c>
      <c r="H92" s="651">
        <f>AVERAGE(CE60:CI75)</f>
        <v>11.046036788960452</v>
      </c>
      <c r="I92" s="64">
        <f>IF(I91=4,1,I91+1)</f>
        <v>4</v>
      </c>
      <c r="J92" s="3">
        <f t="shared" si="43"/>
        <v>2025</v>
      </c>
      <c r="K92" s="280" t="str">
        <f t="shared" si="44"/>
        <v>4Q25</v>
      </c>
      <c r="L92" s="755">
        <v>24.828859060402699</v>
      </c>
      <c r="M92" s="688">
        <v>32.911387653561</v>
      </c>
      <c r="N92" s="688">
        <v>39.075876868002197</v>
      </c>
      <c r="O92" s="688">
        <v>64.966622714031899</v>
      </c>
      <c r="P92" s="688">
        <v>16.039487144591501</v>
      </c>
      <c r="Q92" s="756"/>
      <c r="R92" s="755">
        <v>21.117422847462599</v>
      </c>
      <c r="S92" s="688">
        <v>26.556576160261798</v>
      </c>
      <c r="T92" s="688">
        <v>29.850886366534901</v>
      </c>
      <c r="U92" s="688">
        <v>11.609048749156299</v>
      </c>
      <c r="V92" s="688">
        <v>15.2871903004744</v>
      </c>
      <c r="W92" s="756"/>
      <c r="X92" s="688">
        <v>11.076041722994001</v>
      </c>
      <c r="Y92" s="688">
        <v>24.290780313371901</v>
      </c>
      <c r="Z92" s="688">
        <v>30.012753331392801</v>
      </c>
      <c r="AA92" s="688">
        <v>7.0056426453584102</v>
      </c>
      <c r="AB92" s="688"/>
      <c r="AC92" s="756"/>
      <c r="AD92" s="688">
        <v>12.4849</v>
      </c>
      <c r="AE92" s="688">
        <v>15.5814</v>
      </c>
      <c r="AF92" s="688">
        <v>15.501099999999999</v>
      </c>
      <c r="AG92" s="688">
        <v>15.501099999999999</v>
      </c>
      <c r="AH92" s="688"/>
      <c r="AI92" s="756"/>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row>
    <row r="93" spans="1:87" ht="14.25" customHeight="1" x14ac:dyDescent="0.25">
      <c r="A93" s="9"/>
      <c r="B93" s="9"/>
      <c r="C93" s="9"/>
      <c r="D93" s="9"/>
      <c r="E93" s="9"/>
      <c r="F93" s="9"/>
      <c r="G93" s="9"/>
      <c r="H93" s="9"/>
      <c r="I93" s="64">
        <f>IF(I92+1=5,1,I92+1)</f>
        <v>1</v>
      </c>
      <c r="J93" s="3">
        <f t="shared" si="43"/>
        <v>2026</v>
      </c>
      <c r="K93" s="280" t="s">
        <v>489</v>
      </c>
      <c r="L93" s="755">
        <v>19.342652160882601</v>
      </c>
      <c r="M93" s="688">
        <v>28.109484585477698</v>
      </c>
      <c r="N93" s="688">
        <v>29.035975632586101</v>
      </c>
      <c r="O93" s="688">
        <v>33.257383516603198</v>
      </c>
      <c r="P93" s="688">
        <v>14.089573735571401</v>
      </c>
      <c r="Q93" s="756"/>
      <c r="R93" s="755">
        <v>16.332000388541601</v>
      </c>
      <c r="S93" s="688">
        <v>21.871996075989301</v>
      </c>
      <c r="T93" s="688">
        <v>24.335312964979</v>
      </c>
      <c r="U93" s="688">
        <v>8.4857235424697492</v>
      </c>
      <c r="V93" s="688">
        <v>12.9321009037488</v>
      </c>
      <c r="W93" s="756"/>
      <c r="X93" s="688">
        <v>8.9884783921379405</v>
      </c>
      <c r="Y93" s="688">
        <v>20.705153185469001</v>
      </c>
      <c r="Z93" s="688">
        <v>22.392030997704602</v>
      </c>
      <c r="AA93" s="688">
        <v>4.3860264029983398</v>
      </c>
      <c r="AB93" s="688"/>
      <c r="AC93" s="756"/>
      <c r="AD93" s="688">
        <v>12.4849</v>
      </c>
      <c r="AE93" s="688">
        <v>15.5814</v>
      </c>
      <c r="AF93" s="688">
        <v>15.501099999999999</v>
      </c>
      <c r="AG93" s="688">
        <v>15.501099999999999</v>
      </c>
      <c r="AH93" s="688"/>
      <c r="AI93" s="756"/>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row>
    <row r="94" spans="1:87" ht="14.25" customHeight="1" x14ac:dyDescent="0.25">
      <c r="A94" s="205" t="s">
        <v>0</v>
      </c>
      <c r="B94" s="9"/>
      <c r="C94" s="9"/>
      <c r="D94" s="9"/>
      <c r="E94" s="9"/>
      <c r="F94" s="9"/>
      <c r="G94" s="9"/>
      <c r="H94" s="9"/>
      <c r="I94" s="9"/>
      <c r="J94" s="9"/>
      <c r="K94" s="64"/>
      <c r="L94" s="758"/>
      <c r="M94" s="758"/>
      <c r="N94" s="758"/>
      <c r="O94" s="758"/>
      <c r="P94" s="758"/>
      <c r="Q94" s="758"/>
      <c r="R94" s="9"/>
      <c r="S94" s="9"/>
      <c r="T94" s="9"/>
      <c r="U94" s="9"/>
      <c r="V94" s="9"/>
      <c r="W94" s="9"/>
      <c r="X94" s="9"/>
      <c r="Y94" s="9"/>
      <c r="Z94" s="9"/>
      <c r="AA94" s="9"/>
      <c r="AB94" s="9"/>
      <c r="AC94" s="9"/>
      <c r="AD94" s="9"/>
      <c r="AE94" s="9"/>
      <c r="AF94" s="9"/>
      <c r="AG94" s="9"/>
      <c r="AH94" s="9"/>
      <c r="AI94" s="756"/>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row>
    <row r="95" spans="1:87" ht="14.25" customHeight="1" x14ac:dyDescent="0.25">
      <c r="A95" s="9"/>
      <c r="B95" s="9"/>
      <c r="C95" s="9"/>
      <c r="D95" s="9"/>
      <c r="E95" s="9"/>
      <c r="F95" s="9"/>
      <c r="G95" s="9"/>
      <c r="H95" s="9"/>
      <c r="I95" s="9"/>
      <c r="J95" s="9"/>
      <c r="K95" s="64"/>
      <c r="L95" s="758"/>
      <c r="M95" s="758"/>
      <c r="N95" s="758"/>
      <c r="O95" s="758"/>
      <c r="P95" s="758"/>
      <c r="Q95" s="758"/>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row>
    <row r="96" spans="1:87" ht="14.25" customHeight="1" x14ac:dyDescent="0.25">
      <c r="A96" s="9"/>
      <c r="B96" s="9"/>
      <c r="C96" s="9"/>
      <c r="D96" s="9"/>
      <c r="E96" s="9"/>
      <c r="F96" s="9"/>
      <c r="G96" s="9"/>
      <c r="H96" s="9"/>
      <c r="I96" s="9"/>
      <c r="J96" s="9"/>
      <c r="K96" s="64"/>
      <c r="L96" s="758"/>
      <c r="M96" s="758"/>
      <c r="N96" s="758"/>
      <c r="O96" s="758"/>
      <c r="P96" s="758"/>
      <c r="Q96" s="758"/>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row>
    <row r="97" spans="1:87" ht="14.25" customHeight="1" x14ac:dyDescent="0.25">
      <c r="A97" s="9"/>
      <c r="B97" s="9"/>
      <c r="C97" s="9"/>
      <c r="D97" s="9"/>
      <c r="E97" s="9"/>
      <c r="F97" s="9"/>
      <c r="G97" s="9"/>
      <c r="H97" s="9"/>
      <c r="I97" s="9"/>
      <c r="J97" s="9"/>
      <c r="K97" s="64"/>
      <c r="L97" s="758"/>
      <c r="M97" s="758"/>
      <c r="N97" s="758"/>
      <c r="O97" s="758"/>
      <c r="P97" s="758"/>
      <c r="Q97" s="758"/>
      <c r="R97" s="365"/>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row>
    <row r="98" spans="1:87" ht="14.25" customHeight="1" x14ac:dyDescent="0.25">
      <c r="A98" s="9"/>
      <c r="B98" s="9"/>
      <c r="C98" s="9"/>
      <c r="D98" s="9"/>
      <c r="E98" s="9"/>
      <c r="F98" s="9"/>
      <c r="G98" s="9"/>
      <c r="H98" s="9"/>
      <c r="I98" s="9"/>
      <c r="J98" s="9"/>
      <c r="K98" s="64"/>
      <c r="L98" s="758"/>
      <c r="M98" s="758"/>
      <c r="N98" s="758"/>
      <c r="O98" s="758"/>
      <c r="P98" s="758"/>
      <c r="Q98" s="758"/>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row>
    <row r="99" spans="1:87" ht="14.25" customHeight="1" x14ac:dyDescent="0.25">
      <c r="A99" s="9"/>
      <c r="B99" s="9"/>
      <c r="C99" s="9"/>
      <c r="D99" s="9"/>
      <c r="E99" s="9"/>
      <c r="F99" s="9"/>
      <c r="G99" s="9"/>
      <c r="H99" s="9"/>
      <c r="I99" s="9"/>
      <c r="J99" s="9"/>
      <c r="K99" s="64"/>
      <c r="L99" s="758"/>
      <c r="M99" s="758"/>
      <c r="N99" s="758"/>
      <c r="O99" s="758"/>
      <c r="P99" s="758"/>
      <c r="Q99" s="758"/>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row>
    <row r="100" spans="1:87" ht="14.25" customHeight="1" x14ac:dyDescent="0.25">
      <c r="A100" s="9"/>
      <c r="B100" s="9"/>
      <c r="C100" s="9"/>
      <c r="D100" s="9"/>
      <c r="E100" s="9"/>
      <c r="F100" s="9"/>
      <c r="G100" s="9"/>
      <c r="H100" s="9"/>
      <c r="I100" s="9"/>
      <c r="J100" s="9"/>
      <c r="K100" s="64"/>
      <c r="L100" s="758"/>
      <c r="M100" s="758"/>
      <c r="N100" s="758"/>
      <c r="O100" s="758"/>
      <c r="P100" s="758"/>
      <c r="Q100" s="758"/>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row>
    <row r="101" spans="1:87" ht="14.25" customHeight="1" x14ac:dyDescent="0.25">
      <c r="A101" s="9"/>
      <c r="B101" s="9"/>
      <c r="C101" s="9"/>
      <c r="D101" s="9"/>
      <c r="E101" s="9"/>
      <c r="F101" s="9"/>
      <c r="G101" s="9"/>
      <c r="H101" s="9"/>
      <c r="I101" s="9"/>
      <c r="J101" s="9"/>
      <c r="K101" s="64"/>
      <c r="L101" s="758"/>
      <c r="M101" s="758"/>
      <c r="N101" s="758"/>
      <c r="O101" s="758"/>
      <c r="P101" s="758"/>
      <c r="Q101" s="758"/>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row>
    <row r="102" spans="1:87" ht="14.25" customHeight="1" x14ac:dyDescent="0.25">
      <c r="A102" s="9"/>
      <c r="B102" s="9"/>
      <c r="C102" s="9"/>
      <c r="D102" s="9"/>
      <c r="E102" s="9"/>
      <c r="F102" s="9"/>
      <c r="G102" s="9"/>
      <c r="H102" s="9"/>
      <c r="I102" s="9"/>
      <c r="J102" s="9"/>
      <c r="K102" s="64"/>
      <c r="L102" s="758"/>
      <c r="M102" s="758"/>
      <c r="N102" s="758"/>
      <c r="O102" s="758"/>
      <c r="P102" s="758"/>
      <c r="Q102" s="758"/>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row>
    <row r="103" spans="1:87" ht="14.25" customHeight="1" x14ac:dyDescent="0.25">
      <c r="A103" s="9"/>
      <c r="B103" s="9"/>
      <c r="C103" s="9"/>
      <c r="D103" s="9"/>
      <c r="E103" s="9"/>
      <c r="F103" s="9"/>
      <c r="G103" s="9"/>
      <c r="H103" s="9"/>
      <c r="I103" s="9"/>
      <c r="J103" s="9"/>
      <c r="K103" s="64"/>
      <c r="L103" s="758"/>
      <c r="M103" s="758"/>
      <c r="N103" s="758"/>
      <c r="O103" s="758"/>
      <c r="P103" s="758"/>
      <c r="Q103" s="758"/>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row>
    <row r="104" spans="1:87" ht="14.25" customHeight="1" x14ac:dyDescent="0.25">
      <c r="A104" s="9"/>
      <c r="B104" s="9"/>
      <c r="C104" s="9"/>
      <c r="D104" s="9"/>
      <c r="E104" s="9"/>
      <c r="F104" s="9"/>
      <c r="G104" s="9"/>
      <c r="H104" s="9"/>
      <c r="I104" s="9"/>
      <c r="J104" s="9"/>
      <c r="K104" s="64"/>
      <c r="L104" s="758"/>
      <c r="M104" s="758"/>
      <c r="N104" s="758"/>
      <c r="O104" s="758"/>
      <c r="P104" s="758"/>
      <c r="Q104" s="758"/>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row>
    <row r="105" spans="1:87" ht="14.25" customHeight="1" x14ac:dyDescent="0.25">
      <c r="A105" s="9"/>
      <c r="B105" s="9"/>
      <c r="C105" s="9"/>
      <c r="D105" s="9"/>
      <c r="E105" s="9"/>
      <c r="F105" s="9"/>
      <c r="G105" s="9"/>
      <c r="H105" s="9"/>
      <c r="I105" s="9"/>
      <c r="J105" s="9"/>
      <c r="K105" s="64"/>
      <c r="L105" s="758"/>
      <c r="M105" s="758"/>
      <c r="N105" s="758"/>
      <c r="O105" s="758"/>
      <c r="P105" s="758"/>
      <c r="Q105" s="758"/>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row>
    <row r="106" spans="1:87" ht="14.25" customHeight="1" x14ac:dyDescent="0.25">
      <c r="A106" s="9"/>
      <c r="B106" s="9"/>
      <c r="C106" s="9"/>
      <c r="D106" s="9"/>
      <c r="E106" s="9"/>
      <c r="F106" s="9"/>
      <c r="G106" s="9"/>
      <c r="H106" s="9"/>
      <c r="I106" s="9"/>
      <c r="J106" s="9"/>
      <c r="K106" s="64"/>
      <c r="L106" s="758"/>
      <c r="M106" s="758"/>
      <c r="N106" s="758"/>
      <c r="O106" s="758"/>
      <c r="P106" s="758"/>
      <c r="Q106" s="758"/>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row>
    <row r="107" spans="1:87" ht="14.25" customHeight="1" x14ac:dyDescent="0.25">
      <c r="A107" s="9"/>
      <c r="B107" s="9"/>
      <c r="C107" s="9"/>
      <c r="D107" s="9"/>
      <c r="E107" s="9"/>
      <c r="F107" s="9"/>
      <c r="G107" s="9"/>
      <c r="H107" s="9"/>
      <c r="I107" s="9"/>
      <c r="J107" s="9"/>
      <c r="K107" s="64"/>
      <c r="L107" s="758"/>
      <c r="M107" s="758"/>
      <c r="N107" s="758"/>
      <c r="O107" s="758"/>
      <c r="P107" s="758"/>
      <c r="Q107" s="758"/>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row>
    <row r="108" spans="1:87" ht="14.25" customHeight="1" x14ac:dyDescent="0.25">
      <c r="A108" s="9"/>
      <c r="B108" s="9"/>
      <c r="C108" s="9"/>
      <c r="D108" s="9"/>
      <c r="E108" s="9"/>
      <c r="F108" s="9"/>
      <c r="G108" s="9"/>
      <c r="H108" s="9"/>
      <c r="I108" s="9"/>
      <c r="J108" s="9"/>
      <c r="K108" s="64"/>
      <c r="L108" s="758"/>
      <c r="M108" s="758"/>
      <c r="N108" s="758"/>
      <c r="O108" s="758"/>
      <c r="P108" s="758"/>
      <c r="Q108" s="758"/>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row>
    <row r="109" spans="1:87" ht="14.25" customHeight="1" x14ac:dyDescent="0.25">
      <c r="A109" s="9"/>
      <c r="B109" s="9"/>
      <c r="C109" s="9"/>
      <c r="D109" s="9"/>
      <c r="E109" s="9"/>
      <c r="F109" s="9"/>
      <c r="G109" s="9"/>
      <c r="H109" s="9"/>
      <c r="I109" s="9"/>
      <c r="J109" s="9"/>
      <c r="K109" s="64"/>
      <c r="L109" s="758"/>
      <c r="M109" s="758"/>
      <c r="N109" s="758"/>
      <c r="O109" s="758"/>
      <c r="P109" s="758"/>
      <c r="Q109" s="758"/>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row>
    <row r="110" spans="1:87" ht="14.25" customHeight="1" x14ac:dyDescent="0.25">
      <c r="A110" s="9"/>
      <c r="B110" s="9"/>
      <c r="C110" s="9"/>
      <c r="D110" s="9"/>
      <c r="E110" s="9"/>
      <c r="F110" s="9"/>
      <c r="G110" s="9"/>
      <c r="H110" s="9"/>
      <c r="I110" s="9"/>
      <c r="J110" s="9"/>
      <c r="K110" s="64"/>
      <c r="L110" s="758"/>
      <c r="M110" s="758"/>
      <c r="N110" s="758"/>
      <c r="O110" s="758"/>
      <c r="P110" s="758"/>
      <c r="Q110" s="758"/>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row>
    <row r="111" spans="1:87" ht="14.25" customHeight="1" x14ac:dyDescent="0.25">
      <c r="A111" s="9"/>
      <c r="B111" s="9"/>
      <c r="C111" s="9"/>
      <c r="D111" s="9"/>
      <c r="E111" s="9"/>
      <c r="F111" s="9"/>
      <c r="G111" s="9"/>
      <c r="H111" s="9"/>
      <c r="I111" s="9"/>
      <c r="J111" s="9"/>
      <c r="K111" s="64"/>
      <c r="L111" s="758"/>
      <c r="M111" s="758"/>
      <c r="N111" s="758"/>
      <c r="O111" s="758"/>
      <c r="P111" s="758"/>
      <c r="Q111" s="758"/>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row>
    <row r="112" spans="1:87" ht="14.25" customHeight="1" x14ac:dyDescent="0.25">
      <c r="A112" s="9"/>
      <c r="B112" s="9"/>
      <c r="C112" s="9"/>
      <c r="D112" s="9"/>
      <c r="E112" s="9"/>
      <c r="F112" s="9"/>
      <c r="G112" s="9"/>
      <c r="H112" s="9"/>
      <c r="I112" s="9"/>
      <c r="J112" s="9"/>
      <c r="K112" s="64"/>
      <c r="L112" s="758"/>
      <c r="M112" s="758"/>
      <c r="N112" s="758"/>
      <c r="O112" s="758"/>
      <c r="P112" s="758"/>
      <c r="Q112" s="758"/>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row>
    <row r="113" spans="1:87" ht="14.25" customHeight="1" x14ac:dyDescent="0.25">
      <c r="A113" s="9"/>
      <c r="B113" s="9"/>
      <c r="C113" s="9"/>
      <c r="D113" s="9"/>
      <c r="E113" s="9"/>
      <c r="F113" s="9"/>
      <c r="G113" s="9"/>
      <c r="H113" s="9"/>
      <c r="I113" s="9"/>
      <c r="J113" s="9"/>
      <c r="K113" s="64"/>
      <c r="L113" s="758"/>
      <c r="M113" s="758"/>
      <c r="N113" s="758"/>
      <c r="O113" s="758"/>
      <c r="P113" s="758"/>
      <c r="Q113" s="758"/>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row>
    <row r="114" spans="1:87" ht="14.25" customHeight="1" x14ac:dyDescent="0.25">
      <c r="A114" s="9"/>
      <c r="B114" s="9"/>
      <c r="C114" s="9"/>
      <c r="D114" s="9"/>
      <c r="E114" s="9"/>
      <c r="F114" s="9"/>
      <c r="G114" s="9"/>
      <c r="H114" s="9"/>
      <c r="I114" s="9"/>
      <c r="J114" s="9"/>
      <c r="K114" s="64"/>
      <c r="L114" s="758"/>
      <c r="M114" s="758"/>
      <c r="N114" s="758"/>
      <c r="O114" s="758"/>
      <c r="P114" s="758"/>
      <c r="Q114" s="758"/>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row>
    <row r="115" spans="1:87" ht="14.25" customHeight="1" x14ac:dyDescent="0.25">
      <c r="A115" s="9"/>
      <c r="B115" s="9"/>
      <c r="C115" s="9"/>
      <c r="D115" s="9"/>
      <c r="E115" s="9"/>
      <c r="F115" s="9"/>
      <c r="G115" s="9"/>
      <c r="H115" s="9"/>
      <c r="I115" s="9"/>
      <c r="J115" s="9"/>
      <c r="K115" s="64"/>
      <c r="L115" s="758"/>
      <c r="M115" s="758"/>
      <c r="N115" s="758"/>
      <c r="O115" s="758"/>
      <c r="P115" s="758"/>
      <c r="Q115" s="758"/>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row>
    <row r="116" spans="1:87" ht="14.25" customHeight="1" x14ac:dyDescent="0.25">
      <c r="A116" s="9"/>
      <c r="B116" s="9"/>
      <c r="C116" s="9"/>
      <c r="D116" s="9"/>
      <c r="E116" s="9"/>
      <c r="F116" s="9"/>
      <c r="G116" s="9"/>
      <c r="H116" s="9"/>
      <c r="I116" s="9"/>
      <c r="J116" s="9"/>
      <c r="K116" s="64"/>
      <c r="L116" s="758"/>
      <c r="M116" s="758"/>
      <c r="N116" s="758"/>
      <c r="O116" s="758"/>
      <c r="P116" s="758"/>
      <c r="Q116" s="758"/>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row>
    <row r="117" spans="1:87" ht="14.25" customHeight="1" x14ac:dyDescent="0.25">
      <c r="A117" s="9"/>
      <c r="B117" s="9"/>
      <c r="C117" s="9"/>
      <c r="D117" s="9"/>
      <c r="E117" s="9"/>
      <c r="F117" s="9"/>
      <c r="G117" s="9"/>
      <c r="H117" s="9"/>
      <c r="I117" s="9"/>
      <c r="J117" s="9"/>
      <c r="K117" s="64"/>
      <c r="L117" s="758"/>
      <c r="M117" s="758"/>
      <c r="N117" s="758"/>
      <c r="O117" s="758"/>
      <c r="P117" s="758"/>
      <c r="Q117" s="758"/>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row>
    <row r="118" spans="1:87" ht="14.25" customHeight="1" x14ac:dyDescent="0.25">
      <c r="A118" s="9"/>
      <c r="B118" s="9"/>
      <c r="C118" s="9"/>
      <c r="D118" s="9"/>
      <c r="E118" s="9"/>
      <c r="F118" s="9"/>
      <c r="G118" s="9"/>
      <c r="H118" s="9"/>
      <c r="I118" s="9"/>
      <c r="J118" s="9"/>
      <c r="K118" s="64"/>
      <c r="L118" s="758"/>
      <c r="M118" s="758"/>
      <c r="N118" s="758"/>
      <c r="O118" s="758"/>
      <c r="P118" s="758"/>
      <c r="Q118" s="758"/>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row>
    <row r="119" spans="1:87" ht="14.25" customHeight="1" x14ac:dyDescent="0.25">
      <c r="A119" s="9"/>
      <c r="B119" s="9"/>
      <c r="C119" s="9"/>
      <c r="D119" s="9"/>
      <c r="E119" s="9"/>
      <c r="F119" s="9"/>
      <c r="G119" s="9"/>
      <c r="H119" s="9"/>
      <c r="I119" s="9"/>
      <c r="J119" s="9"/>
      <c r="K119" s="64"/>
      <c r="L119" s="758"/>
      <c r="M119" s="758"/>
      <c r="N119" s="758"/>
      <c r="O119" s="758"/>
      <c r="P119" s="758"/>
      <c r="Q119" s="758"/>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row>
    <row r="120" spans="1:87" ht="14.25" customHeight="1" x14ac:dyDescent="0.25">
      <c r="A120" s="9"/>
      <c r="B120" s="9"/>
      <c r="C120" s="9"/>
      <c r="D120" s="9"/>
      <c r="E120" s="9"/>
      <c r="F120" s="9"/>
      <c r="G120" s="9"/>
      <c r="H120" s="9"/>
      <c r="I120" s="9"/>
      <c r="J120" s="9"/>
      <c r="K120" s="64"/>
      <c r="L120" s="758"/>
      <c r="M120" s="758"/>
      <c r="N120" s="758"/>
      <c r="O120" s="758"/>
      <c r="P120" s="758"/>
      <c r="Q120" s="758"/>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row>
    <row r="121" spans="1:87" ht="14.25" customHeight="1" x14ac:dyDescent="0.25">
      <c r="A121" s="9"/>
      <c r="B121" s="9"/>
      <c r="C121" s="9"/>
      <c r="D121" s="9"/>
      <c r="E121" s="9"/>
      <c r="F121" s="9"/>
      <c r="G121" s="9"/>
      <c r="H121" s="9"/>
      <c r="I121" s="9"/>
      <c r="J121" s="9"/>
      <c r="K121" s="64"/>
      <c r="L121" s="758"/>
      <c r="M121" s="758"/>
      <c r="N121" s="758"/>
      <c r="O121" s="758"/>
      <c r="P121" s="758"/>
      <c r="Q121" s="758"/>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row>
    <row r="122" spans="1:87" ht="14.25" customHeight="1" x14ac:dyDescent="0.25">
      <c r="A122" s="9"/>
      <c r="B122" s="9"/>
      <c r="C122" s="9"/>
      <c r="D122" s="9"/>
      <c r="E122" s="9"/>
      <c r="F122" s="9"/>
      <c r="G122" s="9"/>
      <c r="H122" s="9"/>
      <c r="I122" s="9"/>
      <c r="J122" s="9"/>
      <c r="K122" s="64"/>
      <c r="L122" s="758"/>
      <c r="M122" s="758"/>
      <c r="N122" s="758"/>
      <c r="O122" s="758"/>
      <c r="P122" s="758"/>
      <c r="Q122" s="758"/>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row>
    <row r="123" spans="1:87" ht="14.25" customHeight="1" x14ac:dyDescent="0.25">
      <c r="A123" s="9"/>
      <c r="B123" s="9"/>
      <c r="C123" s="9"/>
      <c r="D123" s="9"/>
      <c r="E123" s="9"/>
      <c r="F123" s="9"/>
      <c r="G123" s="9"/>
      <c r="H123" s="9"/>
      <c r="I123" s="9"/>
      <c r="J123" s="9"/>
      <c r="K123" s="64"/>
      <c r="L123" s="758"/>
      <c r="M123" s="758"/>
      <c r="N123" s="758"/>
      <c r="O123" s="758"/>
      <c r="P123" s="758"/>
      <c r="Q123" s="758"/>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row>
    <row r="124" spans="1:87" ht="14.25" customHeight="1" x14ac:dyDescent="0.25">
      <c r="A124" s="9"/>
      <c r="B124" s="9"/>
      <c r="C124" s="9"/>
      <c r="D124" s="9"/>
      <c r="E124" s="9"/>
      <c r="F124" s="9"/>
      <c r="G124" s="9"/>
      <c r="H124" s="9"/>
      <c r="I124" s="9"/>
      <c r="J124" s="9"/>
      <c r="K124" s="64"/>
      <c r="L124" s="758"/>
      <c r="M124" s="758"/>
      <c r="N124" s="758"/>
      <c r="O124" s="758"/>
      <c r="P124" s="758"/>
      <c r="Q124" s="758"/>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row>
    <row r="125" spans="1:87" ht="14.25" customHeight="1" x14ac:dyDescent="0.25">
      <c r="A125" s="9"/>
      <c r="B125" s="9"/>
      <c r="C125" s="9"/>
      <c r="D125" s="9"/>
      <c r="E125" s="9"/>
      <c r="F125" s="9"/>
      <c r="G125" s="9"/>
      <c r="H125" s="9"/>
      <c r="I125" s="9"/>
      <c r="J125" s="9"/>
      <c r="K125" s="64"/>
      <c r="L125" s="758"/>
      <c r="M125" s="758"/>
      <c r="N125" s="758"/>
      <c r="O125" s="758"/>
      <c r="P125" s="758"/>
      <c r="Q125" s="758"/>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row>
    <row r="126" spans="1:87" ht="14.25" customHeight="1" x14ac:dyDescent="0.25">
      <c r="A126" s="9"/>
      <c r="B126" s="9"/>
      <c r="C126" s="9"/>
      <c r="D126" s="9"/>
      <c r="E126" s="9"/>
      <c r="F126" s="9"/>
      <c r="G126" s="9"/>
      <c r="H126" s="9"/>
      <c r="I126" s="9"/>
      <c r="J126" s="9"/>
      <c r="K126" s="64"/>
      <c r="L126" s="758"/>
      <c r="M126" s="758"/>
      <c r="N126" s="758"/>
      <c r="O126" s="758"/>
      <c r="P126" s="758"/>
      <c r="Q126" s="758"/>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row>
    <row r="127" spans="1:87" ht="14.25" customHeight="1" x14ac:dyDescent="0.25">
      <c r="A127" s="9"/>
      <c r="B127" s="9"/>
      <c r="C127" s="9"/>
      <c r="D127" s="9"/>
      <c r="E127" s="9"/>
      <c r="F127" s="9"/>
      <c r="G127" s="9"/>
      <c r="H127" s="9"/>
      <c r="I127" s="9"/>
      <c r="J127" s="9"/>
      <c r="K127" s="64"/>
      <c r="L127" s="758"/>
      <c r="M127" s="758"/>
      <c r="N127" s="758"/>
      <c r="O127" s="758"/>
      <c r="P127" s="758"/>
      <c r="Q127" s="758"/>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row>
    <row r="128" spans="1:87" ht="14.25" customHeight="1" x14ac:dyDescent="0.25">
      <c r="A128" s="9"/>
      <c r="B128" s="9"/>
      <c r="C128" s="9"/>
      <c r="D128" s="9"/>
      <c r="E128" s="9"/>
      <c r="F128" s="9"/>
      <c r="G128" s="9"/>
      <c r="H128" s="9"/>
      <c r="I128" s="9"/>
      <c r="J128" s="9"/>
      <c r="K128" s="64"/>
      <c r="L128" s="758"/>
      <c r="M128" s="758"/>
      <c r="N128" s="758"/>
      <c r="O128" s="758"/>
      <c r="P128" s="758"/>
      <c r="Q128" s="758"/>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row>
    <row r="129" spans="1:87" ht="14.25" customHeight="1" x14ac:dyDescent="0.25">
      <c r="A129" s="9"/>
      <c r="B129" s="9"/>
      <c r="C129" s="9"/>
      <c r="D129" s="9"/>
      <c r="E129" s="9"/>
      <c r="F129" s="9"/>
      <c r="G129" s="9"/>
      <c r="H129" s="9"/>
      <c r="I129" s="9"/>
      <c r="J129" s="9"/>
      <c r="K129" s="64"/>
      <c r="L129" s="758"/>
      <c r="M129" s="758"/>
      <c r="N129" s="758"/>
      <c r="O129" s="758"/>
      <c r="P129" s="758"/>
      <c r="Q129" s="758"/>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row>
    <row r="130" spans="1:87" ht="14.25" customHeight="1" x14ac:dyDescent="0.25">
      <c r="A130" s="9"/>
      <c r="B130" s="9"/>
      <c r="C130" s="9"/>
      <c r="D130" s="9"/>
      <c r="E130" s="9"/>
      <c r="F130" s="9"/>
      <c r="G130" s="9"/>
      <c r="H130" s="9"/>
      <c r="I130" s="9"/>
      <c r="J130" s="9"/>
      <c r="K130" s="64"/>
      <c r="L130" s="758"/>
      <c r="M130" s="758"/>
      <c r="N130" s="758"/>
      <c r="O130" s="758"/>
      <c r="P130" s="758"/>
      <c r="Q130" s="758"/>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row>
    <row r="131" spans="1:87" ht="14.25" customHeight="1" x14ac:dyDescent="0.25">
      <c r="A131" s="9"/>
      <c r="B131" s="9"/>
      <c r="C131" s="9"/>
      <c r="D131" s="9"/>
      <c r="E131" s="9"/>
      <c r="F131" s="9"/>
      <c r="G131" s="9"/>
      <c r="H131" s="9"/>
      <c r="I131" s="9"/>
      <c r="J131" s="9"/>
      <c r="K131" s="64"/>
      <c r="L131" s="758"/>
      <c r="M131" s="758"/>
      <c r="N131" s="758"/>
      <c r="O131" s="758"/>
      <c r="P131" s="758"/>
      <c r="Q131" s="758"/>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row>
    <row r="132" spans="1:87" ht="14.25" customHeight="1" x14ac:dyDescent="0.25">
      <c r="A132" s="9"/>
      <c r="B132" s="9"/>
      <c r="C132" s="9"/>
      <c r="D132" s="9"/>
      <c r="E132" s="9"/>
      <c r="F132" s="9"/>
      <c r="G132" s="9"/>
      <c r="H132" s="9"/>
      <c r="I132" s="9"/>
      <c r="J132" s="9"/>
      <c r="K132" s="64"/>
      <c r="L132" s="758"/>
      <c r="M132" s="758"/>
      <c r="N132" s="758"/>
      <c r="O132" s="758"/>
      <c r="P132" s="758"/>
      <c r="Q132" s="758"/>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row>
    <row r="133" spans="1:87" ht="14.25" customHeight="1" x14ac:dyDescent="0.25">
      <c r="A133" s="9"/>
      <c r="B133" s="9"/>
      <c r="C133" s="9"/>
      <c r="D133" s="9"/>
      <c r="E133" s="9"/>
      <c r="F133" s="9"/>
      <c r="G133" s="9"/>
      <c r="H133" s="9"/>
      <c r="I133" s="9"/>
      <c r="J133" s="9"/>
      <c r="K133" s="64"/>
      <c r="L133" s="758"/>
      <c r="M133" s="758"/>
      <c r="N133" s="758"/>
      <c r="O133" s="758"/>
      <c r="P133" s="758"/>
      <c r="Q133" s="758"/>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row>
    <row r="134" spans="1:87" ht="14.25" customHeight="1" x14ac:dyDescent="0.25">
      <c r="A134" s="9"/>
      <c r="B134" s="9"/>
      <c r="C134" s="9"/>
      <c r="D134" s="9"/>
      <c r="E134" s="9"/>
      <c r="F134" s="9"/>
      <c r="G134" s="9"/>
      <c r="H134" s="9"/>
      <c r="I134" s="9"/>
      <c r="J134" s="9"/>
      <c r="K134" s="64"/>
      <c r="L134" s="758"/>
      <c r="M134" s="758"/>
      <c r="N134" s="758"/>
      <c r="O134" s="758"/>
      <c r="P134" s="758"/>
      <c r="Q134" s="758"/>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row>
    <row r="135" spans="1:87" ht="14.25" customHeight="1" x14ac:dyDescent="0.25">
      <c r="A135" s="9"/>
      <c r="B135" s="9"/>
      <c r="C135" s="9"/>
      <c r="D135" s="9"/>
      <c r="E135" s="9"/>
      <c r="F135" s="9"/>
      <c r="G135" s="9"/>
      <c r="H135" s="9"/>
      <c r="I135" s="9"/>
      <c r="J135" s="9"/>
      <c r="K135" s="64"/>
      <c r="L135" s="758"/>
      <c r="M135" s="758"/>
      <c r="N135" s="758"/>
      <c r="O135" s="758"/>
      <c r="P135" s="758"/>
      <c r="Q135" s="758"/>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row>
    <row r="136" spans="1:87" ht="14.25" customHeight="1" x14ac:dyDescent="0.25">
      <c r="A136" s="9"/>
      <c r="B136" s="9"/>
      <c r="C136" s="9"/>
      <c r="D136" s="9"/>
      <c r="E136" s="9"/>
      <c r="F136" s="9"/>
      <c r="G136" s="9"/>
      <c r="H136" s="9"/>
      <c r="I136" s="9"/>
      <c r="J136" s="9"/>
      <c r="K136" s="64"/>
      <c r="L136" s="758"/>
      <c r="M136" s="758"/>
      <c r="N136" s="9"/>
      <c r="O136" s="758"/>
      <c r="P136" s="758"/>
      <c r="Q136" s="758"/>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row>
    <row r="137" spans="1:87" ht="14.25" customHeight="1" x14ac:dyDescent="0.25">
      <c r="A137" s="9"/>
      <c r="B137" s="9"/>
      <c r="C137" s="9"/>
      <c r="D137" s="9"/>
      <c r="E137" s="9"/>
      <c r="F137" s="9"/>
      <c r="G137" s="9"/>
      <c r="H137" s="9"/>
      <c r="I137" s="9"/>
      <c r="J137" s="9"/>
      <c r="K137" s="64"/>
      <c r="L137" s="758"/>
      <c r="M137" s="758"/>
      <c r="N137" s="9"/>
      <c r="O137" s="758"/>
      <c r="P137" s="758"/>
      <c r="Q137" s="758"/>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row>
    <row r="138" spans="1:87" ht="14.25" customHeight="1" x14ac:dyDescent="0.25">
      <c r="A138" s="9"/>
      <c r="B138" s="9"/>
      <c r="C138" s="9"/>
      <c r="D138" s="9"/>
      <c r="E138" s="9"/>
      <c r="F138" s="9"/>
      <c r="G138" s="9"/>
      <c r="H138" s="9"/>
      <c r="I138" s="9"/>
      <c r="J138" s="9"/>
      <c r="K138" s="64"/>
      <c r="L138" s="758"/>
      <c r="M138" s="758"/>
      <c r="N138" s="9"/>
      <c r="O138" s="758"/>
      <c r="P138" s="758"/>
      <c r="Q138" s="758"/>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row>
    <row r="139" spans="1:87" ht="14.25" customHeight="1" x14ac:dyDescent="0.25">
      <c r="A139" s="9"/>
      <c r="B139" s="9"/>
      <c r="C139" s="9"/>
      <c r="D139" s="9"/>
      <c r="E139" s="9"/>
      <c r="F139" s="9"/>
      <c r="G139" s="9"/>
      <c r="H139" s="9"/>
      <c r="I139" s="9"/>
      <c r="J139" s="9"/>
      <c r="K139" s="64"/>
      <c r="L139" s="758"/>
      <c r="M139" s="758"/>
      <c r="N139" s="9"/>
      <c r="O139" s="758"/>
      <c r="P139" s="758"/>
      <c r="Q139" s="758"/>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row>
    <row r="140" spans="1:87" ht="14.25" customHeight="1" x14ac:dyDescent="0.25">
      <c r="A140" s="2"/>
      <c r="B140" s="2"/>
      <c r="C140" s="2"/>
      <c r="D140" s="2"/>
      <c r="E140" s="2"/>
      <c r="F140" s="2"/>
      <c r="G140" s="2"/>
      <c r="H140" s="2"/>
      <c r="I140" s="2"/>
      <c r="J140" s="9"/>
      <c r="K140" s="64"/>
      <c r="L140" s="758"/>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row>
    <row r="141" spans="1:87" ht="14.25" customHeight="1" x14ac:dyDescent="0.25">
      <c r="A141" s="2"/>
      <c r="B141" s="2"/>
      <c r="C141" s="2"/>
      <c r="D141" s="2"/>
      <c r="E141" s="2"/>
      <c r="F141" s="2"/>
      <c r="G141" s="2"/>
      <c r="H141" s="2"/>
      <c r="I141" s="2"/>
      <c r="J141" s="2"/>
      <c r="K141" s="183"/>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row>
    <row r="142" spans="1:87" ht="14.25" customHeight="1" x14ac:dyDescent="0.25">
      <c r="A142" s="2"/>
      <c r="B142" s="2"/>
      <c r="C142" s="2"/>
      <c r="D142" s="2"/>
      <c r="E142" s="2"/>
      <c r="F142" s="2"/>
      <c r="G142" s="2"/>
      <c r="H142" s="2"/>
      <c r="I142" s="2"/>
      <c r="J142" s="2"/>
      <c r="K142" s="183"/>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row>
    <row r="143" spans="1:87" ht="14.25" customHeight="1" x14ac:dyDescent="0.25">
      <c r="A143" s="2"/>
      <c r="B143" s="2"/>
      <c r="C143" s="2"/>
      <c r="D143" s="2"/>
      <c r="E143" s="2"/>
      <c r="F143" s="2"/>
      <c r="G143" s="2"/>
      <c r="H143" s="2"/>
      <c r="I143" s="2"/>
      <c r="J143" s="2"/>
      <c r="K143" s="183"/>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row>
    <row r="144" spans="1:87" ht="14.25" customHeight="1" x14ac:dyDescent="0.25">
      <c r="A144" s="2"/>
      <c r="B144" s="2"/>
      <c r="C144" s="2"/>
      <c r="D144" s="2"/>
      <c r="E144" s="2"/>
      <c r="F144" s="2"/>
      <c r="G144" s="2"/>
      <c r="H144" s="2"/>
      <c r="I144" s="2"/>
      <c r="J144" s="2"/>
      <c r="K144" s="183"/>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row>
    <row r="145" spans="1:87" ht="14.25" customHeight="1" x14ac:dyDescent="0.25">
      <c r="A145" s="2"/>
      <c r="B145" s="2"/>
      <c r="C145" s="2"/>
      <c r="D145" s="2"/>
      <c r="E145" s="2"/>
      <c r="F145" s="2"/>
      <c r="G145" s="2"/>
      <c r="H145" s="2"/>
      <c r="I145" s="2"/>
      <c r="J145" s="2"/>
      <c r="K145" s="183"/>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row>
    <row r="146" spans="1:87" ht="14.25" customHeight="1" x14ac:dyDescent="0.25">
      <c r="A146" s="2"/>
      <c r="B146" s="2"/>
      <c r="C146" s="2"/>
      <c r="D146" s="2"/>
      <c r="E146" s="2"/>
      <c r="F146" s="2"/>
      <c r="G146" s="2"/>
      <c r="H146" s="2"/>
      <c r="I146" s="2"/>
      <c r="J146" s="2"/>
      <c r="K146" s="183"/>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row>
    <row r="147" spans="1:87" ht="14.25" customHeight="1" x14ac:dyDescent="0.25">
      <c r="A147" s="2"/>
      <c r="B147" s="2"/>
      <c r="C147" s="2"/>
      <c r="D147" s="2"/>
      <c r="E147" s="2"/>
      <c r="F147" s="2"/>
      <c r="G147" s="2"/>
      <c r="H147" s="2"/>
      <c r="I147" s="2"/>
      <c r="J147" s="2"/>
      <c r="K147" s="183"/>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row>
    <row r="148" spans="1:87" ht="14.25" customHeight="1" x14ac:dyDescent="0.25">
      <c r="A148" s="2"/>
      <c r="B148" s="2"/>
      <c r="C148" s="2"/>
      <c r="D148" s="2"/>
      <c r="E148" s="2"/>
      <c r="F148" s="2"/>
      <c r="G148" s="2"/>
      <c r="H148" s="2"/>
      <c r="I148" s="2"/>
      <c r="J148" s="2"/>
      <c r="K148" s="183"/>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row>
    <row r="149" spans="1:87" ht="14.25" customHeight="1" x14ac:dyDescent="0.25">
      <c r="A149" s="2"/>
      <c r="B149" s="2"/>
      <c r="C149" s="2"/>
      <c r="D149" s="2"/>
      <c r="E149" s="2"/>
      <c r="F149" s="2"/>
      <c r="G149" s="2"/>
      <c r="H149" s="2"/>
      <c r="I149" s="2"/>
      <c r="J149" s="2"/>
      <c r="K149" s="183"/>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row>
    <row r="150" spans="1:87" ht="14.25" customHeight="1" x14ac:dyDescent="0.25">
      <c r="A150" s="2"/>
      <c r="B150" s="2"/>
      <c r="C150" s="2"/>
      <c r="D150" s="2"/>
      <c r="E150" s="2"/>
      <c r="F150" s="2"/>
      <c r="G150" s="2"/>
      <c r="H150" s="2"/>
      <c r="I150" s="2"/>
      <c r="J150" s="2"/>
      <c r="K150" s="183"/>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row>
    <row r="151" spans="1:87" ht="14.25" customHeight="1" x14ac:dyDescent="0.25">
      <c r="A151" s="2"/>
      <c r="B151" s="2"/>
      <c r="C151" s="2"/>
      <c r="D151" s="2"/>
      <c r="E151" s="2"/>
      <c r="F151" s="2"/>
      <c r="G151" s="2"/>
      <c r="H151" s="2"/>
      <c r="I151" s="2"/>
      <c r="J151" s="2"/>
      <c r="K151" s="183"/>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row>
    <row r="152" spans="1:87" ht="14.25" customHeight="1" x14ac:dyDescent="0.25">
      <c r="A152" s="2"/>
      <c r="B152" s="2"/>
      <c r="C152" s="2"/>
      <c r="D152" s="2"/>
      <c r="E152" s="2"/>
      <c r="F152" s="2"/>
      <c r="G152" s="2"/>
      <c r="H152" s="2"/>
      <c r="I152" s="2"/>
      <c r="J152" s="2"/>
      <c r="K152" s="183"/>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row>
    <row r="153" spans="1:87" ht="14.25" customHeight="1" x14ac:dyDescent="0.25">
      <c r="A153" s="2"/>
      <c r="B153" s="2"/>
      <c r="C153" s="2"/>
      <c r="D153" s="2"/>
      <c r="E153" s="2"/>
      <c r="F153" s="2"/>
      <c r="G153" s="2"/>
      <c r="H153" s="2"/>
      <c r="I153" s="2"/>
      <c r="J153" s="2"/>
      <c r="K153" s="183"/>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row>
    <row r="154" spans="1:87" ht="14.25" customHeight="1" x14ac:dyDescent="0.25">
      <c r="A154" s="2"/>
      <c r="B154" s="2"/>
      <c r="C154" s="2"/>
      <c r="D154" s="2"/>
      <c r="E154" s="2"/>
      <c r="F154" s="2"/>
      <c r="G154" s="2"/>
      <c r="H154" s="2"/>
      <c r="I154" s="2"/>
      <c r="J154" s="2"/>
      <c r="K154" s="183"/>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row>
    <row r="155" spans="1:87" ht="14.25" customHeight="1" x14ac:dyDescent="0.25">
      <c r="A155" s="2"/>
      <c r="B155" s="2"/>
      <c r="C155" s="2"/>
      <c r="D155" s="2"/>
      <c r="E155" s="2"/>
      <c r="F155" s="2"/>
      <c r="G155" s="2"/>
      <c r="H155" s="2"/>
      <c r="I155" s="2"/>
      <c r="J155" s="2"/>
      <c r="K155" s="183"/>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row>
    <row r="156" spans="1:87" ht="14.25" customHeight="1" x14ac:dyDescent="0.25">
      <c r="A156" s="2"/>
      <c r="B156" s="2"/>
      <c r="C156" s="2"/>
      <c r="D156" s="2"/>
      <c r="E156" s="2"/>
      <c r="F156" s="2"/>
      <c r="G156" s="2"/>
      <c r="H156" s="2"/>
      <c r="I156" s="2"/>
      <c r="J156" s="2"/>
      <c r="K156" s="183"/>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row>
    <row r="157" spans="1:87" ht="14.25" customHeight="1" x14ac:dyDescent="0.25">
      <c r="A157" s="2"/>
      <c r="B157" s="2"/>
      <c r="C157" s="2"/>
      <c r="D157" s="2"/>
      <c r="E157" s="2"/>
      <c r="F157" s="2"/>
      <c r="G157" s="2"/>
      <c r="H157" s="2"/>
      <c r="I157" s="2"/>
      <c r="J157" s="2"/>
      <c r="K157" s="183"/>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row>
    <row r="158" spans="1:87" ht="14.25" customHeight="1" x14ac:dyDescent="0.25">
      <c r="A158" s="2"/>
      <c r="B158" s="2"/>
      <c r="C158" s="2"/>
      <c r="D158" s="2"/>
      <c r="E158" s="2"/>
      <c r="F158" s="2"/>
      <c r="G158" s="2"/>
      <c r="H158" s="2"/>
      <c r="I158" s="2"/>
      <c r="J158" s="2"/>
      <c r="K158" s="183"/>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row>
    <row r="159" spans="1:87" ht="14.25" customHeight="1" x14ac:dyDescent="0.25">
      <c r="A159" s="2"/>
      <c r="B159" s="2"/>
      <c r="C159" s="2"/>
      <c r="D159" s="2"/>
      <c r="E159" s="2"/>
      <c r="F159" s="2"/>
      <c r="G159" s="2"/>
      <c r="H159" s="2"/>
      <c r="I159" s="2"/>
      <c r="J159" s="2"/>
      <c r="K159" s="183"/>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row>
    <row r="160" spans="1:87" ht="14.25" customHeight="1" x14ac:dyDescent="0.25">
      <c r="A160" s="2"/>
      <c r="B160" s="2"/>
      <c r="C160" s="2"/>
      <c r="D160" s="2"/>
      <c r="E160" s="2"/>
      <c r="F160" s="2"/>
      <c r="G160" s="2"/>
      <c r="H160" s="2"/>
      <c r="I160" s="2"/>
      <c r="J160" s="2"/>
      <c r="K160" s="183"/>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row>
    <row r="161" spans="1:87" ht="14.25" customHeight="1" x14ac:dyDescent="0.25">
      <c r="A161" s="2"/>
      <c r="B161" s="2"/>
      <c r="C161" s="2"/>
      <c r="D161" s="2"/>
      <c r="E161" s="2"/>
      <c r="F161" s="2"/>
      <c r="G161" s="2"/>
      <c r="H161" s="2"/>
      <c r="I161" s="2"/>
      <c r="J161" s="2"/>
      <c r="K161" s="183"/>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row>
    <row r="162" spans="1:87" ht="14.25" customHeight="1" x14ac:dyDescent="0.25">
      <c r="A162" s="2"/>
      <c r="B162" s="2"/>
      <c r="C162" s="2"/>
      <c r="D162" s="2"/>
      <c r="E162" s="2"/>
      <c r="F162" s="2"/>
      <c r="G162" s="2"/>
      <c r="H162" s="2"/>
      <c r="I162" s="2"/>
      <c r="J162" s="2"/>
      <c r="K162" s="183"/>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row>
    <row r="163" spans="1:87" ht="14.25" customHeight="1" x14ac:dyDescent="0.25">
      <c r="A163" s="2"/>
      <c r="B163" s="2"/>
      <c r="C163" s="2"/>
      <c r="D163" s="2"/>
      <c r="E163" s="2"/>
      <c r="F163" s="2"/>
      <c r="G163" s="2"/>
      <c r="H163" s="2"/>
      <c r="I163" s="2"/>
      <c r="J163" s="2"/>
      <c r="K163" s="183"/>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row>
    <row r="164" spans="1:87" ht="14.25" customHeight="1" x14ac:dyDescent="0.25">
      <c r="A164" s="2"/>
      <c r="B164" s="2"/>
      <c r="C164" s="2"/>
      <c r="D164" s="2"/>
      <c r="E164" s="2"/>
      <c r="F164" s="2"/>
      <c r="G164" s="2"/>
      <c r="H164" s="2"/>
      <c r="I164" s="2"/>
      <c r="J164" s="2"/>
      <c r="K164" s="183"/>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row>
    <row r="165" spans="1:87" ht="14.25" customHeight="1" x14ac:dyDescent="0.25">
      <c r="A165" s="2"/>
      <c r="B165" s="2"/>
      <c r="C165" s="2"/>
      <c r="D165" s="2"/>
      <c r="E165" s="2"/>
      <c r="F165" s="2"/>
      <c r="G165" s="2"/>
      <c r="H165" s="2"/>
      <c r="I165" s="2"/>
      <c r="J165" s="2"/>
      <c r="K165" s="183"/>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row>
    <row r="166" spans="1:87" ht="14.25" customHeight="1" x14ac:dyDescent="0.25">
      <c r="A166" s="2"/>
      <c r="B166" s="2"/>
      <c r="C166" s="2"/>
      <c r="D166" s="2"/>
      <c r="E166" s="2"/>
      <c r="F166" s="2"/>
      <c r="G166" s="2"/>
      <c r="H166" s="2"/>
      <c r="I166" s="2"/>
      <c r="J166" s="2"/>
      <c r="K166" s="183"/>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row>
    <row r="167" spans="1:87" ht="14.25" customHeight="1" x14ac:dyDescent="0.25">
      <c r="A167" s="2"/>
      <c r="B167" s="2"/>
      <c r="C167" s="2"/>
      <c r="D167" s="2"/>
      <c r="E167" s="2"/>
      <c r="F167" s="2"/>
      <c r="G167" s="2"/>
      <c r="H167" s="2"/>
      <c r="I167" s="2"/>
      <c r="J167" s="2"/>
      <c r="K167" s="183"/>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row>
    <row r="168" spans="1:87" ht="14.25" customHeight="1" x14ac:dyDescent="0.25">
      <c r="A168" s="2"/>
      <c r="B168" s="2"/>
      <c r="C168" s="2"/>
      <c r="D168" s="2"/>
      <c r="E168" s="2"/>
      <c r="F168" s="2"/>
      <c r="G168" s="2"/>
      <c r="H168" s="2"/>
      <c r="I168" s="2"/>
      <c r="J168" s="2"/>
      <c r="K168" s="183"/>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row>
    <row r="169" spans="1:87" ht="14.25" customHeight="1" x14ac:dyDescent="0.25">
      <c r="A169" s="2"/>
      <c r="B169" s="2"/>
      <c r="C169" s="2"/>
      <c r="D169" s="2"/>
      <c r="E169" s="2"/>
      <c r="F169" s="2"/>
      <c r="G169" s="2"/>
      <c r="H169" s="2"/>
      <c r="I169" s="2"/>
      <c r="J169" s="2"/>
      <c r="K169" s="183"/>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row>
    <row r="170" spans="1:87" ht="14.25" customHeight="1" x14ac:dyDescent="0.25">
      <c r="A170" s="2"/>
      <c r="B170" s="2"/>
      <c r="C170" s="2"/>
      <c r="D170" s="2"/>
      <c r="E170" s="2"/>
      <c r="F170" s="2"/>
      <c r="G170" s="2"/>
      <c r="H170" s="2"/>
      <c r="I170" s="2"/>
      <c r="J170" s="2"/>
      <c r="K170" s="183"/>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row>
    <row r="171" spans="1:87" ht="14.25" customHeight="1" x14ac:dyDescent="0.25">
      <c r="A171" s="2"/>
      <c r="B171" s="2"/>
      <c r="C171" s="2"/>
      <c r="D171" s="2"/>
      <c r="E171" s="2"/>
      <c r="F171" s="2"/>
      <c r="G171" s="2"/>
      <c r="H171" s="2"/>
      <c r="I171" s="2"/>
      <c r="J171" s="2"/>
      <c r="K171" s="183"/>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row>
    <row r="172" spans="1:87" ht="14.25" customHeight="1" x14ac:dyDescent="0.25">
      <c r="A172" s="2"/>
      <c r="B172" s="2"/>
      <c r="C172" s="2"/>
      <c r="D172" s="2"/>
      <c r="E172" s="2"/>
      <c r="F172" s="2"/>
      <c r="G172" s="2"/>
      <c r="H172" s="2"/>
      <c r="I172" s="2"/>
      <c r="J172" s="2"/>
      <c r="K172" s="183"/>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row>
    <row r="173" spans="1:87" ht="14.25" customHeight="1" x14ac:dyDescent="0.25">
      <c r="A173" s="2"/>
      <c r="B173" s="2"/>
      <c r="C173" s="2"/>
      <c r="D173" s="2"/>
      <c r="E173" s="2"/>
      <c r="F173" s="2"/>
      <c r="G173" s="2"/>
      <c r="H173" s="2"/>
      <c r="I173" s="2"/>
      <c r="J173" s="2"/>
      <c r="K173" s="183"/>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row>
    <row r="174" spans="1:87" ht="14.25" customHeight="1" x14ac:dyDescent="0.25">
      <c r="A174" s="2"/>
      <c r="B174" s="2"/>
      <c r="C174" s="2"/>
      <c r="D174" s="2"/>
      <c r="E174" s="2"/>
      <c r="F174" s="2"/>
      <c r="G174" s="2"/>
      <c r="H174" s="2"/>
      <c r="I174" s="2"/>
      <c r="J174" s="2"/>
      <c r="K174" s="183"/>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row>
    <row r="175" spans="1:87" ht="14.25" customHeight="1" x14ac:dyDescent="0.25">
      <c r="A175" s="2"/>
      <c r="B175" s="2"/>
      <c r="C175" s="2"/>
      <c r="D175" s="2"/>
      <c r="E175" s="2"/>
      <c r="F175" s="2"/>
      <c r="G175" s="2"/>
      <c r="H175" s="2"/>
      <c r="I175" s="2"/>
      <c r="J175" s="2"/>
      <c r="K175" s="183"/>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row>
    <row r="176" spans="1:87" ht="14.25" customHeight="1" x14ac:dyDescent="0.25">
      <c r="A176" s="2"/>
      <c r="B176" s="2"/>
      <c r="C176" s="2"/>
      <c r="D176" s="2"/>
      <c r="E176" s="2"/>
      <c r="F176" s="2"/>
      <c r="G176" s="2"/>
      <c r="H176" s="2"/>
      <c r="I176" s="2"/>
      <c r="J176" s="2"/>
      <c r="K176" s="183"/>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row>
    <row r="177" spans="1:87" ht="14.25" customHeight="1" x14ac:dyDescent="0.25">
      <c r="A177" s="2"/>
      <c r="B177" s="2"/>
      <c r="C177" s="2"/>
      <c r="D177" s="2"/>
      <c r="E177" s="2"/>
      <c r="F177" s="2"/>
      <c r="G177" s="2"/>
      <c r="H177" s="2"/>
      <c r="I177" s="2"/>
      <c r="J177" s="2"/>
      <c r="K177" s="183"/>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row>
    <row r="178" spans="1:87" ht="14.25" customHeight="1" x14ac:dyDescent="0.25">
      <c r="A178" s="2"/>
      <c r="B178" s="2"/>
      <c r="C178" s="2"/>
      <c r="D178" s="2"/>
      <c r="E178" s="2"/>
      <c r="F178" s="2"/>
      <c r="G178" s="2"/>
      <c r="H178" s="2"/>
      <c r="I178" s="2"/>
      <c r="J178" s="2"/>
      <c r="K178" s="183"/>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row>
    <row r="179" spans="1:87" ht="14.25" customHeight="1" x14ac:dyDescent="0.25">
      <c r="A179" s="2"/>
      <c r="B179" s="2"/>
      <c r="C179" s="2"/>
      <c r="D179" s="2"/>
      <c r="E179" s="2"/>
      <c r="F179" s="2"/>
      <c r="G179" s="2"/>
      <c r="H179" s="2"/>
      <c r="I179" s="2"/>
      <c r="J179" s="2"/>
      <c r="K179" s="183"/>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row>
    <row r="180" spans="1:87" ht="14.25" customHeight="1" x14ac:dyDescent="0.25">
      <c r="A180" s="2"/>
      <c r="B180" s="2"/>
      <c r="C180" s="2"/>
      <c r="D180" s="2"/>
      <c r="E180" s="2"/>
      <c r="F180" s="2"/>
      <c r="G180" s="2"/>
      <c r="H180" s="2"/>
      <c r="I180" s="2"/>
      <c r="J180" s="2"/>
      <c r="K180" s="183"/>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row>
    <row r="181" spans="1:87" ht="14.25" customHeight="1" x14ac:dyDescent="0.25">
      <c r="A181" s="2"/>
      <c r="B181" s="2"/>
      <c r="C181" s="2"/>
      <c r="D181" s="2"/>
      <c r="E181" s="2"/>
      <c r="F181" s="2"/>
      <c r="G181" s="2"/>
      <c r="H181" s="2"/>
      <c r="I181" s="2"/>
      <c r="J181" s="2"/>
      <c r="K181" s="183"/>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row>
    <row r="182" spans="1:87" ht="14.25" customHeight="1" x14ac:dyDescent="0.25">
      <c r="A182" s="2"/>
      <c r="B182" s="2"/>
      <c r="C182" s="2"/>
      <c r="D182" s="2"/>
      <c r="E182" s="2"/>
      <c r="F182" s="2"/>
      <c r="G182" s="2"/>
      <c r="H182" s="2"/>
      <c r="I182" s="2"/>
      <c r="J182" s="2"/>
      <c r="K182" s="183"/>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row>
    <row r="183" spans="1:87" ht="14.25" customHeight="1" x14ac:dyDescent="0.25">
      <c r="A183" s="2"/>
      <c r="B183" s="2"/>
      <c r="C183" s="2"/>
      <c r="D183" s="2"/>
      <c r="E183" s="2"/>
      <c r="F183" s="2"/>
      <c r="G183" s="2"/>
      <c r="H183" s="2"/>
      <c r="I183" s="2"/>
      <c r="J183" s="2"/>
      <c r="K183" s="183"/>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row>
    <row r="184" spans="1:87" ht="14.25" customHeight="1" x14ac:dyDescent="0.25">
      <c r="A184" s="2"/>
      <c r="B184" s="2"/>
      <c r="C184" s="2"/>
      <c r="D184" s="2"/>
      <c r="E184" s="2"/>
      <c r="F184" s="2"/>
      <c r="G184" s="2"/>
      <c r="H184" s="2"/>
      <c r="I184" s="2"/>
      <c r="J184" s="2"/>
      <c r="K184" s="183"/>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row>
    <row r="185" spans="1:87" ht="14.25" customHeight="1" x14ac:dyDescent="0.25">
      <c r="A185" s="2"/>
      <c r="B185" s="2"/>
      <c r="C185" s="2"/>
      <c r="D185" s="2"/>
      <c r="E185" s="2"/>
      <c r="F185" s="2"/>
      <c r="G185" s="2"/>
      <c r="H185" s="2"/>
      <c r="I185" s="2"/>
      <c r="J185" s="2"/>
      <c r="K185" s="183"/>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row>
    <row r="186" spans="1:87" ht="14.25" customHeight="1" x14ac:dyDescent="0.25">
      <c r="A186" s="2"/>
      <c r="B186" s="2"/>
      <c r="C186" s="2"/>
      <c r="D186" s="2"/>
      <c r="E186" s="2"/>
      <c r="F186" s="2"/>
      <c r="G186" s="2"/>
      <c r="H186" s="2"/>
      <c r="I186" s="2"/>
      <c r="J186" s="2"/>
      <c r="K186" s="183"/>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row>
    <row r="187" spans="1:87" ht="14.25" customHeight="1" x14ac:dyDescent="0.25">
      <c r="A187" s="2"/>
      <c r="B187" s="2"/>
      <c r="C187" s="2"/>
      <c r="D187" s="2"/>
      <c r="E187" s="2"/>
      <c r="F187" s="2"/>
      <c r="G187" s="2"/>
      <c r="H187" s="2"/>
      <c r="I187" s="2"/>
      <c r="J187" s="2"/>
      <c r="K187" s="183"/>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row>
    <row r="188" spans="1:87" ht="14.25" customHeight="1" x14ac:dyDescent="0.25">
      <c r="A188" s="2"/>
      <c r="B188" s="2"/>
      <c r="C188" s="2"/>
      <c r="D188" s="2"/>
      <c r="E188" s="2"/>
      <c r="F188" s="2"/>
      <c r="G188" s="2"/>
      <c r="H188" s="2"/>
      <c r="I188" s="2"/>
      <c r="J188" s="2"/>
      <c r="K188" s="183"/>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row>
    <row r="189" spans="1:87" ht="14.25" customHeight="1" x14ac:dyDescent="0.25">
      <c r="A189" s="2"/>
      <c r="B189" s="2"/>
      <c r="C189" s="2"/>
      <c r="D189" s="2"/>
      <c r="E189" s="2"/>
      <c r="F189" s="2"/>
      <c r="G189" s="2"/>
      <c r="H189" s="2"/>
      <c r="I189" s="2"/>
      <c r="J189" s="2"/>
      <c r="K189" s="183"/>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row>
    <row r="190" spans="1:87" ht="14.25" customHeight="1" x14ac:dyDescent="0.25">
      <c r="A190" s="2"/>
      <c r="B190" s="2"/>
      <c r="C190" s="2"/>
      <c r="D190" s="2"/>
      <c r="E190" s="2"/>
      <c r="F190" s="2"/>
      <c r="G190" s="2"/>
      <c r="H190" s="2"/>
      <c r="I190" s="2"/>
      <c r="J190" s="2"/>
      <c r="K190" s="183"/>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row>
    <row r="191" spans="1:87" ht="14.25" customHeight="1" x14ac:dyDescent="0.25">
      <c r="A191" s="2"/>
      <c r="B191" s="2"/>
      <c r="C191" s="2"/>
      <c r="D191" s="2"/>
      <c r="E191" s="2"/>
      <c r="F191" s="2"/>
      <c r="G191" s="2"/>
      <c r="H191" s="2"/>
      <c r="I191" s="2"/>
      <c r="J191" s="2"/>
      <c r="K191" s="183"/>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row>
    <row r="192" spans="1:87" ht="14.25" customHeight="1" x14ac:dyDescent="0.25">
      <c r="A192" s="2"/>
      <c r="B192" s="2"/>
      <c r="C192" s="2"/>
      <c r="D192" s="2"/>
      <c r="E192" s="2"/>
      <c r="F192" s="2"/>
      <c r="G192" s="2"/>
      <c r="H192" s="2"/>
      <c r="I192" s="2"/>
      <c r="J192" s="2"/>
      <c r="K192" s="183"/>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row>
    <row r="193" spans="1:87" ht="14.25" customHeight="1" x14ac:dyDescent="0.25">
      <c r="A193" s="2"/>
      <c r="B193" s="2"/>
      <c r="C193" s="2"/>
      <c r="D193" s="2"/>
      <c r="E193" s="2"/>
      <c r="F193" s="2"/>
      <c r="G193" s="2"/>
      <c r="H193" s="2"/>
      <c r="I193" s="2"/>
      <c r="J193" s="2"/>
      <c r="K193" s="183"/>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row>
    <row r="194" spans="1:87" ht="14.25" customHeight="1" x14ac:dyDescent="0.25">
      <c r="A194" s="2"/>
      <c r="B194" s="2"/>
      <c r="C194" s="2"/>
      <c r="D194" s="2"/>
      <c r="E194" s="2"/>
      <c r="F194" s="2"/>
      <c r="G194" s="2"/>
      <c r="H194" s="2"/>
      <c r="I194" s="2"/>
      <c r="J194" s="2"/>
      <c r="K194" s="183"/>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row>
    <row r="195" spans="1:87" ht="14.25" customHeight="1" x14ac:dyDescent="0.25">
      <c r="A195" s="2"/>
      <c r="B195" s="2"/>
      <c r="C195" s="2"/>
      <c r="D195" s="2"/>
      <c r="E195" s="2"/>
      <c r="F195" s="2"/>
      <c r="G195" s="2"/>
      <c r="H195" s="2"/>
      <c r="I195" s="2"/>
      <c r="J195" s="2"/>
      <c r="K195" s="183"/>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row>
    <row r="196" spans="1:87" ht="14.25" customHeight="1" x14ac:dyDescent="0.25">
      <c r="A196" s="2"/>
      <c r="B196" s="2"/>
      <c r="C196" s="2"/>
      <c r="D196" s="2"/>
      <c r="E196" s="2"/>
      <c r="F196" s="2"/>
      <c r="G196" s="2"/>
      <c r="H196" s="2"/>
      <c r="I196" s="2"/>
      <c r="J196" s="2"/>
      <c r="K196" s="183"/>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row>
    <row r="197" spans="1:87" ht="14.25" customHeight="1" x14ac:dyDescent="0.25">
      <c r="A197" s="2"/>
      <c r="B197" s="2"/>
      <c r="C197" s="2"/>
      <c r="D197" s="2"/>
      <c r="E197" s="2"/>
      <c r="F197" s="2"/>
      <c r="G197" s="2"/>
      <c r="H197" s="2"/>
      <c r="I197" s="2"/>
      <c r="J197" s="2"/>
      <c r="K197" s="183"/>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row>
    <row r="198" spans="1:87" ht="14.25" customHeight="1" x14ac:dyDescent="0.25">
      <c r="A198" s="2"/>
      <c r="B198" s="2"/>
      <c r="C198" s="2"/>
      <c r="D198" s="2"/>
      <c r="E198" s="2"/>
      <c r="F198" s="2"/>
      <c r="G198" s="2"/>
      <c r="H198" s="2"/>
      <c r="I198" s="2"/>
      <c r="J198" s="2"/>
      <c r="K198" s="183"/>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row>
    <row r="199" spans="1:87" ht="14.25" customHeight="1" x14ac:dyDescent="0.25">
      <c r="A199" s="2"/>
      <c r="B199" s="2"/>
      <c r="C199" s="2"/>
      <c r="D199" s="2"/>
      <c r="E199" s="2"/>
      <c r="F199" s="2"/>
      <c r="G199" s="2"/>
      <c r="H199" s="2"/>
      <c r="I199" s="2"/>
      <c r="J199" s="2"/>
      <c r="K199" s="183"/>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row>
    <row r="200" spans="1:87" ht="14.25" customHeight="1" x14ac:dyDescent="0.25">
      <c r="A200" s="2"/>
      <c r="B200" s="2"/>
      <c r="C200" s="2"/>
      <c r="D200" s="2"/>
      <c r="E200" s="2"/>
      <c r="F200" s="2"/>
      <c r="G200" s="2"/>
      <c r="H200" s="2"/>
      <c r="I200" s="2"/>
      <c r="J200" s="2"/>
      <c r="K200" s="183"/>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row>
    <row r="201" spans="1:87" ht="14.25" customHeight="1" x14ac:dyDescent="0.25">
      <c r="A201" s="2"/>
      <c r="B201" s="2"/>
      <c r="C201" s="2"/>
      <c r="D201" s="2"/>
      <c r="E201" s="2"/>
      <c r="F201" s="2"/>
      <c r="G201" s="2"/>
      <c r="H201" s="2"/>
      <c r="I201" s="2"/>
      <c r="J201" s="2"/>
      <c r="K201" s="183"/>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row>
    <row r="202" spans="1:87" ht="14.25" customHeight="1" x14ac:dyDescent="0.25">
      <c r="A202" s="2"/>
      <c r="B202" s="2"/>
      <c r="C202" s="2"/>
      <c r="D202" s="2"/>
      <c r="E202" s="2"/>
      <c r="F202" s="2"/>
      <c r="G202" s="2"/>
      <c r="H202" s="2"/>
      <c r="I202" s="2"/>
      <c r="J202" s="2"/>
      <c r="K202" s="183"/>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row>
    <row r="203" spans="1:87" ht="14.25" customHeight="1" x14ac:dyDescent="0.25">
      <c r="A203" s="2"/>
      <c r="B203" s="2"/>
      <c r="C203" s="2"/>
      <c r="D203" s="2"/>
      <c r="E203" s="2"/>
      <c r="F203" s="2"/>
      <c r="G203" s="2"/>
      <c r="H203" s="2"/>
      <c r="I203" s="2"/>
      <c r="J203" s="2"/>
      <c r="K203" s="183"/>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row>
    <row r="204" spans="1:87" ht="14.25" customHeight="1" x14ac:dyDescent="0.25">
      <c r="A204" s="2"/>
      <c r="B204" s="2"/>
      <c r="C204" s="2"/>
      <c r="D204" s="2"/>
      <c r="E204" s="2"/>
      <c r="F204" s="2"/>
      <c r="G204" s="2"/>
      <c r="H204" s="2"/>
      <c r="I204" s="2"/>
      <c r="J204" s="2"/>
      <c r="K204" s="183"/>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row>
    <row r="205" spans="1:87" ht="14.25" customHeight="1" x14ac:dyDescent="0.25">
      <c r="A205" s="2"/>
      <c r="B205" s="2"/>
      <c r="C205" s="2"/>
      <c r="D205" s="2"/>
      <c r="E205" s="2"/>
      <c r="F205" s="2"/>
      <c r="G205" s="2"/>
      <c r="H205" s="2"/>
      <c r="I205" s="2"/>
      <c r="J205" s="2"/>
      <c r="K205" s="183"/>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row>
    <row r="206" spans="1:87" ht="14.25" customHeight="1" x14ac:dyDescent="0.25">
      <c r="A206" s="2"/>
      <c r="B206" s="2"/>
      <c r="C206" s="2"/>
      <c r="D206" s="2"/>
      <c r="E206" s="2"/>
      <c r="F206" s="2"/>
      <c r="G206" s="2"/>
      <c r="H206" s="2"/>
      <c r="I206" s="2"/>
      <c r="J206" s="2"/>
      <c r="K206" s="183"/>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row>
    <row r="207" spans="1:87" ht="14.25" customHeight="1" x14ac:dyDescent="0.25">
      <c r="A207" s="2"/>
      <c r="B207" s="2"/>
      <c r="C207" s="2"/>
      <c r="D207" s="2"/>
      <c r="E207" s="2"/>
      <c r="F207" s="2"/>
      <c r="G207" s="2"/>
      <c r="H207" s="2"/>
      <c r="I207" s="2"/>
      <c r="J207" s="2"/>
      <c r="K207" s="183"/>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row>
    <row r="208" spans="1:87" ht="14.25" customHeight="1" x14ac:dyDescent="0.25">
      <c r="A208" s="2"/>
      <c r="B208" s="2"/>
      <c r="C208" s="2"/>
      <c r="D208" s="2"/>
      <c r="E208" s="2"/>
      <c r="F208" s="2"/>
      <c r="G208" s="2"/>
      <c r="H208" s="2"/>
      <c r="I208" s="2"/>
      <c r="J208" s="2"/>
      <c r="K208" s="183"/>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row>
    <row r="209" spans="1:87" ht="14.25" customHeight="1" x14ac:dyDescent="0.25">
      <c r="A209" s="2"/>
      <c r="B209" s="2"/>
      <c r="C209" s="2"/>
      <c r="D209" s="2"/>
      <c r="E209" s="2"/>
      <c r="F209" s="2"/>
      <c r="G209" s="2"/>
      <c r="H209" s="2"/>
      <c r="I209" s="2"/>
      <c r="J209" s="2"/>
      <c r="K209" s="183"/>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row>
    <row r="210" spans="1:87" ht="14.25" customHeight="1" x14ac:dyDescent="0.25">
      <c r="A210" s="2"/>
      <c r="B210" s="2"/>
      <c r="C210" s="2"/>
      <c r="D210" s="2"/>
      <c r="E210" s="2"/>
      <c r="F210" s="2"/>
      <c r="G210" s="2"/>
      <c r="H210" s="2"/>
      <c r="I210" s="2"/>
      <c r="J210" s="2"/>
      <c r="K210" s="183"/>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row>
    <row r="211" spans="1:87" ht="14.25" customHeight="1" x14ac:dyDescent="0.25">
      <c r="A211" s="2"/>
      <c r="B211" s="2"/>
      <c r="C211" s="2"/>
      <c r="D211" s="2"/>
      <c r="E211" s="2"/>
      <c r="F211" s="2"/>
      <c r="G211" s="2"/>
      <c r="H211" s="2"/>
      <c r="I211" s="2"/>
      <c r="J211" s="2"/>
      <c r="K211" s="183"/>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row>
    <row r="212" spans="1:87" ht="14.25" customHeight="1" x14ac:dyDescent="0.25">
      <c r="A212" s="2"/>
      <c r="B212" s="2"/>
      <c r="C212" s="2"/>
      <c r="D212" s="2"/>
      <c r="E212" s="2"/>
      <c r="F212" s="2"/>
      <c r="G212" s="2"/>
      <c r="H212" s="2"/>
      <c r="I212" s="2"/>
      <c r="J212" s="2"/>
      <c r="K212" s="183"/>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row>
    <row r="213" spans="1:87" ht="14.25" customHeight="1" x14ac:dyDescent="0.25">
      <c r="A213" s="2"/>
      <c r="B213" s="2"/>
      <c r="C213" s="2"/>
      <c r="D213" s="2"/>
      <c r="E213" s="2"/>
      <c r="F213" s="2"/>
      <c r="G213" s="2"/>
      <c r="H213" s="2"/>
      <c r="I213" s="2"/>
      <c r="J213" s="2"/>
      <c r="K213" s="183"/>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row>
    <row r="214" spans="1:87" ht="14.25" customHeight="1" x14ac:dyDescent="0.25">
      <c r="A214" s="2"/>
      <c r="B214" s="2"/>
      <c r="C214" s="2"/>
      <c r="D214" s="2"/>
      <c r="E214" s="2"/>
      <c r="F214" s="2"/>
      <c r="G214" s="2"/>
      <c r="H214" s="2"/>
      <c r="I214" s="2"/>
      <c r="J214" s="2"/>
      <c r="K214" s="183"/>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row>
    <row r="215" spans="1:87" ht="14.25" customHeight="1" x14ac:dyDescent="0.25">
      <c r="A215" s="2"/>
      <c r="B215" s="2"/>
      <c r="C215" s="2"/>
      <c r="D215" s="2"/>
      <c r="E215" s="2"/>
      <c r="F215" s="2"/>
      <c r="G215" s="2"/>
      <c r="H215" s="2"/>
      <c r="I215" s="2"/>
      <c r="J215" s="2"/>
      <c r="K215" s="183"/>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row>
    <row r="216" spans="1:87" ht="14.25" customHeight="1" x14ac:dyDescent="0.25">
      <c r="A216" s="2"/>
      <c r="B216" s="2"/>
      <c r="C216" s="2"/>
      <c r="D216" s="2"/>
      <c r="E216" s="2"/>
      <c r="F216" s="2"/>
      <c r="G216" s="2"/>
      <c r="H216" s="2"/>
      <c r="I216" s="2"/>
      <c r="J216" s="2"/>
      <c r="K216" s="183"/>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row>
    <row r="217" spans="1:87" ht="14.25" customHeight="1" x14ac:dyDescent="0.25">
      <c r="A217" s="2"/>
      <c r="B217" s="2"/>
      <c r="C217" s="2"/>
      <c r="D217" s="2"/>
      <c r="E217" s="2"/>
      <c r="F217" s="2"/>
      <c r="G217" s="2"/>
      <c r="H217" s="2"/>
      <c r="I217" s="2"/>
      <c r="J217" s="2"/>
      <c r="K217" s="183"/>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row>
    <row r="218" spans="1:87" ht="14.25" customHeight="1" x14ac:dyDescent="0.25">
      <c r="A218" s="2"/>
      <c r="B218" s="2"/>
      <c r="C218" s="2"/>
      <c r="D218" s="2"/>
      <c r="E218" s="2"/>
      <c r="F218" s="2"/>
      <c r="G218" s="2"/>
      <c r="H218" s="2"/>
      <c r="I218" s="2"/>
      <c r="J218" s="2"/>
      <c r="K218" s="183"/>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row>
    <row r="219" spans="1:87" ht="14.25" customHeight="1" x14ac:dyDescent="0.25">
      <c r="A219" s="2"/>
      <c r="B219" s="2"/>
      <c r="C219" s="2"/>
      <c r="D219" s="2"/>
      <c r="E219" s="2"/>
      <c r="F219" s="2"/>
      <c r="G219" s="2"/>
      <c r="H219" s="2"/>
      <c r="I219" s="2"/>
      <c r="J219" s="2"/>
      <c r="K219" s="183"/>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row>
    <row r="220" spans="1:87" ht="14.25" customHeight="1" x14ac:dyDescent="0.25">
      <c r="A220" s="2"/>
      <c r="B220" s="2"/>
      <c r="C220" s="2"/>
      <c r="D220" s="2"/>
      <c r="E220" s="2"/>
      <c r="F220" s="2"/>
      <c r="G220" s="2"/>
      <c r="H220" s="2"/>
      <c r="I220" s="2"/>
      <c r="J220" s="2"/>
      <c r="K220" s="183"/>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row>
    <row r="221" spans="1:87" ht="14.25" customHeight="1" x14ac:dyDescent="0.25">
      <c r="A221" s="2"/>
      <c r="B221" s="2"/>
      <c r="C221" s="2"/>
      <c r="D221" s="2"/>
      <c r="E221" s="2"/>
      <c r="F221" s="2"/>
      <c r="G221" s="2"/>
      <c r="H221" s="2"/>
      <c r="I221" s="2"/>
      <c r="J221" s="2"/>
      <c r="K221" s="183"/>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row>
    <row r="222" spans="1:87" ht="14.25" customHeight="1" x14ac:dyDescent="0.25">
      <c r="A222" s="2"/>
      <c r="B222" s="2"/>
      <c r="C222" s="2"/>
      <c r="D222" s="2"/>
      <c r="E222" s="2"/>
      <c r="F222" s="2"/>
      <c r="G222" s="2"/>
      <c r="H222" s="2"/>
      <c r="I222" s="2"/>
      <c r="J222" s="2"/>
      <c r="K222" s="183"/>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row>
    <row r="223" spans="1:87" ht="14.25" customHeight="1" x14ac:dyDescent="0.25">
      <c r="A223" s="2"/>
      <c r="B223" s="2"/>
      <c r="C223" s="2"/>
      <c r="D223" s="2"/>
      <c r="E223" s="2"/>
      <c r="F223" s="2"/>
      <c r="G223" s="2"/>
      <c r="H223" s="2"/>
      <c r="I223" s="2"/>
      <c r="J223" s="2"/>
      <c r="K223" s="183"/>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row>
    <row r="224" spans="1:87" ht="14.25" customHeight="1" x14ac:dyDescent="0.25">
      <c r="A224" s="2"/>
      <c r="B224" s="2"/>
      <c r="C224" s="2"/>
      <c r="D224" s="2"/>
      <c r="E224" s="2"/>
      <c r="F224" s="2"/>
      <c r="G224" s="2"/>
      <c r="H224" s="2"/>
      <c r="I224" s="2"/>
      <c r="J224" s="2"/>
      <c r="K224" s="183"/>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row>
    <row r="225" spans="1:87" ht="14.25" customHeight="1" x14ac:dyDescent="0.25">
      <c r="A225" s="2"/>
      <c r="B225" s="2"/>
      <c r="C225" s="2"/>
      <c r="D225" s="2"/>
      <c r="E225" s="2"/>
      <c r="F225" s="2"/>
      <c r="G225" s="2"/>
      <c r="H225" s="2"/>
      <c r="I225" s="2"/>
      <c r="J225" s="2"/>
      <c r="K225" s="183"/>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row>
    <row r="226" spans="1:87" ht="14.25" customHeight="1" x14ac:dyDescent="0.25">
      <c r="A226" s="2"/>
      <c r="B226" s="2"/>
      <c r="C226" s="2"/>
      <c r="D226" s="2"/>
      <c r="E226" s="2"/>
      <c r="F226" s="2"/>
      <c r="G226" s="2"/>
      <c r="H226" s="2"/>
      <c r="I226" s="2"/>
      <c r="J226" s="2"/>
      <c r="K226" s="183"/>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row>
    <row r="227" spans="1:87" ht="14.25" customHeight="1" x14ac:dyDescent="0.25">
      <c r="A227" s="2"/>
      <c r="B227" s="2"/>
      <c r="C227" s="2"/>
      <c r="D227" s="2"/>
      <c r="E227" s="2"/>
      <c r="F227" s="2"/>
      <c r="G227" s="2"/>
      <c r="H227" s="2"/>
      <c r="I227" s="2"/>
      <c r="J227" s="2"/>
      <c r="K227" s="183"/>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row>
    <row r="228" spans="1:87" ht="14.25" customHeight="1" x14ac:dyDescent="0.25">
      <c r="A228" s="2"/>
      <c r="B228" s="2"/>
      <c r="C228" s="2"/>
      <c r="D228" s="2"/>
      <c r="E228" s="2"/>
      <c r="F228" s="2"/>
      <c r="G228" s="2"/>
      <c r="H228" s="2"/>
      <c r="I228" s="2"/>
      <c r="J228" s="2"/>
      <c r="K228" s="183"/>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row>
    <row r="229" spans="1:87" ht="14.25" customHeight="1" x14ac:dyDescent="0.25">
      <c r="A229" s="2"/>
      <c r="B229" s="2"/>
      <c r="C229" s="2"/>
      <c r="D229" s="2"/>
      <c r="E229" s="2"/>
      <c r="F229" s="2"/>
      <c r="G229" s="2"/>
      <c r="H229" s="2"/>
      <c r="I229" s="2"/>
      <c r="J229" s="2"/>
      <c r="K229" s="183"/>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row>
    <row r="230" spans="1:87" ht="14.25" customHeight="1" x14ac:dyDescent="0.25">
      <c r="A230" s="2"/>
      <c r="B230" s="2"/>
      <c r="C230" s="2"/>
      <c r="D230" s="2"/>
      <c r="E230" s="2"/>
      <c r="F230" s="2"/>
      <c r="G230" s="2"/>
      <c r="H230" s="2"/>
      <c r="I230" s="2"/>
      <c r="J230" s="2"/>
      <c r="K230" s="183"/>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row>
    <row r="231" spans="1:87" ht="14.25" customHeight="1" x14ac:dyDescent="0.25">
      <c r="A231" s="2"/>
      <c r="B231" s="2"/>
      <c r="C231" s="2"/>
      <c r="D231" s="2"/>
      <c r="E231" s="2"/>
      <c r="F231" s="2"/>
      <c r="G231" s="2"/>
      <c r="H231" s="2"/>
      <c r="I231" s="2"/>
      <c r="J231" s="2"/>
      <c r="K231" s="183"/>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row>
    <row r="232" spans="1:87" ht="14.25" customHeight="1" x14ac:dyDescent="0.25">
      <c r="A232" s="2"/>
      <c r="B232" s="2"/>
      <c r="C232" s="2"/>
      <c r="D232" s="2"/>
      <c r="E232" s="2"/>
      <c r="F232" s="2"/>
      <c r="G232" s="2"/>
      <c r="H232" s="2"/>
      <c r="I232" s="2"/>
      <c r="J232" s="2"/>
      <c r="K232" s="183"/>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row>
    <row r="233" spans="1:87" ht="14.25" customHeight="1" x14ac:dyDescent="0.25">
      <c r="A233" s="2"/>
      <c r="B233" s="2"/>
      <c r="C233" s="2"/>
      <c r="D233" s="2"/>
      <c r="E233" s="2"/>
      <c r="F233" s="2"/>
      <c r="G233" s="2"/>
      <c r="H233" s="2"/>
      <c r="I233" s="2"/>
      <c r="J233" s="2"/>
      <c r="K233" s="183"/>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row>
    <row r="234" spans="1:87" ht="14.25" customHeight="1" x14ac:dyDescent="0.25">
      <c r="A234" s="2"/>
      <c r="B234" s="2"/>
      <c r="C234" s="2"/>
      <c r="D234" s="2"/>
      <c r="E234" s="2"/>
      <c r="F234" s="2"/>
      <c r="G234" s="2"/>
      <c r="H234" s="2"/>
      <c r="I234" s="2"/>
      <c r="J234" s="2"/>
      <c r="K234" s="183"/>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row>
    <row r="235" spans="1:87" ht="14.25" customHeight="1" x14ac:dyDescent="0.25">
      <c r="A235" s="2"/>
      <c r="B235" s="2"/>
      <c r="C235" s="2"/>
      <c r="D235" s="2"/>
      <c r="E235" s="2"/>
      <c r="F235" s="2"/>
      <c r="G235" s="2"/>
      <c r="H235" s="2"/>
      <c r="I235" s="2"/>
      <c r="J235" s="2"/>
      <c r="K235" s="183"/>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row>
    <row r="236" spans="1:87" ht="14.25" customHeight="1" x14ac:dyDescent="0.25">
      <c r="A236" s="2"/>
      <c r="B236" s="2"/>
      <c r="C236" s="2"/>
      <c r="D236" s="2"/>
      <c r="E236" s="2"/>
      <c r="F236" s="2"/>
      <c r="G236" s="2"/>
      <c r="H236" s="2"/>
      <c r="I236" s="2"/>
      <c r="J236" s="2"/>
      <c r="K236" s="183"/>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row>
    <row r="237" spans="1:87" ht="14.25" customHeight="1" x14ac:dyDescent="0.25">
      <c r="A237" s="2"/>
      <c r="B237" s="2"/>
      <c r="C237" s="2"/>
      <c r="D237" s="2"/>
      <c r="E237" s="2"/>
      <c r="F237" s="2"/>
      <c r="G237" s="2"/>
      <c r="H237" s="2"/>
      <c r="I237" s="2"/>
      <c r="J237" s="2"/>
      <c r="K237" s="183"/>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row>
    <row r="238" spans="1:87" ht="14.25" customHeight="1" x14ac:dyDescent="0.25">
      <c r="A238" s="2"/>
      <c r="B238" s="2"/>
      <c r="C238" s="2"/>
      <c r="D238" s="2"/>
      <c r="E238" s="2"/>
      <c r="F238" s="2"/>
      <c r="G238" s="2"/>
      <c r="H238" s="2"/>
      <c r="I238" s="2"/>
      <c r="J238" s="2"/>
      <c r="K238" s="183"/>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row>
    <row r="239" spans="1:87" ht="14.25" customHeight="1" x14ac:dyDescent="0.25">
      <c r="A239" s="2"/>
      <c r="B239" s="2"/>
      <c r="C239" s="2"/>
      <c r="D239" s="2"/>
      <c r="E239" s="2"/>
      <c r="F239" s="2"/>
      <c r="G239" s="2"/>
      <c r="H239" s="2"/>
      <c r="I239" s="2"/>
      <c r="J239" s="2"/>
      <c r="K239" s="183"/>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row>
    <row r="240" spans="1:87" ht="14.25" customHeight="1" x14ac:dyDescent="0.25">
      <c r="A240" s="2"/>
      <c r="B240" s="2"/>
      <c r="C240" s="2"/>
      <c r="D240" s="2"/>
      <c r="E240" s="2"/>
      <c r="F240" s="2"/>
      <c r="G240" s="2"/>
      <c r="H240" s="2"/>
      <c r="I240" s="2"/>
      <c r="J240" s="2"/>
      <c r="K240" s="183"/>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row>
    <row r="241" spans="1:87" ht="14.25" customHeight="1" x14ac:dyDescent="0.25">
      <c r="A241" s="2"/>
      <c r="B241" s="2"/>
      <c r="C241" s="2"/>
      <c r="D241" s="2"/>
      <c r="E241" s="2"/>
      <c r="F241" s="2"/>
      <c r="G241" s="2"/>
      <c r="H241" s="2"/>
      <c r="I241" s="2"/>
      <c r="J241" s="2"/>
      <c r="K241" s="183"/>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row>
    <row r="242" spans="1:87" ht="14.25" customHeight="1" x14ac:dyDescent="0.25">
      <c r="A242" s="2"/>
      <c r="B242" s="2"/>
      <c r="C242" s="2"/>
      <c r="D242" s="2"/>
      <c r="E242" s="2"/>
      <c r="F242" s="2"/>
      <c r="G242" s="2"/>
      <c r="H242" s="2"/>
      <c r="I242" s="2"/>
      <c r="J242" s="2"/>
      <c r="K242" s="183"/>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row>
    <row r="243" spans="1:87" ht="14.25" customHeight="1" x14ac:dyDescent="0.25">
      <c r="A243" s="2"/>
      <c r="B243" s="2"/>
      <c r="C243" s="2"/>
      <c r="D243" s="2"/>
      <c r="E243" s="2"/>
      <c r="F243" s="2"/>
      <c r="G243" s="2"/>
      <c r="H243" s="2"/>
      <c r="I243" s="2"/>
      <c r="J243" s="2"/>
      <c r="K243" s="183"/>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row>
    <row r="244" spans="1:87" ht="14.25" customHeight="1" x14ac:dyDescent="0.25">
      <c r="A244" s="2"/>
      <c r="B244" s="2"/>
      <c r="C244" s="2"/>
      <c r="D244" s="2"/>
      <c r="E244" s="2"/>
      <c r="F244" s="2"/>
      <c r="G244" s="2"/>
      <c r="H244" s="2"/>
      <c r="I244" s="2"/>
      <c r="J244" s="2"/>
      <c r="K244" s="183"/>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row>
    <row r="245" spans="1:87" ht="14.25" customHeight="1" x14ac:dyDescent="0.25">
      <c r="A245" s="2"/>
      <c r="B245" s="2"/>
      <c r="C245" s="2"/>
      <c r="D245" s="2"/>
      <c r="E245" s="2"/>
      <c r="F245" s="2"/>
      <c r="G245" s="2"/>
      <c r="H245" s="2"/>
      <c r="I245" s="2"/>
      <c r="J245" s="2"/>
      <c r="K245" s="183"/>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row>
    <row r="246" spans="1:87" ht="14.25" customHeight="1" x14ac:dyDescent="0.25">
      <c r="A246" s="2"/>
      <c r="B246" s="2"/>
      <c r="C246" s="2"/>
      <c r="D246" s="2"/>
      <c r="E246" s="2"/>
      <c r="F246" s="2"/>
      <c r="G246" s="2"/>
      <c r="H246" s="2"/>
      <c r="I246" s="2"/>
      <c r="J246" s="2"/>
      <c r="K246" s="183"/>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row>
    <row r="247" spans="1:87" ht="14.25" customHeight="1" x14ac:dyDescent="0.25">
      <c r="A247" s="2"/>
      <c r="B247" s="2"/>
      <c r="C247" s="2"/>
      <c r="D247" s="2"/>
      <c r="E247" s="2"/>
      <c r="F247" s="2"/>
      <c r="G247" s="2"/>
      <c r="H247" s="2"/>
      <c r="I247" s="2"/>
      <c r="J247" s="2"/>
      <c r="K247" s="183"/>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row>
    <row r="248" spans="1:87" ht="14.25" customHeight="1" x14ac:dyDescent="0.25">
      <c r="A248" s="2"/>
      <c r="B248" s="2"/>
      <c r="C248" s="2"/>
      <c r="D248" s="2"/>
      <c r="E248" s="2"/>
      <c r="F248" s="2"/>
      <c r="G248" s="2"/>
      <c r="H248" s="2"/>
      <c r="I248" s="2"/>
      <c r="J248" s="2"/>
      <c r="K248" s="183"/>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row>
    <row r="249" spans="1:87" ht="14.25" customHeight="1" x14ac:dyDescent="0.25">
      <c r="A249" s="2"/>
      <c r="B249" s="2"/>
      <c r="C249" s="2"/>
      <c r="D249" s="2"/>
      <c r="E249" s="2"/>
      <c r="F249" s="2"/>
      <c r="G249" s="2"/>
      <c r="H249" s="2"/>
      <c r="I249" s="2"/>
      <c r="J249" s="2"/>
      <c r="K249" s="183"/>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row>
    <row r="250" spans="1:87" ht="14.25" customHeight="1" x14ac:dyDescent="0.25">
      <c r="A250" s="2"/>
      <c r="B250" s="2"/>
      <c r="C250" s="2"/>
      <c r="D250" s="2"/>
      <c r="E250" s="2"/>
      <c r="F250" s="2"/>
      <c r="G250" s="2"/>
      <c r="H250" s="2"/>
      <c r="I250" s="2"/>
      <c r="J250" s="2"/>
      <c r="K250" s="183"/>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row>
    <row r="251" spans="1:87" ht="14.25" customHeight="1" x14ac:dyDescent="0.25">
      <c r="A251" s="2"/>
      <c r="B251" s="2"/>
      <c r="C251" s="2"/>
      <c r="D251" s="2"/>
      <c r="E251" s="2"/>
      <c r="F251" s="2"/>
      <c r="G251" s="2"/>
      <c r="H251" s="2"/>
      <c r="I251" s="2"/>
      <c r="J251" s="2"/>
      <c r="K251" s="183"/>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row>
    <row r="252" spans="1:87" ht="14.25" customHeight="1" x14ac:dyDescent="0.25">
      <c r="A252" s="2"/>
      <c r="B252" s="2"/>
      <c r="C252" s="2"/>
      <c r="D252" s="2"/>
      <c r="E252" s="2"/>
      <c r="F252" s="2"/>
      <c r="G252" s="2"/>
      <c r="H252" s="2"/>
      <c r="I252" s="2"/>
      <c r="J252" s="2"/>
      <c r="K252" s="183"/>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row>
    <row r="253" spans="1:87" ht="14.25" customHeight="1" x14ac:dyDescent="0.25">
      <c r="A253" s="2"/>
      <c r="B253" s="2"/>
      <c r="C253" s="2"/>
      <c r="D253" s="2"/>
      <c r="E253" s="2"/>
      <c r="F253" s="2"/>
      <c r="G253" s="2"/>
      <c r="H253" s="2"/>
      <c r="I253" s="2"/>
      <c r="J253" s="2"/>
      <c r="K253" s="183"/>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row>
    <row r="254" spans="1:87" ht="14.25" customHeight="1" x14ac:dyDescent="0.25">
      <c r="A254" s="2"/>
      <c r="B254" s="2"/>
      <c r="C254" s="2"/>
      <c r="D254" s="2"/>
      <c r="E254" s="2"/>
      <c r="F254" s="2"/>
      <c r="G254" s="2"/>
      <c r="H254" s="2"/>
      <c r="I254" s="2"/>
      <c r="J254" s="2"/>
      <c r="K254" s="183"/>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row>
    <row r="255" spans="1:87" ht="14.25" customHeight="1" x14ac:dyDescent="0.25">
      <c r="A255" s="2"/>
      <c r="B255" s="2"/>
      <c r="C255" s="2"/>
      <c r="D255" s="2"/>
      <c r="E255" s="2"/>
      <c r="F255" s="2"/>
      <c r="G255" s="2"/>
      <c r="H255" s="2"/>
      <c r="I255" s="2"/>
      <c r="J255" s="2"/>
      <c r="K255" s="183"/>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row>
    <row r="256" spans="1:87" ht="14.25" customHeight="1" x14ac:dyDescent="0.25">
      <c r="A256" s="2"/>
      <c r="B256" s="2"/>
      <c r="C256" s="2"/>
      <c r="D256" s="2"/>
      <c r="E256" s="2"/>
      <c r="F256" s="2"/>
      <c r="G256" s="2"/>
      <c r="H256" s="2"/>
      <c r="I256" s="2"/>
      <c r="J256" s="2"/>
      <c r="K256" s="183"/>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row>
    <row r="257" spans="1:87" ht="14.25" customHeight="1" x14ac:dyDescent="0.25">
      <c r="A257" s="2"/>
      <c r="B257" s="2"/>
      <c r="C257" s="2"/>
      <c r="D257" s="2"/>
      <c r="E257" s="2"/>
      <c r="F257" s="2"/>
      <c r="G257" s="2"/>
      <c r="H257" s="2"/>
      <c r="I257" s="2"/>
      <c r="J257" s="2"/>
      <c r="K257" s="183"/>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row>
    <row r="258" spans="1:87" ht="14.25" customHeight="1" x14ac:dyDescent="0.25">
      <c r="A258" s="2"/>
      <c r="B258" s="2"/>
      <c r="C258" s="2"/>
      <c r="D258" s="2"/>
      <c r="E258" s="2"/>
      <c r="F258" s="2"/>
      <c r="G258" s="2"/>
      <c r="H258" s="2"/>
      <c r="I258" s="2"/>
      <c r="J258" s="2"/>
      <c r="K258" s="183"/>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row>
    <row r="259" spans="1:87" ht="14.25" customHeight="1" x14ac:dyDescent="0.25">
      <c r="A259" s="2"/>
      <c r="B259" s="2"/>
      <c r="C259" s="2"/>
      <c r="D259" s="2"/>
      <c r="E259" s="2"/>
      <c r="F259" s="2"/>
      <c r="G259" s="2"/>
      <c r="H259" s="2"/>
      <c r="I259" s="2"/>
      <c r="J259" s="2"/>
      <c r="K259" s="183"/>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row>
    <row r="260" spans="1:87" ht="14.25" customHeight="1" x14ac:dyDescent="0.25">
      <c r="A260" s="2"/>
      <c r="B260" s="2"/>
      <c r="C260" s="2"/>
      <c r="D260" s="2"/>
      <c r="E260" s="2"/>
      <c r="F260" s="2"/>
      <c r="G260" s="2"/>
      <c r="H260" s="2"/>
      <c r="I260" s="2"/>
      <c r="J260" s="2"/>
      <c r="K260" s="183"/>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row>
    <row r="261" spans="1:87" ht="14.25" customHeight="1" x14ac:dyDescent="0.25">
      <c r="A261" s="2"/>
      <c r="B261" s="2"/>
      <c r="C261" s="2"/>
      <c r="D261" s="2"/>
      <c r="E261" s="2"/>
      <c r="F261" s="2"/>
      <c r="G261" s="2"/>
      <c r="H261" s="2"/>
      <c r="I261" s="2"/>
      <c r="J261" s="2"/>
      <c r="K261" s="183"/>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row>
    <row r="262" spans="1:87" ht="14.25" customHeight="1" x14ac:dyDescent="0.25">
      <c r="A262" s="2"/>
      <c r="B262" s="2"/>
      <c r="C262" s="2"/>
      <c r="D262" s="2"/>
      <c r="E262" s="2"/>
      <c r="F262" s="2"/>
      <c r="G262" s="2"/>
      <c r="H262" s="2"/>
      <c r="I262" s="2"/>
      <c r="J262" s="2"/>
      <c r="K262" s="183"/>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row>
    <row r="263" spans="1:87" ht="14.25" customHeight="1" x14ac:dyDescent="0.25">
      <c r="A263" s="2"/>
      <c r="B263" s="2"/>
      <c r="C263" s="2"/>
      <c r="D263" s="2"/>
      <c r="E263" s="2"/>
      <c r="F263" s="2"/>
      <c r="G263" s="2"/>
      <c r="H263" s="2"/>
      <c r="I263" s="2"/>
      <c r="J263" s="2"/>
      <c r="K263" s="183"/>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row>
    <row r="264" spans="1:87" ht="14.25" customHeight="1" x14ac:dyDescent="0.25">
      <c r="A264" s="2"/>
      <c r="B264" s="2"/>
      <c r="C264" s="2"/>
      <c r="D264" s="2"/>
      <c r="E264" s="2"/>
      <c r="F264" s="2"/>
      <c r="G264" s="2"/>
      <c r="H264" s="2"/>
      <c r="I264" s="2"/>
      <c r="J264" s="2"/>
      <c r="K264" s="183"/>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row>
    <row r="265" spans="1:87" ht="14.25" customHeight="1" x14ac:dyDescent="0.25">
      <c r="A265" s="2"/>
      <c r="B265" s="2"/>
      <c r="C265" s="2"/>
      <c r="D265" s="2"/>
      <c r="E265" s="2"/>
      <c r="F265" s="2"/>
      <c r="G265" s="2"/>
      <c r="H265" s="2"/>
      <c r="I265" s="2"/>
      <c r="J265" s="2"/>
      <c r="K265" s="183"/>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row>
    <row r="266" spans="1:87" ht="14.25" customHeight="1" x14ac:dyDescent="0.25">
      <c r="A266" s="2"/>
      <c r="B266" s="2"/>
      <c r="C266" s="2"/>
      <c r="D266" s="2"/>
      <c r="E266" s="2"/>
      <c r="F266" s="2"/>
      <c r="G266" s="2"/>
      <c r="H266" s="2"/>
      <c r="I266" s="2"/>
      <c r="J266" s="2"/>
      <c r="K266" s="183"/>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row>
    <row r="267" spans="1:87" ht="14.25" customHeight="1" x14ac:dyDescent="0.25">
      <c r="A267" s="2"/>
      <c r="B267" s="2"/>
      <c r="C267" s="2"/>
      <c r="D267" s="2"/>
      <c r="E267" s="2"/>
      <c r="F267" s="2"/>
      <c r="G267" s="2"/>
      <c r="H267" s="2"/>
      <c r="I267" s="2"/>
      <c r="J267" s="2"/>
      <c r="K267" s="183"/>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row>
    <row r="268" spans="1:87" ht="14.25" customHeight="1" x14ac:dyDescent="0.25">
      <c r="A268" s="2"/>
      <c r="B268" s="2"/>
      <c r="C268" s="2"/>
      <c r="D268" s="2"/>
      <c r="E268" s="2"/>
      <c r="F268" s="2"/>
      <c r="G268" s="2"/>
      <c r="H268" s="2"/>
      <c r="I268" s="2"/>
      <c r="J268" s="2"/>
      <c r="K268" s="183"/>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row>
    <row r="269" spans="1:87" ht="14.25" customHeight="1" x14ac:dyDescent="0.25">
      <c r="A269" s="2"/>
      <c r="B269" s="2"/>
      <c r="C269" s="2"/>
      <c r="D269" s="2"/>
      <c r="E269" s="2"/>
      <c r="F269" s="2"/>
      <c r="G269" s="2"/>
      <c r="H269" s="2"/>
      <c r="I269" s="2"/>
      <c r="J269" s="2"/>
      <c r="K269" s="183"/>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row>
    <row r="270" spans="1:87" ht="14.25" customHeight="1" x14ac:dyDescent="0.25">
      <c r="A270" s="2"/>
      <c r="B270" s="2"/>
      <c r="C270" s="2"/>
      <c r="D270" s="2"/>
      <c r="E270" s="2"/>
      <c r="F270" s="2"/>
      <c r="G270" s="2"/>
      <c r="H270" s="2"/>
      <c r="I270" s="2"/>
      <c r="J270" s="2"/>
      <c r="K270" s="183"/>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row>
    <row r="271" spans="1:87" ht="14.25" customHeight="1" x14ac:dyDescent="0.25">
      <c r="A271" s="2"/>
      <c r="B271" s="2"/>
      <c r="C271" s="2"/>
      <c r="D271" s="2"/>
      <c r="E271" s="2"/>
      <c r="F271" s="2"/>
      <c r="G271" s="2"/>
      <c r="H271" s="2"/>
      <c r="I271" s="2"/>
      <c r="J271" s="2"/>
      <c r="K271" s="183"/>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row>
    <row r="272" spans="1:87" ht="14.25" customHeight="1" x14ac:dyDescent="0.25">
      <c r="A272" s="2"/>
      <c r="B272" s="2"/>
      <c r="C272" s="2"/>
      <c r="D272" s="2"/>
      <c r="E272" s="2"/>
      <c r="F272" s="2"/>
      <c r="G272" s="2"/>
      <c r="H272" s="2"/>
      <c r="I272" s="2"/>
      <c r="J272" s="2"/>
      <c r="K272" s="183"/>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row>
    <row r="273" spans="1:87" ht="14.25" customHeight="1" x14ac:dyDescent="0.25">
      <c r="A273" s="2"/>
      <c r="B273" s="2"/>
      <c r="C273" s="2"/>
      <c r="D273" s="2"/>
      <c r="E273" s="2"/>
      <c r="F273" s="2"/>
      <c r="G273" s="2"/>
      <c r="H273" s="2"/>
      <c r="I273" s="2"/>
      <c r="J273" s="2"/>
      <c r="K273" s="183"/>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row>
    <row r="274" spans="1:87" ht="14.25" customHeight="1" x14ac:dyDescent="0.25">
      <c r="A274" s="2"/>
      <c r="B274" s="2"/>
      <c r="C274" s="2"/>
      <c r="D274" s="2"/>
      <c r="E274" s="2"/>
      <c r="F274" s="2"/>
      <c r="G274" s="2"/>
      <c r="H274" s="2"/>
      <c r="I274" s="2"/>
      <c r="J274" s="2"/>
      <c r="K274" s="183"/>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row>
    <row r="275" spans="1:87" ht="14.25" customHeight="1" x14ac:dyDescent="0.25">
      <c r="A275" s="2"/>
      <c r="B275" s="2"/>
      <c r="C275" s="2"/>
      <c r="D275" s="2"/>
      <c r="E275" s="2"/>
      <c r="F275" s="2"/>
      <c r="G275" s="2"/>
      <c r="H275" s="2"/>
      <c r="I275" s="2"/>
      <c r="J275" s="2"/>
      <c r="K275" s="183"/>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row>
    <row r="276" spans="1:87" ht="14.25" customHeight="1" x14ac:dyDescent="0.25">
      <c r="A276" s="2"/>
      <c r="B276" s="2"/>
      <c r="C276" s="2"/>
      <c r="D276" s="2"/>
      <c r="E276" s="2"/>
      <c r="F276" s="2"/>
      <c r="G276" s="2"/>
      <c r="H276" s="2"/>
      <c r="I276" s="2"/>
      <c r="J276" s="2"/>
      <c r="K276" s="183"/>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row>
    <row r="277" spans="1:87" ht="14.25" customHeight="1" x14ac:dyDescent="0.25">
      <c r="A277" s="2"/>
      <c r="B277" s="2"/>
      <c r="C277" s="2"/>
      <c r="D277" s="2"/>
      <c r="E277" s="2"/>
      <c r="F277" s="2"/>
      <c r="G277" s="2"/>
      <c r="H277" s="2"/>
      <c r="I277" s="2"/>
      <c r="J277" s="2"/>
      <c r="K277" s="183"/>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row>
    <row r="278" spans="1:87" ht="14.25" customHeight="1" x14ac:dyDescent="0.25">
      <c r="A278" s="2"/>
      <c r="B278" s="2"/>
      <c r="C278" s="2"/>
      <c r="D278" s="2"/>
      <c r="E278" s="2"/>
      <c r="F278" s="2"/>
      <c r="G278" s="2"/>
      <c r="H278" s="2"/>
      <c r="I278" s="2"/>
      <c r="J278" s="2"/>
      <c r="K278" s="183"/>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row>
    <row r="279" spans="1:87" ht="14.25" customHeight="1" x14ac:dyDescent="0.25">
      <c r="A279" s="2"/>
      <c r="B279" s="2"/>
      <c r="C279" s="2"/>
      <c r="D279" s="2"/>
      <c r="E279" s="2"/>
      <c r="F279" s="2"/>
      <c r="G279" s="2"/>
      <c r="H279" s="2"/>
      <c r="I279" s="2"/>
      <c r="J279" s="2"/>
      <c r="K279" s="183"/>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row>
    <row r="280" spans="1:87" ht="14.25" customHeight="1" x14ac:dyDescent="0.25">
      <c r="A280" s="2"/>
      <c r="B280" s="2"/>
      <c r="C280" s="2"/>
      <c r="D280" s="2"/>
      <c r="E280" s="2"/>
      <c r="F280" s="2"/>
      <c r="G280" s="2"/>
      <c r="H280" s="2"/>
      <c r="I280" s="2"/>
      <c r="J280" s="2"/>
      <c r="K280" s="183"/>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row>
    <row r="281" spans="1:87" ht="14.25" customHeight="1" x14ac:dyDescent="0.25">
      <c r="A281" s="2"/>
      <c r="B281" s="2"/>
      <c r="C281" s="2"/>
      <c r="D281" s="2"/>
      <c r="E281" s="2"/>
      <c r="F281" s="2"/>
      <c r="G281" s="2"/>
      <c r="H281" s="2"/>
      <c r="I281" s="2"/>
      <c r="J281" s="2"/>
      <c r="K281" s="183"/>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row>
    <row r="282" spans="1:87" ht="14.25" customHeight="1" x14ac:dyDescent="0.25">
      <c r="A282" s="2"/>
      <c r="B282" s="2"/>
      <c r="C282" s="2"/>
      <c r="D282" s="2"/>
      <c r="E282" s="2"/>
      <c r="F282" s="2"/>
      <c r="G282" s="2"/>
      <c r="H282" s="2"/>
      <c r="I282" s="2"/>
      <c r="J282" s="2"/>
      <c r="K282" s="183"/>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row>
    <row r="283" spans="1:87" ht="14.25" customHeight="1" x14ac:dyDescent="0.25">
      <c r="A283" s="2"/>
      <c r="B283" s="2"/>
      <c r="C283" s="2"/>
      <c r="D283" s="2"/>
      <c r="E283" s="2"/>
      <c r="F283" s="2"/>
      <c r="G283" s="2"/>
      <c r="H283" s="2"/>
      <c r="I283" s="2"/>
      <c r="J283" s="2"/>
      <c r="K283" s="183"/>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row>
    <row r="284" spans="1:87" ht="14.25" customHeight="1" x14ac:dyDescent="0.25">
      <c r="A284" s="2"/>
      <c r="B284" s="2"/>
      <c r="C284" s="2"/>
      <c r="D284" s="2"/>
      <c r="E284" s="2"/>
      <c r="F284" s="2"/>
      <c r="G284" s="2"/>
      <c r="H284" s="2"/>
      <c r="I284" s="2"/>
      <c r="J284" s="2"/>
      <c r="K284" s="183"/>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row>
    <row r="285" spans="1:87" ht="14.25" customHeight="1" x14ac:dyDescent="0.25">
      <c r="A285" s="2"/>
      <c r="B285" s="2"/>
      <c r="C285" s="2"/>
      <c r="D285" s="2"/>
      <c r="E285" s="2"/>
      <c r="F285" s="2"/>
      <c r="G285" s="2"/>
      <c r="H285" s="2"/>
      <c r="I285" s="2"/>
      <c r="J285" s="2"/>
      <c r="K285" s="183"/>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row>
    <row r="286" spans="1:87" ht="14.25" customHeight="1" x14ac:dyDescent="0.25">
      <c r="A286" s="2"/>
      <c r="B286" s="2"/>
      <c r="C286" s="2"/>
      <c r="D286" s="2"/>
      <c r="E286" s="2"/>
      <c r="F286" s="2"/>
      <c r="G286" s="2"/>
      <c r="H286" s="2"/>
      <c r="I286" s="2"/>
      <c r="J286" s="2"/>
      <c r="K286" s="183"/>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row>
    <row r="287" spans="1:87" ht="14.25" customHeight="1" x14ac:dyDescent="0.25">
      <c r="A287" s="2"/>
      <c r="B287" s="2"/>
      <c r="C287" s="2"/>
      <c r="D287" s="2"/>
      <c r="E287" s="2"/>
      <c r="F287" s="2"/>
      <c r="G287" s="2"/>
      <c r="H287" s="2"/>
      <c r="I287" s="2"/>
      <c r="J287" s="2"/>
      <c r="K287" s="183"/>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row>
    <row r="288" spans="1:87" ht="14.25" customHeight="1" x14ac:dyDescent="0.25">
      <c r="A288" s="2"/>
      <c r="B288" s="2"/>
      <c r="C288" s="2"/>
      <c r="D288" s="2"/>
      <c r="E288" s="2"/>
      <c r="F288" s="2"/>
      <c r="G288" s="2"/>
      <c r="H288" s="2"/>
      <c r="I288" s="2"/>
      <c r="J288" s="2"/>
      <c r="K288" s="183"/>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row>
    <row r="289" spans="1:87" ht="14.25" customHeight="1" x14ac:dyDescent="0.25">
      <c r="A289" s="2"/>
      <c r="B289" s="2"/>
      <c r="C289" s="2"/>
      <c r="D289" s="2"/>
      <c r="E289" s="2"/>
      <c r="F289" s="2"/>
      <c r="G289" s="2"/>
      <c r="H289" s="2"/>
      <c r="I289" s="2"/>
      <c r="J289" s="2"/>
      <c r="K289" s="183"/>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row>
    <row r="290" spans="1:87" ht="14.25" customHeight="1" x14ac:dyDescent="0.25">
      <c r="A290" s="2"/>
      <c r="B290" s="2"/>
      <c r="C290" s="2"/>
      <c r="D290" s="2"/>
      <c r="E290" s="2"/>
      <c r="F290" s="2"/>
      <c r="G290" s="2"/>
      <c r="H290" s="2"/>
      <c r="I290" s="2"/>
      <c r="J290" s="2"/>
      <c r="K290" s="183"/>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row>
    <row r="291" spans="1:87" ht="14.25" customHeight="1" x14ac:dyDescent="0.25">
      <c r="A291" s="2"/>
      <c r="B291" s="2"/>
      <c r="C291" s="2"/>
      <c r="D291" s="2"/>
      <c r="E291" s="2"/>
      <c r="F291" s="2"/>
      <c r="G291" s="2"/>
      <c r="H291" s="2"/>
      <c r="I291" s="2"/>
      <c r="J291" s="2"/>
      <c r="K291" s="183"/>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row>
    <row r="292" spans="1:87" ht="14.25" customHeight="1" x14ac:dyDescent="0.25">
      <c r="A292" s="2"/>
      <c r="B292" s="2"/>
      <c r="C292" s="2"/>
      <c r="D292" s="2"/>
      <c r="E292" s="2"/>
      <c r="F292" s="2"/>
      <c r="G292" s="2"/>
      <c r="H292" s="2"/>
      <c r="I292" s="2"/>
      <c r="J292" s="2"/>
      <c r="K292" s="183"/>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row>
    <row r="293" spans="1:87" ht="14.25" customHeight="1" x14ac:dyDescent="0.25">
      <c r="A293" s="2"/>
      <c r="B293" s="2"/>
      <c r="C293" s="2"/>
      <c r="D293" s="2"/>
      <c r="E293" s="2"/>
      <c r="F293" s="2"/>
      <c r="G293" s="2"/>
      <c r="H293" s="2"/>
      <c r="I293" s="2"/>
      <c r="J293" s="2"/>
      <c r="K293" s="183"/>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row>
    <row r="294" spans="1:87" ht="14.25" customHeight="1" x14ac:dyDescent="0.25">
      <c r="A294" s="2"/>
      <c r="B294" s="2"/>
      <c r="C294" s="2"/>
      <c r="D294" s="2"/>
      <c r="E294" s="2"/>
      <c r="F294" s="2"/>
      <c r="G294" s="2"/>
      <c r="H294" s="2"/>
      <c r="I294" s="2"/>
      <c r="J294" s="2"/>
      <c r="K294" s="183"/>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row>
    <row r="295" spans="1:87" ht="14.25" customHeight="1" x14ac:dyDescent="0.25">
      <c r="A295" s="2"/>
      <c r="B295" s="2"/>
      <c r="C295" s="2"/>
      <c r="D295" s="2"/>
      <c r="E295" s="2"/>
      <c r="F295" s="2"/>
      <c r="G295" s="2"/>
      <c r="H295" s="2"/>
      <c r="I295" s="2"/>
      <c r="J295" s="2"/>
      <c r="K295" s="183"/>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row>
    <row r="296" spans="1:87" ht="14.25" customHeight="1" x14ac:dyDescent="0.25">
      <c r="A296" s="2"/>
      <c r="B296" s="2"/>
      <c r="C296" s="2"/>
      <c r="D296" s="2"/>
      <c r="E296" s="2"/>
      <c r="F296" s="2"/>
      <c r="G296" s="2"/>
      <c r="H296" s="2"/>
      <c r="I296" s="2"/>
      <c r="J296" s="2"/>
      <c r="K296" s="183"/>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row>
    <row r="297" spans="1:87" ht="14.25" customHeight="1" x14ac:dyDescent="0.25">
      <c r="A297" s="2"/>
      <c r="B297" s="2"/>
      <c r="C297" s="2"/>
      <c r="D297" s="2"/>
      <c r="E297" s="2"/>
      <c r="F297" s="2"/>
      <c r="G297" s="2"/>
      <c r="H297" s="2"/>
      <c r="I297" s="2"/>
      <c r="J297" s="2"/>
      <c r="K297" s="183"/>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row>
    <row r="298" spans="1:87" ht="14.25" customHeight="1" x14ac:dyDescent="0.25">
      <c r="A298" s="2"/>
      <c r="B298" s="2"/>
      <c r="C298" s="2"/>
      <c r="D298" s="2"/>
      <c r="E298" s="2"/>
      <c r="F298" s="2"/>
      <c r="G298" s="2"/>
      <c r="H298" s="2"/>
      <c r="I298" s="2"/>
      <c r="J298" s="2"/>
      <c r="K298" s="183"/>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row>
    <row r="299" spans="1:87" ht="14.25" customHeight="1" x14ac:dyDescent="0.25">
      <c r="A299" s="2"/>
      <c r="B299" s="2"/>
      <c r="C299" s="2"/>
      <c r="D299" s="2"/>
      <c r="E299" s="2"/>
      <c r="F299" s="2"/>
      <c r="G299" s="2"/>
      <c r="H299" s="2"/>
      <c r="I299" s="2"/>
      <c r="J299" s="2"/>
      <c r="K299" s="183"/>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row>
    <row r="300" spans="1:87" ht="14.25" customHeight="1" x14ac:dyDescent="0.25">
      <c r="A300" s="2"/>
      <c r="B300" s="2"/>
      <c r="C300" s="2"/>
      <c r="D300" s="2"/>
      <c r="E300" s="2"/>
      <c r="F300" s="2"/>
      <c r="G300" s="2"/>
      <c r="H300" s="2"/>
      <c r="I300" s="2"/>
      <c r="J300" s="2"/>
      <c r="K300" s="183"/>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row>
    <row r="301" spans="1:87" ht="14.25" customHeight="1" x14ac:dyDescent="0.25">
      <c r="A301" s="2"/>
      <c r="B301" s="2"/>
      <c r="C301" s="2"/>
      <c r="D301" s="2"/>
      <c r="E301" s="2"/>
      <c r="F301" s="2"/>
      <c r="G301" s="2"/>
      <c r="H301" s="2"/>
      <c r="I301" s="2"/>
      <c r="J301" s="2"/>
      <c r="K301" s="183"/>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row>
    <row r="302" spans="1:87" ht="14.25" customHeight="1" x14ac:dyDescent="0.25">
      <c r="A302" s="2"/>
      <c r="B302" s="2"/>
      <c r="C302" s="2"/>
      <c r="D302" s="2"/>
      <c r="E302" s="2"/>
      <c r="F302" s="2"/>
      <c r="G302" s="2"/>
      <c r="H302" s="2"/>
      <c r="I302" s="2"/>
      <c r="J302" s="2"/>
      <c r="K302" s="183"/>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row>
    <row r="303" spans="1:87" ht="14.25" customHeight="1" x14ac:dyDescent="0.25">
      <c r="A303" s="2"/>
      <c r="B303" s="2"/>
      <c r="C303" s="2"/>
      <c r="D303" s="2"/>
      <c r="E303" s="2"/>
      <c r="F303" s="2"/>
      <c r="G303" s="2"/>
      <c r="H303" s="2"/>
      <c r="I303" s="2"/>
      <c r="J303" s="2"/>
      <c r="K303" s="183"/>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row>
    <row r="304" spans="1:87" ht="14.25" customHeight="1" x14ac:dyDescent="0.25">
      <c r="A304" s="2"/>
      <c r="B304" s="2"/>
      <c r="C304" s="2"/>
      <c r="D304" s="2"/>
      <c r="E304" s="2"/>
      <c r="F304" s="2"/>
      <c r="G304" s="2"/>
      <c r="H304" s="2"/>
      <c r="I304" s="2"/>
      <c r="J304" s="2"/>
      <c r="K304" s="183"/>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row>
    <row r="305" spans="1:87" ht="14.25" customHeight="1" x14ac:dyDescent="0.25">
      <c r="A305" s="2"/>
      <c r="B305" s="2"/>
      <c r="C305" s="2"/>
      <c r="D305" s="2"/>
      <c r="E305" s="2"/>
      <c r="F305" s="2"/>
      <c r="G305" s="2"/>
      <c r="H305" s="2"/>
      <c r="I305" s="2"/>
      <c r="J305" s="2"/>
      <c r="K305" s="183"/>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row>
    <row r="306" spans="1:87" ht="14.25" customHeight="1" x14ac:dyDescent="0.25">
      <c r="A306" s="2"/>
      <c r="B306" s="2"/>
      <c r="C306" s="2"/>
      <c r="D306" s="2"/>
      <c r="E306" s="2"/>
      <c r="F306" s="2"/>
      <c r="G306" s="2"/>
      <c r="H306" s="2"/>
      <c r="I306" s="2"/>
      <c r="J306" s="2"/>
      <c r="K306" s="183"/>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row>
    <row r="307" spans="1:87" ht="14.25" customHeight="1" x14ac:dyDescent="0.25">
      <c r="A307" s="2"/>
      <c r="B307" s="2"/>
      <c r="C307" s="2"/>
      <c r="D307" s="2"/>
      <c r="E307" s="2"/>
      <c r="F307" s="2"/>
      <c r="G307" s="2"/>
      <c r="H307" s="2"/>
      <c r="I307" s="2"/>
      <c r="J307" s="2"/>
      <c r="K307" s="183"/>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row>
    <row r="308" spans="1:87" ht="14.25" customHeight="1" x14ac:dyDescent="0.25">
      <c r="A308" s="2"/>
      <c r="B308" s="2"/>
      <c r="C308" s="2"/>
      <c r="D308" s="2"/>
      <c r="E308" s="2"/>
      <c r="F308" s="2"/>
      <c r="G308" s="2"/>
      <c r="H308" s="2"/>
      <c r="I308" s="2"/>
      <c r="J308" s="2"/>
      <c r="K308" s="183"/>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row>
    <row r="309" spans="1:87" ht="14.25" customHeight="1" x14ac:dyDescent="0.25">
      <c r="A309" s="2"/>
      <c r="B309" s="2"/>
      <c r="C309" s="2"/>
      <c r="D309" s="2"/>
      <c r="E309" s="2"/>
      <c r="F309" s="2"/>
      <c r="G309" s="2"/>
      <c r="H309" s="2"/>
      <c r="I309" s="2"/>
      <c r="J309" s="2"/>
      <c r="K309" s="183"/>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row>
    <row r="310" spans="1:87" ht="14.25" customHeight="1" x14ac:dyDescent="0.25">
      <c r="A310" s="2"/>
      <c r="B310" s="2"/>
      <c r="C310" s="2"/>
      <c r="D310" s="2"/>
      <c r="E310" s="2"/>
      <c r="F310" s="2"/>
      <c r="G310" s="2"/>
      <c r="H310" s="2"/>
      <c r="I310" s="2"/>
      <c r="J310" s="2"/>
      <c r="K310" s="183"/>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row>
    <row r="311" spans="1:87" ht="14.25" customHeight="1" x14ac:dyDescent="0.25">
      <c r="A311" s="2"/>
      <c r="B311" s="2"/>
      <c r="C311" s="2"/>
      <c r="D311" s="2"/>
      <c r="E311" s="2"/>
      <c r="F311" s="2"/>
      <c r="G311" s="2"/>
      <c r="H311" s="2"/>
      <c r="I311" s="2"/>
      <c r="J311" s="2"/>
      <c r="K311" s="183"/>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row>
    <row r="312" spans="1:87" ht="14.25" customHeight="1" x14ac:dyDescent="0.25">
      <c r="A312" s="2"/>
      <c r="B312" s="2"/>
      <c r="C312" s="2"/>
      <c r="D312" s="2"/>
      <c r="E312" s="2"/>
      <c r="F312" s="2"/>
      <c r="G312" s="2"/>
      <c r="H312" s="2"/>
      <c r="I312" s="2"/>
      <c r="J312" s="2"/>
      <c r="K312" s="183"/>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row>
    <row r="313" spans="1:87" ht="14.25" customHeight="1" x14ac:dyDescent="0.25">
      <c r="A313" s="2"/>
      <c r="B313" s="2"/>
      <c r="C313" s="2"/>
      <c r="D313" s="2"/>
      <c r="E313" s="2"/>
      <c r="F313" s="2"/>
      <c r="G313" s="2"/>
      <c r="H313" s="2"/>
      <c r="I313" s="2"/>
      <c r="J313" s="2"/>
      <c r="K313" s="183"/>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row>
    <row r="314" spans="1:87" ht="14.25" customHeight="1" x14ac:dyDescent="0.25">
      <c r="A314" s="2"/>
      <c r="B314" s="2"/>
      <c r="C314" s="2"/>
      <c r="D314" s="2"/>
      <c r="E314" s="2"/>
      <c r="F314" s="2"/>
      <c r="G314" s="2"/>
      <c r="H314" s="2"/>
      <c r="I314" s="2"/>
      <c r="J314" s="2"/>
      <c r="K314" s="183"/>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row>
    <row r="315" spans="1:87" ht="14.25" customHeight="1" x14ac:dyDescent="0.25">
      <c r="A315" s="2"/>
      <c r="B315" s="2"/>
      <c r="C315" s="2"/>
      <c r="D315" s="2"/>
      <c r="E315" s="2"/>
      <c r="F315" s="2"/>
      <c r="G315" s="2"/>
      <c r="H315" s="2"/>
      <c r="I315" s="2"/>
      <c r="J315" s="2"/>
      <c r="K315" s="183"/>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row>
    <row r="316" spans="1:87" ht="14.25" customHeight="1" x14ac:dyDescent="0.25">
      <c r="A316" s="2"/>
      <c r="B316" s="2"/>
      <c r="C316" s="2"/>
      <c r="D316" s="2"/>
      <c r="E316" s="2"/>
      <c r="F316" s="2"/>
      <c r="G316" s="2"/>
      <c r="H316" s="2"/>
      <c r="I316" s="2"/>
      <c r="J316" s="2"/>
      <c r="K316" s="183"/>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row>
    <row r="317" spans="1:87" ht="14.25" customHeight="1" x14ac:dyDescent="0.25">
      <c r="A317" s="2"/>
      <c r="B317" s="2"/>
      <c r="C317" s="2"/>
      <c r="D317" s="2"/>
      <c r="E317" s="2"/>
      <c r="F317" s="2"/>
      <c r="G317" s="2"/>
      <c r="H317" s="2"/>
      <c r="I317" s="2"/>
      <c r="J317" s="2"/>
      <c r="K317" s="183"/>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row>
    <row r="318" spans="1:87" ht="14.25" customHeight="1" x14ac:dyDescent="0.25">
      <c r="A318" s="2"/>
      <c r="B318" s="2"/>
      <c r="C318" s="2"/>
      <c r="D318" s="2"/>
      <c r="E318" s="2"/>
      <c r="F318" s="2"/>
      <c r="G318" s="2"/>
      <c r="H318" s="2"/>
      <c r="I318" s="2"/>
      <c r="J318" s="2"/>
      <c r="K318" s="183"/>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row>
    <row r="319" spans="1:87" ht="14.25" customHeight="1" x14ac:dyDescent="0.25">
      <c r="A319" s="2"/>
      <c r="B319" s="2"/>
      <c r="C319" s="2"/>
      <c r="D319" s="2"/>
      <c r="E319" s="2"/>
      <c r="F319" s="2"/>
      <c r="G319" s="2"/>
      <c r="H319" s="2"/>
      <c r="I319" s="2"/>
      <c r="J319" s="2"/>
      <c r="K319" s="183"/>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row>
    <row r="320" spans="1:87" ht="14.25" customHeight="1" x14ac:dyDescent="0.25">
      <c r="A320" s="2"/>
      <c r="B320" s="2"/>
      <c r="C320" s="2"/>
      <c r="D320" s="2"/>
      <c r="E320" s="2"/>
      <c r="F320" s="2"/>
      <c r="G320" s="2"/>
      <c r="H320" s="2"/>
      <c r="I320" s="2"/>
      <c r="J320" s="2"/>
      <c r="K320" s="183"/>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row>
    <row r="321" spans="1:87" ht="14.25" customHeight="1" x14ac:dyDescent="0.25">
      <c r="A321" s="2"/>
      <c r="B321" s="2"/>
      <c r="C321" s="2"/>
      <c r="D321" s="2"/>
      <c r="E321" s="2"/>
      <c r="F321" s="2"/>
      <c r="G321" s="2"/>
      <c r="H321" s="2"/>
      <c r="I321" s="2"/>
      <c r="J321" s="2"/>
      <c r="K321" s="183"/>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row>
    <row r="322" spans="1:87" ht="14.25" customHeight="1" x14ac:dyDescent="0.25">
      <c r="A322" s="2"/>
      <c r="B322" s="2"/>
      <c r="C322" s="2"/>
      <c r="D322" s="2"/>
      <c r="E322" s="2"/>
      <c r="F322" s="2"/>
      <c r="G322" s="2"/>
      <c r="H322" s="2"/>
      <c r="I322" s="2"/>
      <c r="J322" s="2"/>
      <c r="K322" s="183"/>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row>
    <row r="323" spans="1:87" ht="14.25" customHeight="1" x14ac:dyDescent="0.25">
      <c r="A323" s="2"/>
      <c r="B323" s="2"/>
      <c r="C323" s="2"/>
      <c r="D323" s="2"/>
      <c r="E323" s="2"/>
      <c r="F323" s="2"/>
      <c r="G323" s="2"/>
      <c r="H323" s="2"/>
      <c r="I323" s="2"/>
      <c r="J323" s="2"/>
      <c r="K323" s="183"/>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row>
    <row r="324" spans="1:87" ht="14.25" customHeight="1" x14ac:dyDescent="0.25">
      <c r="A324" s="2"/>
      <c r="B324" s="2"/>
      <c r="C324" s="2"/>
      <c r="D324" s="2"/>
      <c r="E324" s="2"/>
      <c r="F324" s="2"/>
      <c r="G324" s="2"/>
      <c r="H324" s="2"/>
      <c r="I324" s="2"/>
      <c r="J324" s="2"/>
      <c r="K324" s="183"/>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row>
    <row r="325" spans="1:87" ht="14.25" customHeight="1" x14ac:dyDescent="0.25">
      <c r="A325" s="2"/>
      <c r="B325" s="2"/>
      <c r="C325" s="2"/>
      <c r="D325" s="2"/>
      <c r="E325" s="2"/>
      <c r="F325" s="2"/>
      <c r="G325" s="2"/>
      <c r="H325" s="2"/>
      <c r="I325" s="2"/>
      <c r="J325" s="2"/>
      <c r="K325" s="183"/>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row>
    <row r="326" spans="1:87" ht="14.25" customHeight="1" x14ac:dyDescent="0.25">
      <c r="A326" s="2"/>
      <c r="B326" s="2"/>
      <c r="C326" s="2"/>
      <c r="D326" s="2"/>
      <c r="E326" s="2"/>
      <c r="F326" s="2"/>
      <c r="G326" s="2"/>
      <c r="H326" s="2"/>
      <c r="I326" s="2"/>
      <c r="J326" s="2"/>
      <c r="K326" s="183"/>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row>
    <row r="327" spans="1:87" ht="14.25" customHeight="1" x14ac:dyDescent="0.25">
      <c r="A327" s="2"/>
      <c r="B327" s="2"/>
      <c r="C327" s="2"/>
      <c r="D327" s="2"/>
      <c r="E327" s="2"/>
      <c r="F327" s="2"/>
      <c r="G327" s="2"/>
      <c r="H327" s="2"/>
      <c r="I327" s="2"/>
      <c r="J327" s="2"/>
      <c r="K327" s="183"/>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row>
    <row r="328" spans="1:87" ht="14.25" customHeight="1" x14ac:dyDescent="0.25">
      <c r="A328" s="2"/>
      <c r="B328" s="2"/>
      <c r="C328" s="2"/>
      <c r="D328" s="2"/>
      <c r="E328" s="2"/>
      <c r="F328" s="2"/>
      <c r="G328" s="2"/>
      <c r="H328" s="2"/>
      <c r="I328" s="2"/>
      <c r="J328" s="2"/>
      <c r="K328" s="183"/>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row>
    <row r="329" spans="1:87" ht="14.25" customHeight="1" x14ac:dyDescent="0.25">
      <c r="A329" s="2"/>
      <c r="B329" s="2"/>
      <c r="C329" s="2"/>
      <c r="D329" s="2"/>
      <c r="E329" s="2"/>
      <c r="F329" s="2"/>
      <c r="G329" s="2"/>
      <c r="H329" s="2"/>
      <c r="I329" s="2"/>
      <c r="J329" s="2"/>
      <c r="K329" s="183"/>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row>
    <row r="330" spans="1:87" ht="14.25" customHeight="1" x14ac:dyDescent="0.25">
      <c r="A330" s="2"/>
      <c r="B330" s="2"/>
      <c r="C330" s="2"/>
      <c r="D330" s="2"/>
      <c r="E330" s="2"/>
      <c r="F330" s="2"/>
      <c r="G330" s="2"/>
      <c r="H330" s="2"/>
      <c r="I330" s="2"/>
      <c r="J330" s="2"/>
      <c r="K330" s="183"/>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row>
    <row r="331" spans="1:87" ht="14.25" customHeight="1" x14ac:dyDescent="0.25">
      <c r="A331" s="2"/>
      <c r="B331" s="2"/>
      <c r="C331" s="2"/>
      <c r="D331" s="2"/>
      <c r="E331" s="2"/>
      <c r="F331" s="2"/>
      <c r="G331" s="2"/>
      <c r="H331" s="2"/>
      <c r="I331" s="2"/>
      <c r="J331" s="2"/>
      <c r="K331" s="183"/>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row>
    <row r="332" spans="1:87" ht="14.25" customHeight="1" x14ac:dyDescent="0.25">
      <c r="A332" s="2"/>
      <c r="B332" s="2"/>
      <c r="C332" s="2"/>
      <c r="D332" s="2"/>
      <c r="E332" s="2"/>
      <c r="F332" s="2"/>
      <c r="G332" s="2"/>
      <c r="H332" s="2"/>
      <c r="I332" s="2"/>
      <c r="J332" s="2"/>
      <c r="K332" s="183"/>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row>
    <row r="333" spans="1:87" ht="14.25" customHeight="1" x14ac:dyDescent="0.25">
      <c r="A333" s="2"/>
      <c r="B333" s="2"/>
      <c r="C333" s="2"/>
      <c r="D333" s="2"/>
      <c r="E333" s="2"/>
      <c r="F333" s="2"/>
      <c r="G333" s="2"/>
      <c r="H333" s="2"/>
      <c r="I333" s="2"/>
      <c r="J333" s="2"/>
      <c r="K333" s="183"/>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row>
    <row r="334" spans="1:87" ht="14.25" customHeight="1" x14ac:dyDescent="0.25">
      <c r="A334" s="2"/>
      <c r="B334" s="2"/>
      <c r="C334" s="2"/>
      <c r="D334" s="2"/>
      <c r="E334" s="2"/>
      <c r="F334" s="2"/>
      <c r="G334" s="2"/>
      <c r="H334" s="2"/>
      <c r="I334" s="2"/>
      <c r="J334" s="2"/>
      <c r="K334" s="183"/>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row>
    <row r="335" spans="1:87" ht="14.25" customHeight="1" x14ac:dyDescent="0.25">
      <c r="A335" s="2"/>
      <c r="B335" s="2"/>
      <c r="C335" s="2"/>
      <c r="D335" s="2"/>
      <c r="E335" s="2"/>
      <c r="F335" s="2"/>
      <c r="G335" s="2"/>
      <c r="H335" s="2"/>
      <c r="I335" s="2"/>
      <c r="J335" s="2"/>
      <c r="K335" s="183"/>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row>
    <row r="336" spans="1:87" ht="14.25" customHeight="1" x14ac:dyDescent="0.25">
      <c r="A336" s="2"/>
      <c r="B336" s="2"/>
      <c r="C336" s="2"/>
      <c r="D336" s="2"/>
      <c r="E336" s="2"/>
      <c r="F336" s="2"/>
      <c r="G336" s="2"/>
      <c r="H336" s="2"/>
      <c r="I336" s="2"/>
      <c r="J336" s="2"/>
      <c r="K336" s="183"/>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row>
    <row r="337" spans="1:87" ht="14.25" customHeight="1" x14ac:dyDescent="0.25">
      <c r="A337" s="2"/>
      <c r="B337" s="2"/>
      <c r="C337" s="2"/>
      <c r="D337" s="2"/>
      <c r="E337" s="2"/>
      <c r="F337" s="2"/>
      <c r="G337" s="2"/>
      <c r="H337" s="2"/>
      <c r="I337" s="2"/>
      <c r="J337" s="2"/>
      <c r="K337" s="183"/>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row>
    <row r="338" spans="1:87" ht="14.25" customHeight="1" x14ac:dyDescent="0.25">
      <c r="A338" s="2"/>
      <c r="B338" s="2"/>
      <c r="C338" s="2"/>
      <c r="D338" s="2"/>
      <c r="E338" s="2"/>
      <c r="F338" s="2"/>
      <c r="G338" s="2"/>
      <c r="H338" s="2"/>
      <c r="I338" s="2"/>
      <c r="J338" s="2"/>
      <c r="K338" s="183"/>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row>
    <row r="339" spans="1:87" ht="14.25" customHeight="1" x14ac:dyDescent="0.25">
      <c r="A339" s="2"/>
      <c r="B339" s="2"/>
      <c r="C339" s="2"/>
      <c r="D339" s="2"/>
      <c r="E339" s="2"/>
      <c r="F339" s="2"/>
      <c r="G339" s="2"/>
      <c r="H339" s="2"/>
      <c r="I339" s="2"/>
      <c r="J339" s="2"/>
      <c r="K339" s="183"/>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row>
    <row r="340" spans="1:87" ht="14.25" customHeight="1" x14ac:dyDescent="0.25">
      <c r="A340" s="2"/>
      <c r="B340" s="2"/>
      <c r="C340" s="2"/>
      <c r="D340" s="2"/>
      <c r="E340" s="2"/>
      <c r="F340" s="2"/>
      <c r="G340" s="2"/>
      <c r="H340" s="2"/>
      <c r="I340" s="2"/>
      <c r="J340" s="2"/>
      <c r="K340" s="183"/>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row>
    <row r="341" spans="1:87" ht="14.25" customHeight="1" x14ac:dyDescent="0.25">
      <c r="A341" s="2"/>
      <c r="B341" s="2"/>
      <c r="C341" s="2"/>
      <c r="D341" s="2"/>
      <c r="E341" s="2"/>
      <c r="F341" s="2"/>
      <c r="G341" s="2"/>
      <c r="H341" s="2"/>
      <c r="I341" s="2"/>
      <c r="J341" s="2"/>
      <c r="K341" s="183"/>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row>
    <row r="342" spans="1:87" ht="14.25" customHeight="1" x14ac:dyDescent="0.25">
      <c r="A342" s="2"/>
      <c r="B342" s="2"/>
      <c r="C342" s="2"/>
      <c r="D342" s="2"/>
      <c r="E342" s="2"/>
      <c r="F342" s="2"/>
      <c r="G342" s="2"/>
      <c r="H342" s="2"/>
      <c r="I342" s="2"/>
      <c r="J342" s="2"/>
      <c r="K342" s="183"/>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row>
    <row r="343" spans="1:87" ht="14.25" customHeight="1" x14ac:dyDescent="0.25">
      <c r="A343" s="2"/>
      <c r="B343" s="2"/>
      <c r="C343" s="2"/>
      <c r="D343" s="2"/>
      <c r="E343" s="2"/>
      <c r="F343" s="2"/>
      <c r="G343" s="2"/>
      <c r="H343" s="2"/>
      <c r="I343" s="2"/>
      <c r="J343" s="2"/>
      <c r="K343" s="183"/>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row>
    <row r="344" spans="1:87" ht="14.25" customHeight="1" x14ac:dyDescent="0.25">
      <c r="A344" s="2"/>
      <c r="B344" s="2"/>
      <c r="C344" s="2"/>
      <c r="D344" s="2"/>
      <c r="E344" s="2"/>
      <c r="F344" s="2"/>
      <c r="G344" s="2"/>
      <c r="H344" s="2"/>
      <c r="I344" s="2"/>
      <c r="J344" s="2"/>
      <c r="K344" s="183"/>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row>
    <row r="345" spans="1:87" ht="14.25" customHeight="1" x14ac:dyDescent="0.25">
      <c r="A345" s="2"/>
      <c r="B345" s="2"/>
      <c r="C345" s="2"/>
      <c r="D345" s="2"/>
      <c r="E345" s="2"/>
      <c r="F345" s="2"/>
      <c r="G345" s="2"/>
      <c r="H345" s="2"/>
      <c r="I345" s="2"/>
      <c r="J345" s="2"/>
      <c r="K345" s="183"/>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row>
    <row r="346" spans="1:87" ht="14.25" customHeight="1" x14ac:dyDescent="0.25">
      <c r="A346" s="2"/>
      <c r="B346" s="2"/>
      <c r="C346" s="2"/>
      <c r="D346" s="2"/>
      <c r="E346" s="2"/>
      <c r="F346" s="2"/>
      <c r="G346" s="2"/>
      <c r="H346" s="2"/>
      <c r="I346" s="2"/>
      <c r="J346" s="2"/>
      <c r="K346" s="183"/>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row>
    <row r="347" spans="1:87" ht="14.25" customHeight="1" x14ac:dyDescent="0.25">
      <c r="A347" s="2"/>
      <c r="B347" s="2"/>
      <c r="C347" s="2"/>
      <c r="D347" s="2"/>
      <c r="E347" s="2"/>
      <c r="F347" s="2"/>
      <c r="G347" s="2"/>
      <c r="H347" s="2"/>
      <c r="I347" s="2"/>
      <c r="J347" s="2"/>
      <c r="K347" s="183"/>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row>
    <row r="348" spans="1:87" ht="14.25" customHeight="1" x14ac:dyDescent="0.25">
      <c r="A348" s="2"/>
      <c r="B348" s="2"/>
      <c r="C348" s="2"/>
      <c r="D348" s="2"/>
      <c r="E348" s="2"/>
      <c r="F348" s="2"/>
      <c r="G348" s="2"/>
      <c r="H348" s="2"/>
      <c r="I348" s="2"/>
      <c r="J348" s="2"/>
      <c r="K348" s="183"/>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row>
    <row r="349" spans="1:87" ht="14.25" customHeight="1" x14ac:dyDescent="0.25">
      <c r="A349" s="2"/>
      <c r="B349" s="2"/>
      <c r="C349" s="2"/>
      <c r="D349" s="2"/>
      <c r="E349" s="2"/>
      <c r="F349" s="2"/>
      <c r="G349" s="2"/>
      <c r="H349" s="2"/>
      <c r="I349" s="2"/>
      <c r="J349" s="2"/>
      <c r="K349" s="183"/>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row>
    <row r="350" spans="1:87" ht="14.25" customHeight="1" x14ac:dyDescent="0.25">
      <c r="A350" s="2"/>
      <c r="B350" s="2"/>
      <c r="C350" s="2"/>
      <c r="D350" s="2"/>
      <c r="E350" s="2"/>
      <c r="F350" s="2"/>
      <c r="G350" s="2"/>
      <c r="H350" s="2"/>
      <c r="I350" s="2"/>
      <c r="J350" s="2"/>
      <c r="K350" s="183"/>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row>
    <row r="351" spans="1:87" ht="14.25" customHeight="1" x14ac:dyDescent="0.25">
      <c r="A351" s="2"/>
      <c r="B351" s="2"/>
      <c r="C351" s="2"/>
      <c r="D351" s="2"/>
      <c r="E351" s="2"/>
      <c r="F351" s="2"/>
      <c r="G351" s="2"/>
      <c r="H351" s="2"/>
      <c r="I351" s="2"/>
      <c r="J351" s="2"/>
      <c r="K351" s="183"/>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row>
    <row r="352" spans="1:87" ht="14.25" customHeight="1" x14ac:dyDescent="0.25">
      <c r="A352" s="2"/>
      <c r="B352" s="2"/>
      <c r="C352" s="2"/>
      <c r="D352" s="2"/>
      <c r="E352" s="2"/>
      <c r="F352" s="2"/>
      <c r="G352" s="2"/>
      <c r="H352" s="2"/>
      <c r="I352" s="2"/>
      <c r="J352" s="2"/>
      <c r="K352" s="183"/>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row>
    <row r="353" spans="1:87" ht="14.25" customHeight="1" x14ac:dyDescent="0.25">
      <c r="A353" s="2"/>
      <c r="B353" s="2"/>
      <c r="C353" s="2"/>
      <c r="D353" s="2"/>
      <c r="E353" s="2"/>
      <c r="F353" s="2"/>
      <c r="G353" s="2"/>
      <c r="H353" s="2"/>
      <c r="I353" s="2"/>
      <c r="J353" s="2"/>
      <c r="K353" s="183"/>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row>
    <row r="354" spans="1:87" ht="14.25" customHeight="1" x14ac:dyDescent="0.25">
      <c r="A354" s="2"/>
      <c r="B354" s="2"/>
      <c r="C354" s="2"/>
      <c r="D354" s="2"/>
      <c r="E354" s="2"/>
      <c r="F354" s="2"/>
      <c r="G354" s="2"/>
      <c r="H354" s="2"/>
      <c r="I354" s="2"/>
      <c r="J354" s="2"/>
      <c r="K354" s="183"/>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row>
    <row r="355" spans="1:87" ht="14.25" customHeight="1" x14ac:dyDescent="0.25">
      <c r="A355" s="2"/>
      <c r="B355" s="2"/>
      <c r="C355" s="2"/>
      <c r="D355" s="2"/>
      <c r="E355" s="2"/>
      <c r="F355" s="2"/>
      <c r="G355" s="2"/>
      <c r="H355" s="2"/>
      <c r="I355" s="2"/>
      <c r="J355" s="2"/>
      <c r="K355" s="183"/>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row>
    <row r="356" spans="1:87" ht="14.25" customHeight="1" x14ac:dyDescent="0.25">
      <c r="A356" s="2"/>
      <c r="B356" s="2"/>
      <c r="C356" s="2"/>
      <c r="D356" s="2"/>
      <c r="E356" s="2"/>
      <c r="F356" s="2"/>
      <c r="G356" s="2"/>
      <c r="H356" s="2"/>
      <c r="I356" s="2"/>
      <c r="J356" s="2"/>
      <c r="K356" s="183"/>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row>
    <row r="357" spans="1:87" ht="14.25" customHeight="1" x14ac:dyDescent="0.25">
      <c r="A357" s="2"/>
      <c r="B357" s="2"/>
      <c r="C357" s="2"/>
      <c r="D357" s="2"/>
      <c r="E357" s="2"/>
      <c r="F357" s="2"/>
      <c r="G357" s="2"/>
      <c r="H357" s="2"/>
      <c r="I357" s="2"/>
      <c r="J357" s="2"/>
      <c r="K357" s="183"/>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row>
    <row r="358" spans="1:87" ht="14.25" customHeight="1" x14ac:dyDescent="0.25">
      <c r="A358" s="2"/>
      <c r="B358" s="2"/>
      <c r="C358" s="2"/>
      <c r="D358" s="2"/>
      <c r="E358" s="2"/>
      <c r="F358" s="2"/>
      <c r="G358" s="2"/>
      <c r="H358" s="2"/>
      <c r="I358" s="2"/>
      <c r="J358" s="2"/>
      <c r="K358" s="183"/>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row>
    <row r="359" spans="1:87" ht="14.25" customHeight="1" x14ac:dyDescent="0.25">
      <c r="A359" s="2"/>
      <c r="B359" s="2"/>
      <c r="C359" s="2"/>
      <c r="D359" s="2"/>
      <c r="E359" s="2"/>
      <c r="F359" s="2"/>
      <c r="G359" s="2"/>
      <c r="H359" s="2"/>
      <c r="I359" s="2"/>
      <c r="J359" s="2"/>
      <c r="K359" s="183"/>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row>
    <row r="360" spans="1:87" ht="14.25" customHeight="1" x14ac:dyDescent="0.25">
      <c r="A360" s="2"/>
      <c r="B360" s="2"/>
      <c r="C360" s="2"/>
      <c r="D360" s="2"/>
      <c r="E360" s="2"/>
      <c r="F360" s="2"/>
      <c r="G360" s="2"/>
      <c r="H360" s="2"/>
      <c r="I360" s="2"/>
      <c r="J360" s="2"/>
      <c r="K360" s="183"/>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row>
    <row r="361" spans="1:87" ht="14.25" customHeight="1" x14ac:dyDescent="0.25">
      <c r="A361" s="2"/>
      <c r="B361" s="2"/>
      <c r="C361" s="2"/>
      <c r="D361" s="2"/>
      <c r="E361" s="2"/>
      <c r="F361" s="2"/>
      <c r="G361" s="2"/>
      <c r="H361" s="2"/>
      <c r="I361" s="2"/>
      <c r="J361" s="2"/>
      <c r="K361" s="183"/>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row>
    <row r="362" spans="1:87" ht="14.25" customHeight="1" x14ac:dyDescent="0.25">
      <c r="A362" s="2"/>
      <c r="B362" s="2"/>
      <c r="C362" s="2"/>
      <c r="D362" s="2"/>
      <c r="E362" s="2"/>
      <c r="F362" s="2"/>
      <c r="G362" s="2"/>
      <c r="H362" s="2"/>
      <c r="I362" s="2"/>
      <c r="J362" s="2"/>
      <c r="K362" s="183"/>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row>
    <row r="363" spans="1:87" ht="14.25" customHeight="1" x14ac:dyDescent="0.25">
      <c r="A363" s="2"/>
      <c r="B363" s="2"/>
      <c r="C363" s="2"/>
      <c r="D363" s="2"/>
      <c r="E363" s="2"/>
      <c r="F363" s="2"/>
      <c r="G363" s="2"/>
      <c r="H363" s="2"/>
      <c r="I363" s="2"/>
      <c r="J363" s="2"/>
      <c r="K363" s="183"/>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row>
    <row r="364" spans="1:87" ht="14.25" customHeight="1" x14ac:dyDescent="0.25">
      <c r="A364" s="2"/>
      <c r="B364" s="2"/>
      <c r="C364" s="2"/>
      <c r="D364" s="2"/>
      <c r="E364" s="2"/>
      <c r="F364" s="2"/>
      <c r="G364" s="2"/>
      <c r="H364" s="2"/>
      <c r="I364" s="2"/>
      <c r="J364" s="2"/>
      <c r="K364" s="183"/>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row>
    <row r="365" spans="1:87" ht="14.25" customHeight="1" x14ac:dyDescent="0.25">
      <c r="A365" s="2"/>
      <c r="B365" s="2"/>
      <c r="C365" s="2"/>
      <c r="D365" s="2"/>
      <c r="E365" s="2"/>
      <c r="F365" s="2"/>
      <c r="G365" s="2"/>
      <c r="H365" s="2"/>
      <c r="I365" s="2"/>
      <c r="J365" s="2"/>
      <c r="K365" s="183"/>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row>
    <row r="366" spans="1:87" ht="14.25" customHeight="1" x14ac:dyDescent="0.25">
      <c r="A366" s="2"/>
      <c r="B366" s="2"/>
      <c r="C366" s="2"/>
      <c r="D366" s="2"/>
      <c r="E366" s="2"/>
      <c r="F366" s="2"/>
      <c r="G366" s="2"/>
      <c r="H366" s="2"/>
      <c r="I366" s="2"/>
      <c r="J366" s="2"/>
      <c r="K366" s="183"/>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row>
    <row r="367" spans="1:87" ht="14.25" customHeight="1" x14ac:dyDescent="0.25">
      <c r="A367" s="2"/>
      <c r="B367" s="2"/>
      <c r="C367" s="2"/>
      <c r="D367" s="2"/>
      <c r="E367" s="2"/>
      <c r="F367" s="2"/>
      <c r="G367" s="2"/>
      <c r="H367" s="2"/>
      <c r="I367" s="2"/>
      <c r="J367" s="2"/>
      <c r="K367" s="183"/>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row>
    <row r="368" spans="1:87" ht="14.25" customHeight="1" x14ac:dyDescent="0.25">
      <c r="A368" s="2"/>
      <c r="B368" s="2"/>
      <c r="C368" s="2"/>
      <c r="D368" s="2"/>
      <c r="E368" s="2"/>
      <c r="F368" s="2"/>
      <c r="G368" s="2"/>
      <c r="H368" s="2"/>
      <c r="I368" s="2"/>
      <c r="J368" s="2"/>
      <c r="K368" s="183"/>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row>
    <row r="369" spans="1:87" ht="14.25" customHeight="1" x14ac:dyDescent="0.25">
      <c r="A369" s="2"/>
      <c r="B369" s="2"/>
      <c r="C369" s="2"/>
      <c r="D369" s="2"/>
      <c r="E369" s="2"/>
      <c r="F369" s="2"/>
      <c r="G369" s="2"/>
      <c r="H369" s="2"/>
      <c r="I369" s="2"/>
      <c r="J369" s="2"/>
      <c r="K369" s="183"/>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row>
    <row r="370" spans="1:87" ht="14.25" customHeight="1" x14ac:dyDescent="0.25">
      <c r="A370" s="2"/>
      <c r="B370" s="2"/>
      <c r="C370" s="2"/>
      <c r="D370" s="2"/>
      <c r="E370" s="2"/>
      <c r="F370" s="2"/>
      <c r="G370" s="2"/>
      <c r="H370" s="2"/>
      <c r="I370" s="2"/>
      <c r="J370" s="2"/>
      <c r="K370" s="183"/>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row>
    <row r="371" spans="1:87" ht="14.25" customHeight="1" x14ac:dyDescent="0.25">
      <c r="A371" s="2"/>
      <c r="B371" s="2"/>
      <c r="C371" s="2"/>
      <c r="D371" s="2"/>
      <c r="E371" s="2"/>
      <c r="F371" s="2"/>
      <c r="G371" s="2"/>
      <c r="H371" s="2"/>
      <c r="I371" s="2"/>
      <c r="J371" s="2"/>
      <c r="K371" s="183"/>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row>
    <row r="372" spans="1:87" ht="14.25" customHeight="1" x14ac:dyDescent="0.25">
      <c r="A372" s="2"/>
      <c r="B372" s="2"/>
      <c r="C372" s="2"/>
      <c r="D372" s="2"/>
      <c r="E372" s="2"/>
      <c r="F372" s="2"/>
      <c r="G372" s="2"/>
      <c r="H372" s="2"/>
      <c r="I372" s="2"/>
      <c r="J372" s="2"/>
      <c r="K372" s="183"/>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row>
    <row r="373" spans="1:87" ht="14.25" customHeight="1" x14ac:dyDescent="0.25">
      <c r="A373" s="2"/>
      <c r="B373" s="2"/>
      <c r="C373" s="2"/>
      <c r="D373" s="2"/>
      <c r="E373" s="2"/>
      <c r="F373" s="2"/>
      <c r="G373" s="2"/>
      <c r="H373" s="2"/>
      <c r="I373" s="2"/>
      <c r="J373" s="2"/>
      <c r="K373" s="183"/>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row>
    <row r="374" spans="1:87" ht="14.25" customHeight="1" x14ac:dyDescent="0.25">
      <c r="A374" s="2"/>
      <c r="B374" s="2"/>
      <c r="C374" s="2"/>
      <c r="D374" s="2"/>
      <c r="E374" s="2"/>
      <c r="F374" s="2"/>
      <c r="G374" s="2"/>
      <c r="H374" s="2"/>
      <c r="I374" s="2"/>
      <c r="J374" s="2"/>
      <c r="K374" s="183"/>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row>
    <row r="375" spans="1:87" ht="14.25" customHeight="1" x14ac:dyDescent="0.25">
      <c r="A375" s="2"/>
      <c r="B375" s="2"/>
      <c r="C375" s="2"/>
      <c r="D375" s="2"/>
      <c r="E375" s="2"/>
      <c r="F375" s="2"/>
      <c r="G375" s="2"/>
      <c r="H375" s="2"/>
      <c r="I375" s="2"/>
      <c r="J375" s="2"/>
      <c r="K375" s="183"/>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row>
    <row r="376" spans="1:87" ht="14.25" customHeight="1" x14ac:dyDescent="0.25">
      <c r="A376" s="2"/>
      <c r="B376" s="2"/>
      <c r="C376" s="2"/>
      <c r="D376" s="2"/>
      <c r="E376" s="2"/>
      <c r="F376" s="2"/>
      <c r="G376" s="2"/>
      <c r="H376" s="2"/>
      <c r="I376" s="2"/>
      <c r="J376" s="2"/>
      <c r="K376" s="183"/>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row>
    <row r="377" spans="1:87" ht="14.25" customHeight="1" x14ac:dyDescent="0.25">
      <c r="A377" s="2"/>
      <c r="B377" s="2"/>
      <c r="C377" s="2"/>
      <c r="D377" s="2"/>
      <c r="E377" s="2"/>
      <c r="F377" s="2"/>
      <c r="G377" s="2"/>
      <c r="H377" s="2"/>
      <c r="I377" s="2"/>
      <c r="J377" s="2"/>
      <c r="K377" s="183"/>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row>
    <row r="378" spans="1:87" ht="14.25" customHeight="1" x14ac:dyDescent="0.25">
      <c r="A378" s="2"/>
      <c r="B378" s="2"/>
      <c r="C378" s="2"/>
      <c r="D378" s="2"/>
      <c r="E378" s="2"/>
      <c r="F378" s="2"/>
      <c r="G378" s="2"/>
      <c r="H378" s="2"/>
      <c r="I378" s="2"/>
      <c r="J378" s="2"/>
      <c r="K378" s="183"/>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row>
    <row r="379" spans="1:87" ht="14.25" customHeight="1" x14ac:dyDescent="0.25">
      <c r="A379" s="2"/>
      <c r="B379" s="2"/>
      <c r="C379" s="2"/>
      <c r="D379" s="2"/>
      <c r="E379" s="2"/>
      <c r="F379" s="2"/>
      <c r="G379" s="2"/>
      <c r="H379" s="2"/>
      <c r="I379" s="2"/>
      <c r="J379" s="2"/>
      <c r="K379" s="183"/>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row>
    <row r="380" spans="1:87" ht="14.25" customHeight="1" x14ac:dyDescent="0.25">
      <c r="A380" s="2"/>
      <c r="B380" s="2"/>
      <c r="C380" s="2"/>
      <c r="D380" s="2"/>
      <c r="E380" s="2"/>
      <c r="F380" s="2"/>
      <c r="G380" s="2"/>
      <c r="H380" s="2"/>
      <c r="I380" s="2"/>
      <c r="J380" s="2"/>
      <c r="K380" s="183"/>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row>
    <row r="381" spans="1:87" ht="14.25" customHeight="1" x14ac:dyDescent="0.25">
      <c r="A381" s="2"/>
      <c r="B381" s="2"/>
      <c r="C381" s="2"/>
      <c r="D381" s="2"/>
      <c r="E381" s="2"/>
      <c r="F381" s="2"/>
      <c r="G381" s="2"/>
      <c r="H381" s="2"/>
      <c r="I381" s="2"/>
      <c r="J381" s="2"/>
      <c r="K381" s="183"/>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row>
    <row r="382" spans="1:87" ht="14.25" customHeight="1" x14ac:dyDescent="0.25">
      <c r="A382" s="2"/>
      <c r="B382" s="2"/>
      <c r="C382" s="2"/>
      <c r="D382" s="2"/>
      <c r="E382" s="2"/>
      <c r="F382" s="2"/>
      <c r="G382" s="2"/>
      <c r="H382" s="2"/>
      <c r="I382" s="2"/>
      <c r="J382" s="2"/>
      <c r="K382" s="183"/>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row>
    <row r="383" spans="1:87" ht="14.25" customHeight="1" x14ac:dyDescent="0.25">
      <c r="A383" s="2"/>
      <c r="B383" s="2"/>
      <c r="C383" s="2"/>
      <c r="D383" s="2"/>
      <c r="E383" s="2"/>
      <c r="F383" s="2"/>
      <c r="G383" s="2"/>
      <c r="H383" s="2"/>
      <c r="I383" s="2"/>
      <c r="J383" s="2"/>
      <c r="K383" s="183"/>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row>
    <row r="384" spans="1:87" ht="14.25" customHeight="1" x14ac:dyDescent="0.25">
      <c r="A384" s="2"/>
      <c r="B384" s="2"/>
      <c r="C384" s="2"/>
      <c r="D384" s="2"/>
      <c r="E384" s="2"/>
      <c r="F384" s="2"/>
      <c r="G384" s="2"/>
      <c r="H384" s="2"/>
      <c r="I384" s="2"/>
      <c r="J384" s="2"/>
      <c r="K384" s="183"/>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row>
    <row r="385" spans="1:87" ht="14.25" customHeight="1" x14ac:dyDescent="0.25">
      <c r="A385" s="2"/>
      <c r="B385" s="2"/>
      <c r="C385" s="2"/>
      <c r="D385" s="2"/>
      <c r="E385" s="2"/>
      <c r="F385" s="2"/>
      <c r="G385" s="2"/>
      <c r="H385" s="2"/>
      <c r="I385" s="2"/>
      <c r="J385" s="2"/>
      <c r="K385" s="183"/>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row>
    <row r="386" spans="1:87" ht="14.25" customHeight="1" x14ac:dyDescent="0.25">
      <c r="A386" s="2"/>
      <c r="B386" s="2"/>
      <c r="C386" s="2"/>
      <c r="D386" s="2"/>
      <c r="E386" s="2"/>
      <c r="F386" s="2"/>
      <c r="G386" s="2"/>
      <c r="H386" s="2"/>
      <c r="I386" s="2"/>
      <c r="J386" s="2"/>
      <c r="K386" s="183"/>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row>
    <row r="387" spans="1:87" ht="14.25" customHeight="1" x14ac:dyDescent="0.25">
      <c r="A387" s="2"/>
      <c r="B387" s="2"/>
      <c r="C387" s="2"/>
      <c r="D387" s="2"/>
      <c r="E387" s="2"/>
      <c r="F387" s="2"/>
      <c r="G387" s="2"/>
      <c r="H387" s="2"/>
      <c r="I387" s="2"/>
      <c r="J387" s="2"/>
      <c r="K387" s="183"/>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row>
    <row r="388" spans="1:87" ht="14.25" customHeight="1" x14ac:dyDescent="0.25">
      <c r="A388" s="2"/>
      <c r="B388" s="2"/>
      <c r="C388" s="2"/>
      <c r="D388" s="2"/>
      <c r="E388" s="2"/>
      <c r="F388" s="2"/>
      <c r="G388" s="2"/>
      <c r="H388" s="2"/>
      <c r="I388" s="2"/>
      <c r="J388" s="2"/>
      <c r="K388" s="183"/>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row>
    <row r="389" spans="1:87" ht="14.25" customHeight="1" x14ac:dyDescent="0.25">
      <c r="A389" s="2"/>
      <c r="B389" s="2"/>
      <c r="C389" s="2"/>
      <c r="D389" s="2"/>
      <c r="E389" s="2"/>
      <c r="F389" s="2"/>
      <c r="G389" s="2"/>
      <c r="H389" s="2"/>
      <c r="I389" s="2"/>
      <c r="J389" s="2"/>
      <c r="K389" s="183"/>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row>
    <row r="390" spans="1:87" ht="14.25" customHeight="1" x14ac:dyDescent="0.25">
      <c r="A390" s="2"/>
      <c r="B390" s="2"/>
      <c r="C390" s="2"/>
      <c r="D390" s="2"/>
      <c r="E390" s="2"/>
      <c r="F390" s="2"/>
      <c r="G390" s="2"/>
      <c r="H390" s="2"/>
      <c r="I390" s="2"/>
      <c r="J390" s="2"/>
      <c r="K390" s="183"/>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row>
    <row r="391" spans="1:87" ht="14.25" customHeight="1" x14ac:dyDescent="0.25">
      <c r="A391" s="2"/>
      <c r="B391" s="2"/>
      <c r="C391" s="2"/>
      <c r="D391" s="2"/>
      <c r="E391" s="2"/>
      <c r="F391" s="2"/>
      <c r="G391" s="2"/>
      <c r="H391" s="2"/>
      <c r="I391" s="2"/>
      <c r="J391" s="2"/>
      <c r="K391" s="183"/>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row>
    <row r="392" spans="1:87" ht="14.25" customHeight="1" x14ac:dyDescent="0.25">
      <c r="A392" s="2"/>
      <c r="B392" s="2"/>
      <c r="C392" s="2"/>
      <c r="D392" s="2"/>
      <c r="E392" s="2"/>
      <c r="F392" s="2"/>
      <c r="G392" s="2"/>
      <c r="H392" s="2"/>
      <c r="I392" s="2"/>
      <c r="J392" s="2"/>
      <c r="K392" s="183"/>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row>
    <row r="393" spans="1:87" ht="14.25" customHeight="1" x14ac:dyDescent="0.25">
      <c r="A393" s="2"/>
      <c r="B393" s="2"/>
      <c r="C393" s="2"/>
      <c r="D393" s="2"/>
      <c r="E393" s="2"/>
      <c r="F393" s="2"/>
      <c r="G393" s="2"/>
      <c r="H393" s="2"/>
      <c r="I393" s="2"/>
      <c r="J393" s="2"/>
      <c r="K393" s="183"/>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row>
    <row r="394" spans="1:87" ht="14.25" customHeight="1" x14ac:dyDescent="0.25">
      <c r="A394" s="2"/>
      <c r="B394" s="2"/>
      <c r="C394" s="2"/>
      <c r="D394" s="2"/>
      <c r="E394" s="2"/>
      <c r="F394" s="2"/>
      <c r="G394" s="2"/>
      <c r="H394" s="2"/>
      <c r="I394" s="2"/>
      <c r="J394" s="2"/>
      <c r="K394" s="183"/>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row>
    <row r="395" spans="1:87" ht="14.25" customHeight="1" x14ac:dyDescent="0.25">
      <c r="A395" s="2"/>
      <c r="B395" s="2"/>
      <c r="C395" s="2"/>
      <c r="D395" s="2"/>
      <c r="E395" s="2"/>
      <c r="F395" s="2"/>
      <c r="G395" s="2"/>
      <c r="H395" s="2"/>
      <c r="I395" s="2"/>
      <c r="J395" s="2"/>
      <c r="K395" s="183"/>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row>
    <row r="396" spans="1:87" ht="14.25" customHeight="1" x14ac:dyDescent="0.25">
      <c r="A396" s="2"/>
      <c r="B396" s="2"/>
      <c r="C396" s="2"/>
      <c r="D396" s="2"/>
      <c r="E396" s="2"/>
      <c r="F396" s="2"/>
      <c r="G396" s="2"/>
      <c r="H396" s="2"/>
      <c r="I396" s="2"/>
      <c r="J396" s="2"/>
      <c r="K396" s="183"/>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row>
    <row r="397" spans="1:87" ht="14.25" customHeight="1" x14ac:dyDescent="0.25">
      <c r="A397" s="2"/>
      <c r="B397" s="2"/>
      <c r="C397" s="2"/>
      <c r="D397" s="2"/>
      <c r="E397" s="2"/>
      <c r="F397" s="2"/>
      <c r="G397" s="2"/>
      <c r="H397" s="2"/>
      <c r="I397" s="2"/>
      <c r="J397" s="2"/>
      <c r="K397" s="183"/>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row>
    <row r="398" spans="1:87" ht="14.25" customHeight="1" x14ac:dyDescent="0.25">
      <c r="A398" s="2"/>
      <c r="B398" s="2"/>
      <c r="C398" s="2"/>
      <c r="D398" s="2"/>
      <c r="E398" s="2"/>
      <c r="F398" s="2"/>
      <c r="G398" s="2"/>
      <c r="H398" s="2"/>
      <c r="I398" s="2"/>
      <c r="J398" s="2"/>
      <c r="K398" s="183"/>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row>
    <row r="399" spans="1:87" ht="14.25" customHeight="1" x14ac:dyDescent="0.25">
      <c r="A399" s="2"/>
      <c r="B399" s="2"/>
      <c r="C399" s="2"/>
      <c r="D399" s="2"/>
      <c r="E399" s="2"/>
      <c r="F399" s="2"/>
      <c r="G399" s="2"/>
      <c r="H399" s="2"/>
      <c r="I399" s="2"/>
      <c r="J399" s="2"/>
      <c r="K399" s="183"/>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row>
    <row r="400" spans="1:87" ht="14.25" customHeight="1" x14ac:dyDescent="0.25">
      <c r="A400" s="2"/>
      <c r="B400" s="2"/>
      <c r="C400" s="2"/>
      <c r="D400" s="2"/>
      <c r="E400" s="2"/>
      <c r="F400" s="2"/>
      <c r="G400" s="2"/>
      <c r="H400" s="2"/>
      <c r="I400" s="2"/>
      <c r="J400" s="2"/>
      <c r="K400" s="183"/>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row>
    <row r="401" spans="1:87" ht="14.25" customHeight="1" x14ac:dyDescent="0.25">
      <c r="A401" s="2"/>
      <c r="B401" s="2"/>
      <c r="C401" s="2"/>
      <c r="D401" s="2"/>
      <c r="E401" s="2"/>
      <c r="F401" s="2"/>
      <c r="G401" s="2"/>
      <c r="H401" s="2"/>
      <c r="I401" s="2"/>
      <c r="J401" s="2"/>
      <c r="K401" s="183"/>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row>
    <row r="402" spans="1:87" ht="14.25" customHeight="1" x14ac:dyDescent="0.25">
      <c r="A402" s="2"/>
      <c r="B402" s="2"/>
      <c r="C402" s="2"/>
      <c r="D402" s="2"/>
      <c r="E402" s="2"/>
      <c r="F402" s="2"/>
      <c r="G402" s="2"/>
      <c r="H402" s="2"/>
      <c r="I402" s="2"/>
      <c r="J402" s="2"/>
      <c r="K402" s="183"/>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row>
    <row r="403" spans="1:87" ht="14.25" customHeight="1" x14ac:dyDescent="0.25">
      <c r="A403" s="2"/>
      <c r="B403" s="2"/>
      <c r="C403" s="2"/>
      <c r="D403" s="2"/>
      <c r="E403" s="2"/>
      <c r="F403" s="2"/>
      <c r="G403" s="2"/>
      <c r="H403" s="2"/>
      <c r="I403" s="2"/>
      <c r="J403" s="2"/>
      <c r="K403" s="183"/>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row>
    <row r="404" spans="1:87" ht="14.25" customHeight="1" x14ac:dyDescent="0.25">
      <c r="A404" s="2"/>
      <c r="B404" s="2"/>
      <c r="C404" s="2"/>
      <c r="D404" s="2"/>
      <c r="E404" s="2"/>
      <c r="F404" s="2"/>
      <c r="G404" s="2"/>
      <c r="H404" s="2"/>
      <c r="I404" s="2"/>
      <c r="J404" s="2"/>
      <c r="K404" s="183"/>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row>
    <row r="405" spans="1:87" ht="14.25" customHeight="1" x14ac:dyDescent="0.25">
      <c r="A405" s="2"/>
      <c r="B405" s="2"/>
      <c r="C405" s="2"/>
      <c r="D405" s="2"/>
      <c r="E405" s="2"/>
      <c r="F405" s="2"/>
      <c r="G405" s="2"/>
      <c r="H405" s="2"/>
      <c r="I405" s="2"/>
      <c r="J405" s="2"/>
      <c r="K405" s="183"/>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row>
    <row r="406" spans="1:87" ht="14.25" customHeight="1" x14ac:dyDescent="0.25">
      <c r="A406" s="2"/>
      <c r="B406" s="2"/>
      <c r="C406" s="2"/>
      <c r="D406" s="2"/>
      <c r="E406" s="2"/>
      <c r="F406" s="2"/>
      <c r="G406" s="2"/>
      <c r="H406" s="2"/>
      <c r="I406" s="2"/>
      <c r="J406" s="2"/>
      <c r="K406" s="183"/>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row>
    <row r="407" spans="1:87" ht="14.25" customHeight="1" x14ac:dyDescent="0.25">
      <c r="A407" s="2"/>
      <c r="B407" s="2"/>
      <c r="C407" s="2"/>
      <c r="D407" s="2"/>
      <c r="E407" s="2"/>
      <c r="F407" s="2"/>
      <c r="G407" s="2"/>
      <c r="H407" s="2"/>
      <c r="I407" s="2"/>
      <c r="J407" s="2"/>
      <c r="K407" s="183"/>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row>
    <row r="408" spans="1:87" ht="14.25" customHeight="1" x14ac:dyDescent="0.25">
      <c r="A408" s="2"/>
      <c r="B408" s="2"/>
      <c r="C408" s="2"/>
      <c r="D408" s="2"/>
      <c r="E408" s="2"/>
      <c r="F408" s="2"/>
      <c r="G408" s="2"/>
      <c r="H408" s="2"/>
      <c r="I408" s="2"/>
      <c r="J408" s="2"/>
      <c r="K408" s="183"/>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row>
    <row r="409" spans="1:87" ht="14.25" customHeight="1" x14ac:dyDescent="0.25">
      <c r="A409" s="2"/>
      <c r="B409" s="2"/>
      <c r="C409" s="2"/>
      <c r="D409" s="2"/>
      <c r="E409" s="2"/>
      <c r="F409" s="2"/>
      <c r="G409" s="2"/>
      <c r="H409" s="2"/>
      <c r="I409" s="2"/>
      <c r="J409" s="2"/>
      <c r="K409" s="183"/>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row>
    <row r="410" spans="1:87" ht="14.25" customHeight="1" x14ac:dyDescent="0.25">
      <c r="A410" s="2"/>
      <c r="B410" s="2"/>
      <c r="C410" s="2"/>
      <c r="D410" s="2"/>
      <c r="E410" s="2"/>
      <c r="F410" s="2"/>
      <c r="G410" s="2"/>
      <c r="H410" s="2"/>
      <c r="I410" s="2"/>
      <c r="J410" s="2"/>
      <c r="K410" s="183"/>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row>
    <row r="411" spans="1:87" ht="14.25" customHeight="1" x14ac:dyDescent="0.25">
      <c r="A411" s="2"/>
      <c r="B411" s="2"/>
      <c r="C411" s="2"/>
      <c r="D411" s="2"/>
      <c r="E411" s="2"/>
      <c r="F411" s="2"/>
      <c r="G411" s="2"/>
      <c r="H411" s="2"/>
      <c r="I411" s="2"/>
      <c r="J411" s="2"/>
      <c r="K411" s="183"/>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row>
    <row r="412" spans="1:87" ht="14.25" customHeight="1" x14ac:dyDescent="0.25">
      <c r="A412" s="2"/>
      <c r="B412" s="2"/>
      <c r="C412" s="2"/>
      <c r="D412" s="2"/>
      <c r="E412" s="2"/>
      <c r="F412" s="2"/>
      <c r="G412" s="2"/>
      <c r="H412" s="2"/>
      <c r="I412" s="2"/>
      <c r="J412" s="2"/>
      <c r="K412" s="183"/>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row>
    <row r="413" spans="1:87" ht="14.25" customHeight="1" x14ac:dyDescent="0.25">
      <c r="A413" s="2"/>
      <c r="B413" s="2"/>
      <c r="C413" s="2"/>
      <c r="D413" s="2"/>
      <c r="E413" s="2"/>
      <c r="F413" s="2"/>
      <c r="G413" s="2"/>
      <c r="H413" s="2"/>
      <c r="I413" s="2"/>
      <c r="J413" s="2"/>
      <c r="K413" s="183"/>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row>
    <row r="414" spans="1:87" ht="14.25" customHeight="1" x14ac:dyDescent="0.25">
      <c r="A414" s="2"/>
      <c r="B414" s="2"/>
      <c r="C414" s="2"/>
      <c r="D414" s="2"/>
      <c r="E414" s="2"/>
      <c r="F414" s="2"/>
      <c r="G414" s="2"/>
      <c r="H414" s="2"/>
      <c r="I414" s="2"/>
      <c r="J414" s="2"/>
      <c r="K414" s="183"/>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row>
    <row r="415" spans="1:87" ht="14.25" customHeight="1" x14ac:dyDescent="0.25">
      <c r="A415" s="2"/>
      <c r="B415" s="2"/>
      <c r="C415" s="2"/>
      <c r="D415" s="2"/>
      <c r="E415" s="2"/>
      <c r="F415" s="2"/>
      <c r="G415" s="2"/>
      <c r="H415" s="2"/>
      <c r="I415" s="2"/>
      <c r="J415" s="2"/>
      <c r="K415" s="183"/>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row>
    <row r="416" spans="1:87" ht="14.25" customHeight="1" x14ac:dyDescent="0.25">
      <c r="A416" s="2"/>
      <c r="B416" s="2"/>
      <c r="C416" s="2"/>
      <c r="D416" s="2"/>
      <c r="E416" s="2"/>
      <c r="F416" s="2"/>
      <c r="G416" s="2"/>
      <c r="H416" s="2"/>
      <c r="I416" s="2"/>
      <c r="J416" s="2"/>
      <c r="K416" s="183"/>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row>
    <row r="417" spans="1:87" ht="14.25" customHeight="1" x14ac:dyDescent="0.25">
      <c r="A417" s="2"/>
      <c r="B417" s="2"/>
      <c r="C417" s="2"/>
      <c r="D417" s="2"/>
      <c r="E417" s="2"/>
      <c r="F417" s="2"/>
      <c r="G417" s="2"/>
      <c r="H417" s="2"/>
      <c r="I417" s="2"/>
      <c r="J417" s="2"/>
      <c r="K417" s="183"/>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row>
    <row r="418" spans="1:87" ht="14.25" customHeight="1" x14ac:dyDescent="0.25">
      <c r="A418" s="2"/>
      <c r="B418" s="2"/>
      <c r="C418" s="2"/>
      <c r="D418" s="2"/>
      <c r="E418" s="2"/>
      <c r="F418" s="2"/>
      <c r="G418" s="2"/>
      <c r="H418" s="2"/>
      <c r="I418" s="2"/>
      <c r="J418" s="2"/>
      <c r="K418" s="183"/>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row>
    <row r="419" spans="1:87" ht="14.25" customHeight="1" x14ac:dyDescent="0.25">
      <c r="A419" s="2"/>
      <c r="B419" s="2"/>
      <c r="C419" s="2"/>
      <c r="D419" s="2"/>
      <c r="E419" s="2"/>
      <c r="F419" s="2"/>
      <c r="G419" s="2"/>
      <c r="H419" s="2"/>
      <c r="I419" s="2"/>
      <c r="J419" s="2"/>
      <c r="K419" s="183"/>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row>
    <row r="420" spans="1:87" ht="14.25" customHeight="1" x14ac:dyDescent="0.25">
      <c r="A420" s="2"/>
      <c r="B420" s="2"/>
      <c r="C420" s="2"/>
      <c r="D420" s="2"/>
      <c r="E420" s="2"/>
      <c r="F420" s="2"/>
      <c r="G420" s="2"/>
      <c r="H420" s="2"/>
      <c r="I420" s="2"/>
      <c r="J420" s="2"/>
      <c r="K420" s="183"/>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row>
    <row r="421" spans="1:87" ht="14.25" customHeight="1" x14ac:dyDescent="0.25">
      <c r="A421" s="2"/>
      <c r="B421" s="2"/>
      <c r="C421" s="2"/>
      <c r="D421" s="2"/>
      <c r="E421" s="2"/>
      <c r="F421" s="2"/>
      <c r="G421" s="2"/>
      <c r="H421" s="2"/>
      <c r="I421" s="2"/>
      <c r="J421" s="2"/>
      <c r="K421" s="183"/>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row>
    <row r="422" spans="1:87" ht="14.25" customHeight="1" x14ac:dyDescent="0.25">
      <c r="A422" s="2"/>
      <c r="B422" s="2"/>
      <c r="C422" s="2"/>
      <c r="D422" s="2"/>
      <c r="E422" s="2"/>
      <c r="F422" s="2"/>
      <c r="G422" s="2"/>
      <c r="H422" s="2"/>
      <c r="I422" s="2"/>
      <c r="J422" s="2"/>
      <c r="K422" s="183"/>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row>
    <row r="423" spans="1:87" ht="14.25" customHeight="1" x14ac:dyDescent="0.25">
      <c r="A423" s="2"/>
      <c r="B423" s="2"/>
      <c r="C423" s="2"/>
      <c r="D423" s="2"/>
      <c r="E423" s="2"/>
      <c r="F423" s="2"/>
      <c r="G423" s="2"/>
      <c r="H423" s="2"/>
      <c r="I423" s="2"/>
      <c r="J423" s="2"/>
      <c r="K423" s="183"/>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row>
    <row r="424" spans="1:87" ht="14.25" customHeight="1" x14ac:dyDescent="0.25">
      <c r="A424" s="2"/>
      <c r="B424" s="2"/>
      <c r="C424" s="2"/>
      <c r="D424" s="2"/>
      <c r="E424" s="2"/>
      <c r="F424" s="2"/>
      <c r="G424" s="2"/>
      <c r="H424" s="2"/>
      <c r="I424" s="2"/>
      <c r="J424" s="2"/>
      <c r="K424" s="183"/>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row>
    <row r="425" spans="1:87" ht="14.25" customHeight="1" x14ac:dyDescent="0.25">
      <c r="A425" s="2"/>
      <c r="B425" s="2"/>
      <c r="C425" s="2"/>
      <c r="D425" s="2"/>
      <c r="E425" s="2"/>
      <c r="F425" s="2"/>
      <c r="G425" s="2"/>
      <c r="H425" s="2"/>
      <c r="I425" s="2"/>
      <c r="J425" s="2"/>
      <c r="K425" s="183"/>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row>
    <row r="426" spans="1:87" ht="14.25" customHeight="1" x14ac:dyDescent="0.25">
      <c r="A426" s="2"/>
      <c r="B426" s="2"/>
      <c r="C426" s="2"/>
      <c r="D426" s="2"/>
      <c r="E426" s="2"/>
      <c r="F426" s="2"/>
      <c r="G426" s="2"/>
      <c r="H426" s="2"/>
      <c r="I426" s="2"/>
      <c r="J426" s="2"/>
      <c r="K426" s="183"/>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row>
    <row r="427" spans="1:87" ht="14.25" customHeight="1" x14ac:dyDescent="0.25">
      <c r="A427" s="2"/>
      <c r="B427" s="2"/>
      <c r="C427" s="2"/>
      <c r="D427" s="2"/>
      <c r="E427" s="2"/>
      <c r="F427" s="2"/>
      <c r="G427" s="2"/>
      <c r="H427" s="2"/>
      <c r="I427" s="2"/>
      <c r="J427" s="2"/>
      <c r="K427" s="183"/>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row>
    <row r="428" spans="1:87" ht="14.25" customHeight="1" x14ac:dyDescent="0.25">
      <c r="A428" s="2"/>
      <c r="B428" s="2"/>
      <c r="C428" s="2"/>
      <c r="D428" s="2"/>
      <c r="E428" s="2"/>
      <c r="F428" s="2"/>
      <c r="G428" s="2"/>
      <c r="H428" s="2"/>
      <c r="I428" s="2"/>
      <c r="J428" s="2"/>
      <c r="K428" s="183"/>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row>
    <row r="429" spans="1:87" ht="14.25" customHeight="1" x14ac:dyDescent="0.25">
      <c r="A429" s="2"/>
      <c r="B429" s="2"/>
      <c r="C429" s="2"/>
      <c r="D429" s="2"/>
      <c r="E429" s="2"/>
      <c r="F429" s="2"/>
      <c r="G429" s="2"/>
      <c r="H429" s="2"/>
      <c r="I429" s="2"/>
      <c r="J429" s="2"/>
      <c r="K429" s="183"/>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row>
    <row r="430" spans="1:87" ht="14.25" customHeight="1" x14ac:dyDescent="0.25">
      <c r="A430" s="2"/>
      <c r="B430" s="2"/>
      <c r="C430" s="2"/>
      <c r="D430" s="2"/>
      <c r="E430" s="2"/>
      <c r="F430" s="2"/>
      <c r="G430" s="2"/>
      <c r="H430" s="2"/>
      <c r="I430" s="2"/>
      <c r="J430" s="2"/>
      <c r="K430" s="183"/>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row>
    <row r="431" spans="1:87" ht="14.25" customHeight="1" x14ac:dyDescent="0.25">
      <c r="A431" s="2"/>
      <c r="B431" s="2"/>
      <c r="C431" s="2"/>
      <c r="D431" s="2"/>
      <c r="E431" s="2"/>
      <c r="F431" s="2"/>
      <c r="G431" s="2"/>
      <c r="H431" s="2"/>
      <c r="I431" s="2"/>
      <c r="J431" s="2"/>
      <c r="K431" s="183"/>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row>
    <row r="432" spans="1:87" ht="14.25" customHeight="1" x14ac:dyDescent="0.25">
      <c r="A432" s="2"/>
      <c r="B432" s="2"/>
      <c r="C432" s="2"/>
      <c r="D432" s="2"/>
      <c r="E432" s="2"/>
      <c r="F432" s="2"/>
      <c r="G432" s="2"/>
      <c r="H432" s="2"/>
      <c r="I432" s="2"/>
      <c r="J432" s="2"/>
      <c r="K432" s="183"/>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row>
    <row r="433" spans="1:87" ht="14.25" customHeight="1" x14ac:dyDescent="0.25">
      <c r="A433" s="2"/>
      <c r="B433" s="2"/>
      <c r="C433" s="2"/>
      <c r="D433" s="2"/>
      <c r="E433" s="2"/>
      <c r="F433" s="2"/>
      <c r="G433" s="2"/>
      <c r="H433" s="2"/>
      <c r="I433" s="2"/>
      <c r="J433" s="2"/>
      <c r="K433" s="183"/>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row>
    <row r="434" spans="1:87" ht="14.25" customHeight="1" x14ac:dyDescent="0.25">
      <c r="A434" s="2"/>
      <c r="B434" s="2"/>
      <c r="C434" s="2"/>
      <c r="D434" s="2"/>
      <c r="E434" s="2"/>
      <c r="F434" s="2"/>
      <c r="G434" s="2"/>
      <c r="H434" s="2"/>
      <c r="I434" s="2"/>
      <c r="J434" s="2"/>
      <c r="K434" s="183"/>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row>
    <row r="435" spans="1:87" ht="14.25" customHeight="1" x14ac:dyDescent="0.25">
      <c r="A435" s="2"/>
      <c r="B435" s="2"/>
      <c r="C435" s="2"/>
      <c r="D435" s="2"/>
      <c r="E435" s="2"/>
      <c r="F435" s="2"/>
      <c r="G435" s="2"/>
      <c r="H435" s="2"/>
      <c r="I435" s="2"/>
      <c r="J435" s="2"/>
      <c r="K435" s="183"/>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row>
    <row r="436" spans="1:87" ht="14.25" customHeight="1" x14ac:dyDescent="0.25">
      <c r="A436" s="2"/>
      <c r="B436" s="2"/>
      <c r="C436" s="2"/>
      <c r="D436" s="2"/>
      <c r="E436" s="2"/>
      <c r="F436" s="2"/>
      <c r="G436" s="2"/>
      <c r="H436" s="2"/>
      <c r="I436" s="2"/>
      <c r="J436" s="2"/>
      <c r="K436" s="183"/>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row>
    <row r="437" spans="1:87" ht="14.25" customHeight="1" x14ac:dyDescent="0.25">
      <c r="A437" s="2"/>
      <c r="B437" s="2"/>
      <c r="C437" s="2"/>
      <c r="D437" s="2"/>
      <c r="E437" s="2"/>
      <c r="F437" s="2"/>
      <c r="G437" s="2"/>
      <c r="H437" s="2"/>
      <c r="I437" s="2"/>
      <c r="J437" s="2"/>
      <c r="K437" s="183"/>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row>
    <row r="438" spans="1:87" ht="14.25" customHeight="1" x14ac:dyDescent="0.25">
      <c r="A438" s="2"/>
      <c r="B438" s="2"/>
      <c r="C438" s="2"/>
      <c r="D438" s="2"/>
      <c r="E438" s="2"/>
      <c r="F438" s="2"/>
      <c r="G438" s="2"/>
      <c r="H438" s="2"/>
      <c r="I438" s="2"/>
      <c r="J438" s="2"/>
      <c r="K438" s="183"/>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row>
    <row r="439" spans="1:87" ht="14.25" customHeight="1" x14ac:dyDescent="0.25">
      <c r="A439" s="2"/>
      <c r="B439" s="2"/>
      <c r="C439" s="2"/>
      <c r="D439" s="2"/>
      <c r="E439" s="2"/>
      <c r="F439" s="2"/>
      <c r="G439" s="2"/>
      <c r="H439" s="2"/>
      <c r="I439" s="2"/>
      <c r="J439" s="2"/>
      <c r="K439" s="183"/>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row>
    <row r="440" spans="1:87" ht="14.25" customHeight="1" x14ac:dyDescent="0.25">
      <c r="A440" s="2"/>
      <c r="B440" s="2"/>
      <c r="C440" s="2"/>
      <c r="D440" s="2"/>
      <c r="E440" s="2"/>
      <c r="F440" s="2"/>
      <c r="G440" s="2"/>
      <c r="H440" s="2"/>
      <c r="I440" s="2"/>
      <c r="J440" s="2"/>
      <c r="K440" s="183"/>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row>
    <row r="441" spans="1:87" ht="14.25" customHeight="1" x14ac:dyDescent="0.25">
      <c r="A441" s="2"/>
      <c r="B441" s="2"/>
      <c r="C441" s="2"/>
      <c r="D441" s="2"/>
      <c r="E441" s="2"/>
      <c r="F441" s="2"/>
      <c r="G441" s="2"/>
      <c r="H441" s="2"/>
      <c r="I441" s="2"/>
      <c r="J441" s="2"/>
      <c r="K441" s="183"/>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row>
    <row r="442" spans="1:87" ht="14.25" customHeight="1" x14ac:dyDescent="0.25">
      <c r="A442" s="2"/>
      <c r="B442" s="2"/>
      <c r="C442" s="2"/>
      <c r="D442" s="2"/>
      <c r="E442" s="2"/>
      <c r="F442" s="2"/>
      <c r="G442" s="2"/>
      <c r="H442" s="2"/>
      <c r="I442" s="2"/>
      <c r="J442" s="2"/>
      <c r="K442" s="183"/>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row>
    <row r="443" spans="1:87" ht="14.25" customHeight="1" x14ac:dyDescent="0.25">
      <c r="A443" s="2"/>
      <c r="B443" s="2"/>
      <c r="C443" s="2"/>
      <c r="D443" s="2"/>
      <c r="E443" s="2"/>
      <c r="F443" s="2"/>
      <c r="G443" s="2"/>
      <c r="H443" s="2"/>
      <c r="I443" s="2"/>
      <c r="J443" s="2"/>
      <c r="K443" s="183"/>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row>
    <row r="444" spans="1:87" ht="14.25" customHeight="1" x14ac:dyDescent="0.25">
      <c r="A444" s="2"/>
      <c r="B444" s="2"/>
      <c r="C444" s="2"/>
      <c r="D444" s="2"/>
      <c r="E444" s="2"/>
      <c r="F444" s="2"/>
      <c r="G444" s="2"/>
      <c r="H444" s="2"/>
      <c r="I444" s="2"/>
      <c r="J444" s="2"/>
      <c r="K444" s="183"/>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row>
    <row r="445" spans="1:87" ht="14.25" customHeight="1" x14ac:dyDescent="0.25">
      <c r="A445" s="2"/>
      <c r="B445" s="2"/>
      <c r="C445" s="2"/>
      <c r="D445" s="2"/>
      <c r="E445" s="2"/>
      <c r="F445" s="2"/>
      <c r="G445" s="2"/>
      <c r="H445" s="2"/>
      <c r="I445" s="2"/>
      <c r="J445" s="2"/>
      <c r="K445" s="183"/>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row>
    <row r="446" spans="1:87" ht="14.25" customHeight="1" x14ac:dyDescent="0.25">
      <c r="A446" s="2"/>
      <c r="B446" s="2"/>
      <c r="C446" s="2"/>
      <c r="D446" s="2"/>
      <c r="E446" s="2"/>
      <c r="F446" s="2"/>
      <c r="G446" s="2"/>
      <c r="H446" s="2"/>
      <c r="I446" s="2"/>
      <c r="J446" s="2"/>
      <c r="K446" s="183"/>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row>
    <row r="447" spans="1:87" ht="14.25" customHeight="1" x14ac:dyDescent="0.25">
      <c r="A447" s="2"/>
      <c r="B447" s="2"/>
      <c r="C447" s="2"/>
      <c r="D447" s="2"/>
      <c r="E447" s="2"/>
      <c r="F447" s="2"/>
      <c r="G447" s="2"/>
      <c r="H447" s="2"/>
      <c r="I447" s="2"/>
      <c r="J447" s="2"/>
      <c r="K447" s="183"/>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row>
    <row r="448" spans="1:87" ht="14.25" customHeight="1" x14ac:dyDescent="0.25">
      <c r="A448" s="2"/>
      <c r="B448" s="2"/>
      <c r="C448" s="2"/>
      <c r="D448" s="2"/>
      <c r="E448" s="2"/>
      <c r="F448" s="2"/>
      <c r="G448" s="2"/>
      <c r="H448" s="2"/>
      <c r="I448" s="2"/>
      <c r="J448" s="2"/>
      <c r="K448" s="183"/>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row>
    <row r="449" spans="1:87" ht="14.25" customHeight="1" x14ac:dyDescent="0.25">
      <c r="A449" s="2"/>
      <c r="B449" s="2"/>
      <c r="C449" s="2"/>
      <c r="D449" s="2"/>
      <c r="E449" s="2"/>
      <c r="F449" s="2"/>
      <c r="G449" s="2"/>
      <c r="H449" s="2"/>
      <c r="I449" s="2"/>
      <c r="J449" s="2"/>
      <c r="K449" s="183"/>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row>
    <row r="450" spans="1:87" ht="14.25" customHeight="1" x14ac:dyDescent="0.25">
      <c r="A450" s="2"/>
      <c r="B450" s="2"/>
      <c r="C450" s="2"/>
      <c r="D450" s="2"/>
      <c r="E450" s="2"/>
      <c r="F450" s="2"/>
      <c r="G450" s="2"/>
      <c r="H450" s="2"/>
      <c r="I450" s="2"/>
      <c r="J450" s="2"/>
      <c r="K450" s="183"/>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row>
    <row r="451" spans="1:87" ht="14.25" customHeight="1" x14ac:dyDescent="0.25">
      <c r="A451" s="2"/>
      <c r="B451" s="2"/>
      <c r="C451" s="2"/>
      <c r="D451" s="2"/>
      <c r="E451" s="2"/>
      <c r="F451" s="2"/>
      <c r="G451" s="2"/>
      <c r="H451" s="2"/>
      <c r="I451" s="2"/>
      <c r="J451" s="2"/>
      <c r="K451" s="183"/>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row>
    <row r="452" spans="1:87" ht="14.25" customHeight="1" x14ac:dyDescent="0.25">
      <c r="A452" s="2"/>
      <c r="B452" s="2"/>
      <c r="C452" s="2"/>
      <c r="D452" s="2"/>
      <c r="E452" s="2"/>
      <c r="F452" s="2"/>
      <c r="G452" s="2"/>
      <c r="H452" s="2"/>
      <c r="I452" s="2"/>
      <c r="J452" s="2"/>
      <c r="K452" s="183"/>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row>
    <row r="453" spans="1:87" ht="14.25" customHeight="1" x14ac:dyDescent="0.25">
      <c r="A453" s="2"/>
      <c r="B453" s="2"/>
      <c r="C453" s="2"/>
      <c r="D453" s="2"/>
      <c r="E453" s="2"/>
      <c r="F453" s="2"/>
      <c r="G453" s="2"/>
      <c r="H453" s="2"/>
      <c r="I453" s="2"/>
      <c r="J453" s="2"/>
      <c r="K453" s="183"/>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row>
    <row r="454" spans="1:87" ht="14.25" customHeight="1" x14ac:dyDescent="0.25">
      <c r="A454" s="2"/>
      <c r="B454" s="2"/>
      <c r="C454" s="2"/>
      <c r="D454" s="2"/>
      <c r="E454" s="2"/>
      <c r="F454" s="2"/>
      <c r="G454" s="2"/>
      <c r="H454" s="2"/>
      <c r="I454" s="2"/>
      <c r="J454" s="2"/>
      <c r="K454" s="183"/>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row>
    <row r="455" spans="1:87" ht="14.25" customHeight="1" x14ac:dyDescent="0.25">
      <c r="A455" s="2"/>
      <c r="B455" s="2"/>
      <c r="C455" s="2"/>
      <c r="D455" s="2"/>
      <c r="E455" s="2"/>
      <c r="F455" s="2"/>
      <c r="G455" s="2"/>
      <c r="H455" s="2"/>
      <c r="I455" s="2"/>
      <c r="J455" s="2"/>
      <c r="K455" s="183"/>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row>
    <row r="456" spans="1:87" ht="14.25" customHeight="1" x14ac:dyDescent="0.25">
      <c r="A456" s="2"/>
      <c r="B456" s="2"/>
      <c r="C456" s="2"/>
      <c r="D456" s="2"/>
      <c r="E456" s="2"/>
      <c r="F456" s="2"/>
      <c r="G456" s="2"/>
      <c r="H456" s="2"/>
      <c r="I456" s="2"/>
      <c r="J456" s="2"/>
      <c r="K456" s="183"/>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row>
    <row r="457" spans="1:87" ht="14.25" customHeight="1" x14ac:dyDescent="0.25">
      <c r="A457" s="2"/>
      <c r="B457" s="2"/>
      <c r="C457" s="2"/>
      <c r="D457" s="2"/>
      <c r="E457" s="2"/>
      <c r="F457" s="2"/>
      <c r="G457" s="2"/>
      <c r="H457" s="2"/>
      <c r="I457" s="2"/>
      <c r="J457" s="2"/>
      <c r="K457" s="183"/>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row>
    <row r="458" spans="1:87" ht="14.25" customHeight="1" x14ac:dyDescent="0.25">
      <c r="A458" s="2"/>
      <c r="B458" s="2"/>
      <c r="C458" s="2"/>
      <c r="D458" s="2"/>
      <c r="E458" s="2"/>
      <c r="F458" s="2"/>
      <c r="G458" s="2"/>
      <c r="H458" s="2"/>
      <c r="I458" s="2"/>
      <c r="J458" s="2"/>
      <c r="K458" s="183"/>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row>
    <row r="459" spans="1:87" ht="14.25" customHeight="1" x14ac:dyDescent="0.25">
      <c r="A459" s="2"/>
      <c r="B459" s="2"/>
      <c r="C459" s="2"/>
      <c r="D459" s="2"/>
      <c r="E459" s="2"/>
      <c r="F459" s="2"/>
      <c r="G459" s="2"/>
      <c r="H459" s="2"/>
      <c r="I459" s="2"/>
      <c r="J459" s="2"/>
      <c r="K459" s="183"/>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row>
    <row r="460" spans="1:87" ht="14.25" customHeight="1" x14ac:dyDescent="0.25">
      <c r="A460" s="2"/>
      <c r="B460" s="2"/>
      <c r="C460" s="2"/>
      <c r="D460" s="2"/>
      <c r="E460" s="2"/>
      <c r="F460" s="2"/>
      <c r="G460" s="2"/>
      <c r="H460" s="2"/>
      <c r="I460" s="2"/>
      <c r="J460" s="2"/>
      <c r="K460" s="183"/>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row>
    <row r="461" spans="1:87" ht="14.25" customHeight="1" x14ac:dyDescent="0.25">
      <c r="A461" s="2"/>
      <c r="B461" s="2"/>
      <c r="C461" s="2"/>
      <c r="D461" s="2"/>
      <c r="E461" s="2"/>
      <c r="F461" s="2"/>
      <c r="G461" s="2"/>
      <c r="H461" s="2"/>
      <c r="I461" s="2"/>
      <c r="J461" s="2"/>
      <c r="K461" s="183"/>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row>
    <row r="462" spans="1:87" ht="14.25" customHeight="1" x14ac:dyDescent="0.25">
      <c r="A462" s="2"/>
      <c r="B462" s="2"/>
      <c r="C462" s="2"/>
      <c r="D462" s="2"/>
      <c r="E462" s="2"/>
      <c r="F462" s="2"/>
      <c r="G462" s="2"/>
      <c r="H462" s="2"/>
      <c r="I462" s="2"/>
      <c r="J462" s="2"/>
      <c r="K462" s="183"/>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row>
    <row r="463" spans="1:87" ht="14.25" customHeight="1" x14ac:dyDescent="0.25">
      <c r="A463" s="2"/>
      <c r="B463" s="2"/>
      <c r="C463" s="2"/>
      <c r="D463" s="2"/>
      <c r="E463" s="2"/>
      <c r="F463" s="2"/>
      <c r="G463" s="2"/>
      <c r="H463" s="2"/>
      <c r="I463" s="2"/>
      <c r="J463" s="2"/>
      <c r="K463" s="183"/>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row>
    <row r="464" spans="1:87" ht="14.25" customHeight="1" x14ac:dyDescent="0.25">
      <c r="A464" s="2"/>
      <c r="B464" s="2"/>
      <c r="C464" s="2"/>
      <c r="D464" s="2"/>
      <c r="E464" s="2"/>
      <c r="F464" s="2"/>
      <c r="G464" s="2"/>
      <c r="H464" s="2"/>
      <c r="I464" s="2"/>
      <c r="J464" s="2"/>
      <c r="K464" s="183"/>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row>
    <row r="465" spans="1:87" ht="14.25" customHeight="1" x14ac:dyDescent="0.25">
      <c r="A465" s="2"/>
      <c r="B465" s="2"/>
      <c r="C465" s="2"/>
      <c r="D465" s="2"/>
      <c r="E465" s="2"/>
      <c r="F465" s="2"/>
      <c r="G465" s="2"/>
      <c r="H465" s="2"/>
      <c r="I465" s="2"/>
      <c r="J465" s="2"/>
      <c r="K465" s="183"/>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row>
    <row r="466" spans="1:87" ht="14.25" customHeight="1" x14ac:dyDescent="0.25">
      <c r="A466" s="2"/>
      <c r="B466" s="2"/>
      <c r="C466" s="2"/>
      <c r="D466" s="2"/>
      <c r="E466" s="2"/>
      <c r="F466" s="2"/>
      <c r="G466" s="2"/>
      <c r="H466" s="2"/>
      <c r="I466" s="2"/>
      <c r="J466" s="2"/>
      <c r="K466" s="183"/>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row>
    <row r="467" spans="1:87" ht="14.25" customHeight="1" x14ac:dyDescent="0.25">
      <c r="A467" s="2"/>
      <c r="B467" s="2"/>
      <c r="C467" s="2"/>
      <c r="D467" s="2"/>
      <c r="E467" s="2"/>
      <c r="F467" s="2"/>
      <c r="G467" s="2"/>
      <c r="H467" s="2"/>
      <c r="I467" s="2"/>
      <c r="J467" s="2"/>
      <c r="K467" s="183"/>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row>
    <row r="468" spans="1:87" ht="14.25" customHeight="1" x14ac:dyDescent="0.25">
      <c r="A468" s="2"/>
      <c r="B468" s="2"/>
      <c r="C468" s="2"/>
      <c r="D468" s="2"/>
      <c r="E468" s="2"/>
      <c r="F468" s="2"/>
      <c r="G468" s="2"/>
      <c r="H468" s="2"/>
      <c r="I468" s="2"/>
      <c r="J468" s="2"/>
      <c r="K468" s="183"/>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row>
    <row r="469" spans="1:87" ht="14.25" customHeight="1" x14ac:dyDescent="0.25">
      <c r="A469" s="2"/>
      <c r="B469" s="2"/>
      <c r="C469" s="2"/>
      <c r="D469" s="2"/>
      <c r="E469" s="2"/>
      <c r="F469" s="2"/>
      <c r="G469" s="2"/>
      <c r="H469" s="2"/>
      <c r="I469" s="2"/>
      <c r="J469" s="2"/>
      <c r="K469" s="183"/>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row>
    <row r="470" spans="1:87" ht="14.25" customHeight="1" x14ac:dyDescent="0.25">
      <c r="A470" s="2"/>
      <c r="B470" s="2"/>
      <c r="C470" s="2"/>
      <c r="D470" s="2"/>
      <c r="E470" s="2"/>
      <c r="F470" s="2"/>
      <c r="G470" s="2"/>
      <c r="H470" s="2"/>
      <c r="I470" s="2"/>
      <c r="J470" s="2"/>
      <c r="K470" s="183"/>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row>
    <row r="471" spans="1:87" ht="14.25" customHeight="1" x14ac:dyDescent="0.25">
      <c r="A471" s="2"/>
      <c r="B471" s="2"/>
      <c r="C471" s="2"/>
      <c r="D471" s="2"/>
      <c r="E471" s="2"/>
      <c r="F471" s="2"/>
      <c r="G471" s="2"/>
      <c r="H471" s="2"/>
      <c r="I471" s="2"/>
      <c r="J471" s="2"/>
      <c r="K471" s="183"/>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row>
    <row r="472" spans="1:87" ht="14.25" customHeight="1" x14ac:dyDescent="0.25">
      <c r="A472" s="2"/>
      <c r="B472" s="2"/>
      <c r="C472" s="2"/>
      <c r="D472" s="2"/>
      <c r="E472" s="2"/>
      <c r="F472" s="2"/>
      <c r="G472" s="2"/>
      <c r="H472" s="2"/>
      <c r="I472" s="2"/>
      <c r="J472" s="2"/>
      <c r="K472" s="183"/>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row>
    <row r="473" spans="1:87" ht="14.25" customHeight="1" x14ac:dyDescent="0.25">
      <c r="A473" s="2"/>
      <c r="B473" s="2"/>
      <c r="C473" s="2"/>
      <c r="D473" s="2"/>
      <c r="E473" s="2"/>
      <c r="F473" s="2"/>
      <c r="G473" s="2"/>
      <c r="H473" s="2"/>
      <c r="I473" s="2"/>
      <c r="J473" s="2"/>
      <c r="K473" s="183"/>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row>
    <row r="474" spans="1:87" ht="14.25" customHeight="1" x14ac:dyDescent="0.25">
      <c r="A474" s="2"/>
      <c r="B474" s="2"/>
      <c r="C474" s="2"/>
      <c r="D474" s="2"/>
      <c r="E474" s="2"/>
      <c r="F474" s="2"/>
      <c r="G474" s="2"/>
      <c r="H474" s="2"/>
      <c r="I474" s="2"/>
      <c r="J474" s="2"/>
      <c r="K474" s="183"/>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row>
    <row r="475" spans="1:87" ht="14.25" customHeight="1" x14ac:dyDescent="0.25">
      <c r="A475" s="2"/>
      <c r="B475" s="2"/>
      <c r="C475" s="2"/>
      <c r="D475" s="2"/>
      <c r="E475" s="2"/>
      <c r="F475" s="2"/>
      <c r="G475" s="2"/>
      <c r="H475" s="2"/>
      <c r="I475" s="2"/>
      <c r="J475" s="2"/>
      <c r="K475" s="183"/>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row>
    <row r="476" spans="1:87" ht="14.25" customHeight="1" x14ac:dyDescent="0.25">
      <c r="A476" s="2"/>
      <c r="B476" s="2"/>
      <c r="C476" s="2"/>
      <c r="D476" s="2"/>
      <c r="E476" s="2"/>
      <c r="F476" s="2"/>
      <c r="G476" s="2"/>
      <c r="H476" s="2"/>
      <c r="I476" s="2"/>
      <c r="J476" s="2"/>
      <c r="K476" s="183"/>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row>
    <row r="477" spans="1:87" ht="14.25" customHeight="1" x14ac:dyDescent="0.25">
      <c r="A477" s="2"/>
      <c r="B477" s="2"/>
      <c r="C477" s="2"/>
      <c r="D477" s="2"/>
      <c r="E477" s="2"/>
      <c r="F477" s="2"/>
      <c r="G477" s="2"/>
      <c r="H477" s="2"/>
      <c r="I477" s="2"/>
      <c r="J477" s="2"/>
      <c r="K477" s="183"/>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row>
    <row r="478" spans="1:87" ht="14.25" customHeight="1" x14ac:dyDescent="0.25">
      <c r="A478" s="2"/>
      <c r="B478" s="2"/>
      <c r="C478" s="2"/>
      <c r="D478" s="2"/>
      <c r="E478" s="2"/>
      <c r="F478" s="2"/>
      <c r="G478" s="2"/>
      <c r="H478" s="2"/>
      <c r="I478" s="2"/>
      <c r="J478" s="2"/>
      <c r="K478" s="183"/>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row>
    <row r="479" spans="1:87" ht="14.25" customHeight="1" x14ac:dyDescent="0.25">
      <c r="A479" s="2"/>
      <c r="B479" s="2"/>
      <c r="C479" s="2"/>
      <c r="D479" s="2"/>
      <c r="E479" s="2"/>
      <c r="F479" s="2"/>
      <c r="G479" s="2"/>
      <c r="H479" s="2"/>
      <c r="I479" s="2"/>
      <c r="J479" s="2"/>
      <c r="K479" s="183"/>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row>
    <row r="480" spans="1:87" ht="14.25" customHeight="1" x14ac:dyDescent="0.25">
      <c r="A480" s="2"/>
      <c r="B480" s="2"/>
      <c r="C480" s="2"/>
      <c r="D480" s="2"/>
      <c r="E480" s="2"/>
      <c r="F480" s="2"/>
      <c r="G480" s="2"/>
      <c r="H480" s="2"/>
      <c r="I480" s="2"/>
      <c r="J480" s="2"/>
      <c r="K480" s="183"/>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row>
    <row r="481" spans="1:87" ht="14.25" customHeight="1" x14ac:dyDescent="0.25">
      <c r="A481" s="2"/>
      <c r="B481" s="2"/>
      <c r="C481" s="2"/>
      <c r="D481" s="2"/>
      <c r="E481" s="2"/>
      <c r="F481" s="2"/>
      <c r="G481" s="2"/>
      <c r="H481" s="2"/>
      <c r="I481" s="2"/>
      <c r="J481" s="2"/>
      <c r="K481" s="183"/>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row>
    <row r="482" spans="1:87" ht="14.25" customHeight="1" x14ac:dyDescent="0.25">
      <c r="A482" s="2"/>
      <c r="B482" s="2"/>
      <c r="C482" s="2"/>
      <c r="D482" s="2"/>
      <c r="E482" s="2"/>
      <c r="F482" s="2"/>
      <c r="G482" s="2"/>
      <c r="H482" s="2"/>
      <c r="I482" s="2"/>
      <c r="J482" s="2"/>
      <c r="K482" s="183"/>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row>
    <row r="483" spans="1:87" ht="14.25" customHeight="1" x14ac:dyDescent="0.25">
      <c r="A483" s="2"/>
      <c r="B483" s="2"/>
      <c r="C483" s="2"/>
      <c r="D483" s="2"/>
      <c r="E483" s="2"/>
      <c r="F483" s="2"/>
      <c r="G483" s="2"/>
      <c r="H483" s="2"/>
      <c r="I483" s="2"/>
      <c r="J483" s="2"/>
      <c r="K483" s="183"/>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row>
    <row r="484" spans="1:87" ht="14.25" customHeight="1" x14ac:dyDescent="0.25">
      <c r="A484" s="2"/>
      <c r="B484" s="2"/>
      <c r="C484" s="2"/>
      <c r="D484" s="2"/>
      <c r="E484" s="2"/>
      <c r="F484" s="2"/>
      <c r="G484" s="2"/>
      <c r="H484" s="2"/>
      <c r="I484" s="2"/>
      <c r="J484" s="2"/>
      <c r="K484" s="183"/>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row>
    <row r="485" spans="1:87" ht="14.25" customHeight="1" x14ac:dyDescent="0.25">
      <c r="A485" s="2"/>
      <c r="B485" s="2"/>
      <c r="C485" s="2"/>
      <c r="D485" s="2"/>
      <c r="E485" s="2"/>
      <c r="F485" s="2"/>
      <c r="G485" s="2"/>
      <c r="H485" s="2"/>
      <c r="I485" s="2"/>
      <c r="J485" s="2"/>
      <c r="K485" s="183"/>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row>
    <row r="486" spans="1:87" ht="14.25" customHeight="1" x14ac:dyDescent="0.25">
      <c r="A486" s="2"/>
      <c r="B486" s="2"/>
      <c r="C486" s="2"/>
      <c r="D486" s="2"/>
      <c r="E486" s="2"/>
      <c r="F486" s="2"/>
      <c r="G486" s="2"/>
      <c r="H486" s="2"/>
      <c r="I486" s="2"/>
      <c r="J486" s="2"/>
      <c r="K486" s="183"/>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row>
    <row r="487" spans="1:87" ht="14.25" customHeight="1" x14ac:dyDescent="0.25">
      <c r="A487" s="2"/>
      <c r="B487" s="2"/>
      <c r="C487" s="2"/>
      <c r="D487" s="2"/>
      <c r="E487" s="2"/>
      <c r="F487" s="2"/>
      <c r="G487" s="2"/>
      <c r="H487" s="2"/>
      <c r="I487" s="2"/>
      <c r="J487" s="2"/>
      <c r="K487" s="183"/>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row>
    <row r="488" spans="1:87" ht="14.25" customHeight="1" x14ac:dyDescent="0.25">
      <c r="A488" s="2"/>
      <c r="B488" s="2"/>
      <c r="C488" s="2"/>
      <c r="D488" s="2"/>
      <c r="E488" s="2"/>
      <c r="F488" s="2"/>
      <c r="G488" s="2"/>
      <c r="H488" s="2"/>
      <c r="I488" s="2"/>
      <c r="J488" s="2"/>
      <c r="K488" s="183"/>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row>
    <row r="489" spans="1:87" ht="14.25" customHeight="1" x14ac:dyDescent="0.25">
      <c r="A489" s="2"/>
      <c r="B489" s="2"/>
      <c r="C489" s="2"/>
      <c r="D489" s="2"/>
      <c r="E489" s="2"/>
      <c r="F489" s="2"/>
      <c r="G489" s="2"/>
      <c r="H489" s="2"/>
      <c r="I489" s="2"/>
      <c r="J489" s="2"/>
      <c r="K489" s="183"/>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row>
    <row r="490" spans="1:87" ht="14.25" customHeight="1" x14ac:dyDescent="0.25">
      <c r="A490" s="2"/>
      <c r="B490" s="2"/>
      <c r="C490" s="2"/>
      <c r="D490" s="2"/>
      <c r="E490" s="2"/>
      <c r="F490" s="2"/>
      <c r="G490" s="2"/>
      <c r="H490" s="2"/>
      <c r="I490" s="2"/>
      <c r="J490" s="2"/>
      <c r="K490" s="183"/>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row>
    <row r="491" spans="1:87" ht="14.25" customHeight="1" x14ac:dyDescent="0.25">
      <c r="A491" s="2"/>
      <c r="B491" s="2"/>
      <c r="C491" s="2"/>
      <c r="D491" s="2"/>
      <c r="E491" s="2"/>
      <c r="F491" s="2"/>
      <c r="G491" s="2"/>
      <c r="H491" s="2"/>
      <c r="I491" s="2"/>
      <c r="J491" s="2"/>
      <c r="K491" s="183"/>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row>
    <row r="492" spans="1:87" ht="14.25" customHeight="1" x14ac:dyDescent="0.25">
      <c r="A492" s="2"/>
      <c r="B492" s="2"/>
      <c r="C492" s="2"/>
      <c r="D492" s="2"/>
      <c r="E492" s="2"/>
      <c r="F492" s="2"/>
      <c r="G492" s="2"/>
      <c r="H492" s="2"/>
      <c r="I492" s="2"/>
      <c r="J492" s="2"/>
      <c r="K492" s="183"/>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row>
    <row r="493" spans="1:87" ht="14.25" customHeight="1" x14ac:dyDescent="0.25">
      <c r="A493" s="2"/>
      <c r="B493" s="2"/>
      <c r="C493" s="2"/>
      <c r="D493" s="2"/>
      <c r="E493" s="2"/>
      <c r="F493" s="2"/>
      <c r="G493" s="2"/>
      <c r="H493" s="2"/>
      <c r="I493" s="2"/>
      <c r="J493" s="2"/>
      <c r="K493" s="183"/>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row>
    <row r="494" spans="1:87" ht="14.25" customHeight="1" x14ac:dyDescent="0.25">
      <c r="A494" s="2"/>
      <c r="B494" s="2"/>
      <c r="C494" s="2"/>
      <c r="D494" s="2"/>
      <c r="E494" s="2"/>
      <c r="F494" s="2"/>
      <c r="G494" s="2"/>
      <c r="H494" s="2"/>
      <c r="I494" s="2"/>
      <c r="J494" s="2"/>
      <c r="K494" s="183"/>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row>
    <row r="495" spans="1:87" ht="14.25" customHeight="1" x14ac:dyDescent="0.25">
      <c r="A495" s="2"/>
      <c r="B495" s="2"/>
      <c r="C495" s="2"/>
      <c r="D495" s="2"/>
      <c r="E495" s="2"/>
      <c r="F495" s="2"/>
      <c r="G495" s="2"/>
      <c r="H495" s="2"/>
      <c r="I495" s="2"/>
      <c r="J495" s="2"/>
      <c r="K495" s="183"/>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row>
    <row r="496" spans="1:87" ht="14.25" customHeight="1" x14ac:dyDescent="0.25">
      <c r="A496" s="2"/>
      <c r="B496" s="2"/>
      <c r="C496" s="2"/>
      <c r="D496" s="2"/>
      <c r="E496" s="2"/>
      <c r="F496" s="2"/>
      <c r="G496" s="2"/>
      <c r="H496" s="2"/>
      <c r="I496" s="2"/>
      <c r="J496" s="2"/>
      <c r="K496" s="183"/>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row>
    <row r="497" spans="1:87" ht="14.25" customHeight="1" x14ac:dyDescent="0.25">
      <c r="A497" s="2"/>
      <c r="B497" s="2"/>
      <c r="C497" s="2"/>
      <c r="D497" s="2"/>
      <c r="E497" s="2"/>
      <c r="F497" s="2"/>
      <c r="G497" s="2"/>
      <c r="H497" s="2"/>
      <c r="I497" s="2"/>
      <c r="J497" s="2"/>
      <c r="K497" s="183"/>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row>
    <row r="498" spans="1:87" ht="14.25" customHeight="1" x14ac:dyDescent="0.25">
      <c r="A498" s="2"/>
      <c r="B498" s="2"/>
      <c r="C498" s="2"/>
      <c r="D498" s="2"/>
      <c r="E498" s="2"/>
      <c r="F498" s="2"/>
      <c r="G498" s="2"/>
      <c r="H498" s="2"/>
      <c r="I498" s="2"/>
      <c r="J498" s="2"/>
      <c r="K498" s="183"/>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row>
    <row r="499" spans="1:87" ht="14.25" customHeight="1" x14ac:dyDescent="0.25">
      <c r="A499" s="2"/>
      <c r="B499" s="2"/>
      <c r="C499" s="2"/>
      <c r="D499" s="2"/>
      <c r="E499" s="2"/>
      <c r="F499" s="2"/>
      <c r="G499" s="2"/>
      <c r="H499" s="2"/>
      <c r="I499" s="2"/>
      <c r="J499" s="2"/>
      <c r="K499" s="183"/>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row>
    <row r="500" spans="1:87" ht="14.25" customHeight="1" x14ac:dyDescent="0.25">
      <c r="A500" s="2"/>
      <c r="B500" s="2"/>
      <c r="C500" s="2"/>
      <c r="D500" s="2"/>
      <c r="E500" s="2"/>
      <c r="F500" s="2"/>
      <c r="G500" s="2"/>
      <c r="H500" s="2"/>
      <c r="I500" s="2"/>
      <c r="J500" s="2"/>
      <c r="K500" s="183"/>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row>
    <row r="501" spans="1:87" ht="14.25" customHeight="1" x14ac:dyDescent="0.25">
      <c r="A501" s="2"/>
      <c r="B501" s="2"/>
      <c r="C501" s="2"/>
      <c r="D501" s="2"/>
      <c r="E501" s="2"/>
      <c r="F501" s="2"/>
      <c r="G501" s="2"/>
      <c r="H501" s="2"/>
      <c r="I501" s="2"/>
      <c r="J501" s="2"/>
      <c r="K501" s="183"/>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row>
    <row r="502" spans="1:87" ht="14.25" customHeight="1" x14ac:dyDescent="0.25">
      <c r="A502" s="2"/>
      <c r="B502" s="2"/>
      <c r="C502" s="2"/>
      <c r="D502" s="2"/>
      <c r="E502" s="2"/>
      <c r="F502" s="2"/>
      <c r="G502" s="2"/>
      <c r="H502" s="2"/>
      <c r="I502" s="2"/>
      <c r="J502" s="2"/>
      <c r="K502" s="183"/>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row>
    <row r="503" spans="1:87" ht="14.25" customHeight="1" x14ac:dyDescent="0.25">
      <c r="A503" s="2"/>
      <c r="B503" s="2"/>
      <c r="C503" s="2"/>
      <c r="D503" s="2"/>
      <c r="E503" s="2"/>
      <c r="F503" s="2"/>
      <c r="G503" s="2"/>
      <c r="H503" s="2"/>
      <c r="I503" s="2"/>
      <c r="J503" s="2"/>
      <c r="K503" s="183"/>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row>
    <row r="504" spans="1:87" ht="14.25" customHeight="1" x14ac:dyDescent="0.25">
      <c r="A504" s="2"/>
      <c r="B504" s="2"/>
      <c r="C504" s="2"/>
      <c r="D504" s="2"/>
      <c r="E504" s="2"/>
      <c r="F504" s="2"/>
      <c r="G504" s="2"/>
      <c r="H504" s="2"/>
      <c r="I504" s="2"/>
      <c r="J504" s="2"/>
      <c r="K504" s="183"/>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row>
    <row r="505" spans="1:87" ht="14.25" customHeight="1" x14ac:dyDescent="0.25">
      <c r="A505" s="2"/>
      <c r="B505" s="2"/>
      <c r="C505" s="2"/>
      <c r="D505" s="2"/>
      <c r="E505" s="2"/>
      <c r="F505" s="2"/>
      <c r="G505" s="2"/>
      <c r="H505" s="2"/>
      <c r="I505" s="2"/>
      <c r="J505" s="2"/>
      <c r="K505" s="183"/>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row>
    <row r="506" spans="1:87" ht="14.25" customHeight="1" x14ac:dyDescent="0.25">
      <c r="A506" s="2"/>
      <c r="B506" s="2"/>
      <c r="C506" s="2"/>
      <c r="D506" s="2"/>
      <c r="E506" s="2"/>
      <c r="F506" s="2"/>
      <c r="G506" s="2"/>
      <c r="H506" s="2"/>
      <c r="I506" s="2"/>
      <c r="J506" s="2"/>
      <c r="K506" s="183"/>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row>
    <row r="507" spans="1:87" ht="14.25" customHeight="1" x14ac:dyDescent="0.25">
      <c r="A507" s="2"/>
      <c r="B507" s="2"/>
      <c r="C507" s="2"/>
      <c r="D507" s="2"/>
      <c r="E507" s="2"/>
      <c r="F507" s="2"/>
      <c r="G507" s="2"/>
      <c r="H507" s="2"/>
      <c r="I507" s="2"/>
      <c r="J507" s="2"/>
      <c r="K507" s="183"/>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row>
    <row r="508" spans="1:87" ht="14.25" customHeight="1" x14ac:dyDescent="0.25">
      <c r="A508" s="2"/>
      <c r="B508" s="2"/>
      <c r="C508" s="2"/>
      <c r="D508" s="2"/>
      <c r="E508" s="2"/>
      <c r="F508" s="2"/>
      <c r="G508" s="2"/>
      <c r="H508" s="2"/>
      <c r="I508" s="2"/>
      <c r="J508" s="2"/>
      <c r="K508" s="183"/>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row>
    <row r="509" spans="1:87" ht="14.25" customHeight="1" x14ac:dyDescent="0.25">
      <c r="A509" s="2"/>
      <c r="B509" s="2"/>
      <c r="C509" s="2"/>
      <c r="D509" s="2"/>
      <c r="E509" s="2"/>
      <c r="F509" s="2"/>
      <c r="G509" s="2"/>
      <c r="H509" s="2"/>
      <c r="I509" s="2"/>
      <c r="J509" s="2"/>
      <c r="K509" s="183"/>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row>
    <row r="510" spans="1:87" ht="14.25" customHeight="1" x14ac:dyDescent="0.25">
      <c r="A510" s="2"/>
      <c r="B510" s="2"/>
      <c r="C510" s="2"/>
      <c r="D510" s="2"/>
      <c r="E510" s="2"/>
      <c r="F510" s="2"/>
      <c r="G510" s="2"/>
      <c r="H510" s="2"/>
      <c r="I510" s="2"/>
      <c r="J510" s="2"/>
      <c r="K510" s="183"/>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row>
    <row r="511" spans="1:87" ht="14.25" customHeight="1" x14ac:dyDescent="0.25">
      <c r="A511" s="2"/>
      <c r="B511" s="2"/>
      <c r="C511" s="2"/>
      <c r="D511" s="2"/>
      <c r="E511" s="2"/>
      <c r="F511" s="2"/>
      <c r="G511" s="2"/>
      <c r="H511" s="2"/>
      <c r="I511" s="2"/>
      <c r="J511" s="2"/>
      <c r="K511" s="183"/>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row>
    <row r="512" spans="1:87" ht="14.25" customHeight="1" x14ac:dyDescent="0.25">
      <c r="A512" s="2"/>
      <c r="B512" s="2"/>
      <c r="C512" s="2"/>
      <c r="D512" s="2"/>
      <c r="E512" s="2"/>
      <c r="F512" s="2"/>
      <c r="G512" s="2"/>
      <c r="H512" s="2"/>
      <c r="I512" s="2"/>
      <c r="J512" s="2"/>
      <c r="K512" s="183"/>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row>
    <row r="513" spans="1:87" ht="14.25" customHeight="1" x14ac:dyDescent="0.25">
      <c r="A513" s="2"/>
      <c r="B513" s="2"/>
      <c r="C513" s="2"/>
      <c r="D513" s="2"/>
      <c r="E513" s="2"/>
      <c r="F513" s="2"/>
      <c r="G513" s="2"/>
      <c r="H513" s="2"/>
      <c r="I513" s="2"/>
      <c r="J513" s="2"/>
      <c r="K513" s="183"/>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row>
    <row r="514" spans="1:87" ht="14.25" customHeight="1" x14ac:dyDescent="0.25">
      <c r="A514" s="2"/>
      <c r="B514" s="2"/>
      <c r="C514" s="2"/>
      <c r="D514" s="2"/>
      <c r="E514" s="2"/>
      <c r="F514" s="2"/>
      <c r="G514" s="2"/>
      <c r="H514" s="2"/>
      <c r="I514" s="2"/>
      <c r="J514" s="2"/>
      <c r="K514" s="183"/>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row>
    <row r="515" spans="1:87" ht="14.25" customHeight="1" x14ac:dyDescent="0.25">
      <c r="A515" s="2"/>
      <c r="B515" s="2"/>
      <c r="C515" s="2"/>
      <c r="D515" s="2"/>
      <c r="E515" s="2"/>
      <c r="F515" s="2"/>
      <c r="G515" s="2"/>
      <c r="H515" s="2"/>
      <c r="I515" s="2"/>
      <c r="J515" s="2"/>
      <c r="K515" s="183"/>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row>
    <row r="516" spans="1:87" ht="14.25" customHeight="1" x14ac:dyDescent="0.25">
      <c r="A516" s="2"/>
      <c r="B516" s="2"/>
      <c r="C516" s="2"/>
      <c r="D516" s="2"/>
      <c r="E516" s="2"/>
      <c r="F516" s="2"/>
      <c r="G516" s="2"/>
      <c r="H516" s="2"/>
      <c r="I516" s="2"/>
      <c r="J516" s="2"/>
      <c r="K516" s="183"/>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row>
    <row r="517" spans="1:87" ht="14.25" customHeight="1" x14ac:dyDescent="0.25">
      <c r="A517" s="2"/>
      <c r="B517" s="2"/>
      <c r="C517" s="2"/>
      <c r="D517" s="2"/>
      <c r="E517" s="2"/>
      <c r="F517" s="2"/>
      <c r="G517" s="2"/>
      <c r="H517" s="2"/>
      <c r="I517" s="2"/>
      <c r="J517" s="2"/>
      <c r="K517" s="183"/>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row>
    <row r="518" spans="1:87" ht="14.25" customHeight="1" x14ac:dyDescent="0.25">
      <c r="A518" s="2"/>
      <c r="B518" s="2"/>
      <c r="C518" s="2"/>
      <c r="D518" s="2"/>
      <c r="E518" s="2"/>
      <c r="F518" s="2"/>
      <c r="G518" s="2"/>
      <c r="H518" s="2"/>
      <c r="I518" s="2"/>
      <c r="J518" s="2"/>
      <c r="K518" s="183"/>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row>
    <row r="519" spans="1:87" ht="14.25" customHeight="1" x14ac:dyDescent="0.25">
      <c r="A519" s="2"/>
      <c r="B519" s="2"/>
      <c r="C519" s="2"/>
      <c r="D519" s="2"/>
      <c r="E519" s="2"/>
      <c r="F519" s="2"/>
      <c r="G519" s="2"/>
      <c r="H519" s="2"/>
      <c r="I519" s="2"/>
      <c r="J519" s="2"/>
      <c r="K519" s="183"/>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row>
    <row r="520" spans="1:87" ht="14.25" customHeight="1" x14ac:dyDescent="0.25">
      <c r="A520" s="2"/>
      <c r="B520" s="2"/>
      <c r="C520" s="2"/>
      <c r="D520" s="2"/>
      <c r="E520" s="2"/>
      <c r="F520" s="2"/>
      <c r="G520" s="2"/>
      <c r="H520" s="2"/>
      <c r="I520" s="2"/>
      <c r="J520" s="2"/>
      <c r="K520" s="183"/>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row>
    <row r="521" spans="1:87" ht="14.25" customHeight="1" x14ac:dyDescent="0.25">
      <c r="A521" s="2"/>
      <c r="B521" s="2"/>
      <c r="C521" s="2"/>
      <c r="D521" s="2"/>
      <c r="E521" s="2"/>
      <c r="F521" s="2"/>
      <c r="G521" s="2"/>
      <c r="H521" s="2"/>
      <c r="I521" s="2"/>
      <c r="J521" s="2"/>
      <c r="K521" s="183"/>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row>
    <row r="522" spans="1:87" ht="14.25" customHeight="1" x14ac:dyDescent="0.25">
      <c r="A522" s="2"/>
      <c r="B522" s="2"/>
      <c r="C522" s="2"/>
      <c r="D522" s="2"/>
      <c r="E522" s="2"/>
      <c r="F522" s="2"/>
      <c r="G522" s="2"/>
      <c r="H522" s="2"/>
      <c r="I522" s="2"/>
      <c r="J522" s="2"/>
      <c r="K522" s="183"/>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row>
    <row r="523" spans="1:87" ht="14.25" customHeight="1" x14ac:dyDescent="0.25">
      <c r="A523" s="2"/>
      <c r="B523" s="2"/>
      <c r="C523" s="2"/>
      <c r="D523" s="2"/>
      <c r="E523" s="2"/>
      <c r="F523" s="2"/>
      <c r="G523" s="2"/>
      <c r="H523" s="2"/>
      <c r="I523" s="2"/>
      <c r="J523" s="2"/>
      <c r="K523" s="183"/>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row>
    <row r="524" spans="1:87" ht="14.25" customHeight="1" x14ac:dyDescent="0.25">
      <c r="A524" s="2"/>
      <c r="B524" s="2"/>
      <c r="C524" s="2"/>
      <c r="D524" s="2"/>
      <c r="E524" s="2"/>
      <c r="F524" s="2"/>
      <c r="G524" s="2"/>
      <c r="H524" s="2"/>
      <c r="I524" s="2"/>
      <c r="J524" s="2"/>
      <c r="K524" s="183"/>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row>
    <row r="525" spans="1:87" ht="14.25" customHeight="1" x14ac:dyDescent="0.25">
      <c r="A525" s="2"/>
      <c r="B525" s="2"/>
      <c r="C525" s="2"/>
      <c r="D525" s="2"/>
      <c r="E525" s="2"/>
      <c r="F525" s="2"/>
      <c r="G525" s="2"/>
      <c r="H525" s="2"/>
      <c r="I525" s="2"/>
      <c r="J525" s="2"/>
      <c r="K525" s="183"/>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row>
    <row r="526" spans="1:87" ht="14.25" customHeight="1" x14ac:dyDescent="0.25">
      <c r="A526" s="2"/>
      <c r="B526" s="2"/>
      <c r="C526" s="2"/>
      <c r="D526" s="2"/>
      <c r="E526" s="2"/>
      <c r="F526" s="2"/>
      <c r="G526" s="2"/>
      <c r="H526" s="2"/>
      <c r="I526" s="2"/>
      <c r="J526" s="2"/>
      <c r="K526" s="183"/>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row>
    <row r="527" spans="1:87" ht="14.25" customHeight="1" x14ac:dyDescent="0.25">
      <c r="A527" s="2"/>
      <c r="B527" s="2"/>
      <c r="C527" s="2"/>
      <c r="D527" s="2"/>
      <c r="E527" s="2"/>
      <c r="F527" s="2"/>
      <c r="G527" s="2"/>
      <c r="H527" s="2"/>
      <c r="I527" s="2"/>
      <c r="J527" s="2"/>
      <c r="K527" s="183"/>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row>
    <row r="528" spans="1:87" ht="14.25" customHeight="1" x14ac:dyDescent="0.25">
      <c r="A528" s="2"/>
      <c r="B528" s="2"/>
      <c r="C528" s="2"/>
      <c r="D528" s="2"/>
      <c r="E528" s="2"/>
      <c r="F528" s="2"/>
      <c r="G528" s="2"/>
      <c r="H528" s="2"/>
      <c r="I528" s="2"/>
      <c r="J528" s="2"/>
      <c r="K528" s="183"/>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row>
    <row r="529" spans="1:87" ht="14.25" customHeight="1" x14ac:dyDescent="0.25">
      <c r="A529" s="2"/>
      <c r="B529" s="2"/>
      <c r="C529" s="2"/>
      <c r="D529" s="2"/>
      <c r="E529" s="2"/>
      <c r="F529" s="2"/>
      <c r="G529" s="2"/>
      <c r="H529" s="2"/>
      <c r="I529" s="2"/>
      <c r="J529" s="2"/>
      <c r="K529" s="183"/>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row>
    <row r="530" spans="1:87" ht="14.25" customHeight="1" x14ac:dyDescent="0.25">
      <c r="A530" s="2"/>
      <c r="B530" s="2"/>
      <c r="C530" s="2"/>
      <c r="D530" s="2"/>
      <c r="E530" s="2"/>
      <c r="F530" s="2"/>
      <c r="G530" s="2"/>
      <c r="H530" s="2"/>
      <c r="I530" s="2"/>
      <c r="J530" s="2"/>
      <c r="K530" s="183"/>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row>
    <row r="531" spans="1:87" ht="14.25" customHeight="1" x14ac:dyDescent="0.25">
      <c r="A531" s="2"/>
      <c r="B531" s="2"/>
      <c r="C531" s="2"/>
      <c r="D531" s="2"/>
      <c r="E531" s="2"/>
      <c r="F531" s="2"/>
      <c r="G531" s="2"/>
      <c r="H531" s="2"/>
      <c r="I531" s="2"/>
      <c r="J531" s="2"/>
      <c r="K531" s="183"/>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row>
    <row r="532" spans="1:87" ht="14.25" customHeight="1" x14ac:dyDescent="0.25">
      <c r="A532" s="2"/>
      <c r="B532" s="2"/>
      <c r="C532" s="2"/>
      <c r="D532" s="2"/>
      <c r="E532" s="2"/>
      <c r="F532" s="2"/>
      <c r="G532" s="2"/>
      <c r="H532" s="2"/>
      <c r="I532" s="2"/>
      <c r="J532" s="2"/>
      <c r="K532" s="183"/>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row>
    <row r="533" spans="1:87" ht="14.25" customHeight="1" x14ac:dyDescent="0.25">
      <c r="A533" s="2"/>
      <c r="B533" s="2"/>
      <c r="C533" s="2"/>
      <c r="D533" s="2"/>
      <c r="E533" s="2"/>
      <c r="F533" s="2"/>
      <c r="G533" s="2"/>
      <c r="H533" s="2"/>
      <c r="I533" s="2"/>
      <c r="J533" s="2"/>
      <c r="K533" s="183"/>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row>
    <row r="534" spans="1:87" ht="14.25" customHeight="1" x14ac:dyDescent="0.25">
      <c r="A534" s="2"/>
      <c r="B534" s="2"/>
      <c r="C534" s="2"/>
      <c r="D534" s="2"/>
      <c r="E534" s="2"/>
      <c r="F534" s="2"/>
      <c r="G534" s="2"/>
      <c r="H534" s="2"/>
      <c r="I534" s="2"/>
      <c r="J534" s="2"/>
      <c r="K534" s="183"/>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row>
    <row r="535" spans="1:87" ht="14.25" customHeight="1" x14ac:dyDescent="0.25">
      <c r="A535" s="2"/>
      <c r="B535" s="2"/>
      <c r="C535" s="2"/>
      <c r="D535" s="2"/>
      <c r="E535" s="2"/>
      <c r="F535" s="2"/>
      <c r="G535" s="2"/>
      <c r="H535" s="2"/>
      <c r="I535" s="2"/>
      <c r="J535" s="2"/>
      <c r="K535" s="183"/>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row>
    <row r="536" spans="1:87" ht="14.25" customHeight="1" x14ac:dyDescent="0.25">
      <c r="A536" s="2"/>
      <c r="B536" s="2"/>
      <c r="C536" s="2"/>
      <c r="D536" s="2"/>
      <c r="E536" s="2"/>
      <c r="F536" s="2"/>
      <c r="G536" s="2"/>
      <c r="H536" s="2"/>
      <c r="I536" s="2"/>
      <c r="J536" s="2"/>
      <c r="K536" s="183"/>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row>
    <row r="537" spans="1:87" ht="14.25" customHeight="1" x14ac:dyDescent="0.25">
      <c r="A537" s="2"/>
      <c r="B537" s="2"/>
      <c r="C537" s="2"/>
      <c r="D537" s="2"/>
      <c r="E537" s="2"/>
      <c r="F537" s="2"/>
      <c r="G537" s="2"/>
      <c r="H537" s="2"/>
      <c r="I537" s="2"/>
      <c r="J537" s="2"/>
      <c r="K537" s="183"/>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row>
    <row r="538" spans="1:87" ht="14.25" customHeight="1" x14ac:dyDescent="0.25">
      <c r="A538" s="2"/>
      <c r="B538" s="2"/>
      <c r="C538" s="2"/>
      <c r="D538" s="2"/>
      <c r="E538" s="2"/>
      <c r="F538" s="2"/>
      <c r="G538" s="2"/>
      <c r="H538" s="2"/>
      <c r="I538" s="2"/>
      <c r="J538" s="2"/>
      <c r="K538" s="183"/>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row>
    <row r="539" spans="1:87" ht="14.25" customHeight="1" x14ac:dyDescent="0.25">
      <c r="A539" s="2"/>
      <c r="B539" s="2"/>
      <c r="C539" s="2"/>
      <c r="D539" s="2"/>
      <c r="E539" s="2"/>
      <c r="F539" s="2"/>
      <c r="G539" s="2"/>
      <c r="H539" s="2"/>
      <c r="I539" s="2"/>
      <c r="J539" s="2"/>
      <c r="K539" s="183"/>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row>
    <row r="540" spans="1:87" ht="14.25" customHeight="1" x14ac:dyDescent="0.25">
      <c r="A540" s="2"/>
      <c r="B540" s="2"/>
      <c r="C540" s="2"/>
      <c r="D540" s="2"/>
      <c r="E540" s="2"/>
      <c r="F540" s="2"/>
      <c r="G540" s="2"/>
      <c r="H540" s="2"/>
      <c r="I540" s="2"/>
      <c r="J540" s="2"/>
      <c r="K540" s="183"/>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row>
    <row r="541" spans="1:87" ht="14.25" customHeight="1" x14ac:dyDescent="0.25">
      <c r="A541" s="2"/>
      <c r="B541" s="2"/>
      <c r="C541" s="2"/>
      <c r="D541" s="2"/>
      <c r="E541" s="2"/>
      <c r="F541" s="2"/>
      <c r="G541" s="2"/>
      <c r="H541" s="2"/>
      <c r="I541" s="2"/>
      <c r="J541" s="2"/>
      <c r="K541" s="183"/>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row>
    <row r="542" spans="1:87" ht="14.25" customHeight="1" x14ac:dyDescent="0.25">
      <c r="A542" s="2"/>
      <c r="B542" s="2"/>
      <c r="C542" s="2"/>
      <c r="D542" s="2"/>
      <c r="E542" s="2"/>
      <c r="F542" s="2"/>
      <c r="G542" s="2"/>
      <c r="H542" s="2"/>
      <c r="I542" s="2"/>
      <c r="J542" s="2"/>
      <c r="K542" s="183"/>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row>
    <row r="543" spans="1:87" ht="14.25" customHeight="1" x14ac:dyDescent="0.25">
      <c r="A543" s="2"/>
      <c r="B543" s="2"/>
      <c r="C543" s="2"/>
      <c r="D543" s="2"/>
      <c r="E543" s="2"/>
      <c r="F543" s="2"/>
      <c r="G543" s="2"/>
      <c r="H543" s="2"/>
      <c r="I543" s="2"/>
      <c r="J543" s="2"/>
      <c r="K543" s="183"/>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row>
    <row r="544" spans="1:87" ht="14.25" customHeight="1" x14ac:dyDescent="0.25">
      <c r="A544" s="2"/>
      <c r="B544" s="2"/>
      <c r="C544" s="2"/>
      <c r="D544" s="2"/>
      <c r="E544" s="2"/>
      <c r="F544" s="2"/>
      <c r="G544" s="2"/>
      <c r="H544" s="2"/>
      <c r="I544" s="2"/>
      <c r="J544" s="2"/>
      <c r="K544" s="183"/>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row>
    <row r="545" spans="1:87" ht="14.25" customHeight="1" x14ac:dyDescent="0.25">
      <c r="A545" s="2"/>
      <c r="B545" s="2"/>
      <c r="C545" s="2"/>
      <c r="D545" s="2"/>
      <c r="E545" s="2"/>
      <c r="F545" s="2"/>
      <c r="G545" s="2"/>
      <c r="H545" s="2"/>
      <c r="I545" s="2"/>
      <c r="J545" s="2"/>
      <c r="K545" s="183"/>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row>
    <row r="546" spans="1:87" ht="14.25" customHeight="1" x14ac:dyDescent="0.25">
      <c r="A546" s="2"/>
      <c r="B546" s="2"/>
      <c r="C546" s="2"/>
      <c r="D546" s="2"/>
      <c r="E546" s="2"/>
      <c r="F546" s="2"/>
      <c r="G546" s="2"/>
      <c r="H546" s="2"/>
      <c r="I546" s="2"/>
      <c r="J546" s="2"/>
      <c r="K546" s="183"/>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row>
    <row r="547" spans="1:87" ht="14.25" customHeight="1" x14ac:dyDescent="0.25">
      <c r="A547" s="2"/>
      <c r="B547" s="2"/>
      <c r="C547" s="2"/>
      <c r="D547" s="2"/>
      <c r="E547" s="2"/>
      <c r="F547" s="2"/>
      <c r="G547" s="2"/>
      <c r="H547" s="2"/>
      <c r="I547" s="2"/>
      <c r="J547" s="2"/>
      <c r="K547" s="183"/>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row>
    <row r="548" spans="1:87" ht="14.25" customHeight="1" x14ac:dyDescent="0.25">
      <c r="A548" s="2"/>
      <c r="B548" s="2"/>
      <c r="C548" s="2"/>
      <c r="D548" s="2"/>
      <c r="E548" s="2"/>
      <c r="F548" s="2"/>
      <c r="G548" s="2"/>
      <c r="H548" s="2"/>
      <c r="I548" s="2"/>
      <c r="J548" s="2"/>
      <c r="K548" s="183"/>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row>
    <row r="549" spans="1:87" ht="14.25" customHeight="1" x14ac:dyDescent="0.25">
      <c r="A549" s="2"/>
      <c r="B549" s="2"/>
      <c r="C549" s="2"/>
      <c r="D549" s="2"/>
      <c r="E549" s="2"/>
      <c r="F549" s="2"/>
      <c r="G549" s="2"/>
      <c r="H549" s="2"/>
      <c r="I549" s="2"/>
      <c r="J549" s="2"/>
      <c r="K549" s="183"/>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row>
    <row r="550" spans="1:87" ht="14.25" customHeight="1" x14ac:dyDescent="0.25">
      <c r="A550" s="2"/>
      <c r="B550" s="2"/>
      <c r="C550" s="2"/>
      <c r="D550" s="2"/>
      <c r="E550" s="2"/>
      <c r="F550" s="2"/>
      <c r="G550" s="2"/>
      <c r="H550" s="2"/>
      <c r="I550" s="2"/>
      <c r="J550" s="2"/>
      <c r="K550" s="183"/>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row>
    <row r="551" spans="1:87" ht="14.25" customHeight="1" x14ac:dyDescent="0.25">
      <c r="A551" s="2"/>
      <c r="B551" s="2"/>
      <c r="C551" s="2"/>
      <c r="D551" s="2"/>
      <c r="E551" s="2"/>
      <c r="F551" s="2"/>
      <c r="G551" s="2"/>
      <c r="H551" s="2"/>
      <c r="I551" s="2"/>
      <c r="J551" s="2"/>
      <c r="K551" s="183"/>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row>
    <row r="552" spans="1:87" ht="14.25" customHeight="1" x14ac:dyDescent="0.25">
      <c r="A552" s="2"/>
      <c r="B552" s="2"/>
      <c r="C552" s="2"/>
      <c r="D552" s="2"/>
      <c r="E552" s="2"/>
      <c r="F552" s="2"/>
      <c r="G552" s="2"/>
      <c r="H552" s="2"/>
      <c r="I552" s="2"/>
      <c r="J552" s="2"/>
      <c r="K552" s="183"/>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row>
    <row r="553" spans="1:87" ht="14.25" customHeight="1" x14ac:dyDescent="0.25">
      <c r="A553" s="2"/>
      <c r="B553" s="2"/>
      <c r="C553" s="2"/>
      <c r="D553" s="2"/>
      <c r="E553" s="2"/>
      <c r="F553" s="2"/>
      <c r="G553" s="2"/>
      <c r="H553" s="2"/>
      <c r="I553" s="2"/>
      <c r="J553" s="2"/>
      <c r="K553" s="183"/>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row>
    <row r="554" spans="1:87" ht="14.25" customHeight="1" x14ac:dyDescent="0.25">
      <c r="A554" s="2"/>
      <c r="B554" s="2"/>
      <c r="C554" s="2"/>
      <c r="D554" s="2"/>
      <c r="E554" s="2"/>
      <c r="F554" s="2"/>
      <c r="G554" s="2"/>
      <c r="H554" s="2"/>
      <c r="I554" s="2"/>
      <c r="J554" s="2"/>
      <c r="K554" s="183"/>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row>
    <row r="555" spans="1:87" ht="14.25" customHeight="1" x14ac:dyDescent="0.25">
      <c r="A555" s="2"/>
      <c r="B555" s="2"/>
      <c r="C555" s="2"/>
      <c r="D555" s="2"/>
      <c r="E555" s="2"/>
      <c r="F555" s="2"/>
      <c r="G555" s="2"/>
      <c r="H555" s="2"/>
      <c r="I555" s="2"/>
      <c r="J555" s="2"/>
      <c r="K555" s="183"/>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row>
    <row r="556" spans="1:87" ht="14.25" customHeight="1" x14ac:dyDescent="0.25">
      <c r="A556" s="2"/>
      <c r="B556" s="2"/>
      <c r="C556" s="2"/>
      <c r="D556" s="2"/>
      <c r="E556" s="2"/>
      <c r="F556" s="2"/>
      <c r="G556" s="2"/>
      <c r="H556" s="2"/>
      <c r="I556" s="2"/>
      <c r="J556" s="2"/>
      <c r="K556" s="183"/>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row>
    <row r="557" spans="1:87" ht="14.25" customHeight="1" x14ac:dyDescent="0.25">
      <c r="A557" s="2"/>
      <c r="B557" s="2"/>
      <c r="C557" s="2"/>
      <c r="D557" s="2"/>
      <c r="E557" s="2"/>
      <c r="F557" s="2"/>
      <c r="G557" s="2"/>
      <c r="H557" s="2"/>
      <c r="I557" s="2"/>
      <c r="J557" s="2"/>
      <c r="K557" s="183"/>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row>
    <row r="558" spans="1:87" ht="14.25" customHeight="1" x14ac:dyDescent="0.25">
      <c r="A558" s="2"/>
      <c r="B558" s="2"/>
      <c r="C558" s="2"/>
      <c r="D558" s="2"/>
      <c r="E558" s="2"/>
      <c r="F558" s="2"/>
      <c r="G558" s="2"/>
      <c r="H558" s="2"/>
      <c r="I558" s="2"/>
      <c r="J558" s="2"/>
      <c r="K558" s="183"/>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row>
    <row r="559" spans="1:87" ht="14.25" customHeight="1" x14ac:dyDescent="0.25">
      <c r="A559" s="2"/>
      <c r="B559" s="2"/>
      <c r="C559" s="2"/>
      <c r="D559" s="2"/>
      <c r="E559" s="2"/>
      <c r="F559" s="2"/>
      <c r="G559" s="2"/>
      <c r="H559" s="2"/>
      <c r="I559" s="2"/>
      <c r="J559" s="2"/>
      <c r="K559" s="183"/>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row>
    <row r="560" spans="1:87" ht="14.25" customHeight="1" x14ac:dyDescent="0.25">
      <c r="A560" s="2"/>
      <c r="B560" s="2"/>
      <c r="C560" s="2"/>
      <c r="D560" s="2"/>
      <c r="E560" s="2"/>
      <c r="F560" s="2"/>
      <c r="G560" s="2"/>
      <c r="H560" s="2"/>
      <c r="I560" s="2"/>
      <c r="J560" s="2"/>
      <c r="K560" s="183"/>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row>
    <row r="561" spans="1:87" ht="14.25" customHeight="1" x14ac:dyDescent="0.25">
      <c r="A561" s="2"/>
      <c r="B561" s="2"/>
      <c r="C561" s="2"/>
      <c r="D561" s="2"/>
      <c r="E561" s="2"/>
      <c r="F561" s="2"/>
      <c r="G561" s="2"/>
      <c r="H561" s="2"/>
      <c r="I561" s="2"/>
      <c r="J561" s="2"/>
      <c r="K561" s="183"/>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row>
    <row r="562" spans="1:87" ht="14.25" customHeight="1" x14ac:dyDescent="0.25">
      <c r="A562" s="2"/>
      <c r="B562" s="2"/>
      <c r="C562" s="2"/>
      <c r="D562" s="2"/>
      <c r="E562" s="2"/>
      <c r="F562" s="2"/>
      <c r="G562" s="2"/>
      <c r="H562" s="2"/>
      <c r="I562" s="2"/>
      <c r="J562" s="2"/>
      <c r="K562" s="183"/>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row>
    <row r="563" spans="1:87" ht="14.25" customHeight="1" x14ac:dyDescent="0.25">
      <c r="A563" s="2"/>
      <c r="B563" s="2"/>
      <c r="C563" s="2"/>
      <c r="D563" s="2"/>
      <c r="E563" s="2"/>
      <c r="F563" s="2"/>
      <c r="G563" s="2"/>
      <c r="H563" s="2"/>
      <c r="I563" s="2"/>
      <c r="J563" s="2"/>
      <c r="K563" s="183"/>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row>
    <row r="564" spans="1:87" ht="14.25" customHeight="1" x14ac:dyDescent="0.25">
      <c r="A564" s="2"/>
      <c r="B564" s="2"/>
      <c r="C564" s="2"/>
      <c r="D564" s="2"/>
      <c r="E564" s="2"/>
      <c r="F564" s="2"/>
      <c r="G564" s="2"/>
      <c r="H564" s="2"/>
      <c r="I564" s="2"/>
      <c r="J564" s="2"/>
      <c r="K564" s="183"/>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row>
    <row r="565" spans="1:87" ht="14.25" customHeight="1" x14ac:dyDescent="0.25">
      <c r="A565" s="2"/>
      <c r="B565" s="2"/>
      <c r="C565" s="2"/>
      <c r="D565" s="2"/>
      <c r="E565" s="2"/>
      <c r="F565" s="2"/>
      <c r="G565" s="2"/>
      <c r="H565" s="2"/>
      <c r="I565" s="2"/>
      <c r="J565" s="2"/>
      <c r="K565" s="183"/>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row>
    <row r="566" spans="1:87" ht="14.25" customHeight="1" x14ac:dyDescent="0.25">
      <c r="A566" s="2"/>
      <c r="B566" s="2"/>
      <c r="C566" s="2"/>
      <c r="D566" s="2"/>
      <c r="E566" s="2"/>
      <c r="F566" s="2"/>
      <c r="G566" s="2"/>
      <c r="H566" s="2"/>
      <c r="I566" s="2"/>
      <c r="J566" s="2"/>
      <c r="K566" s="183"/>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row>
    <row r="567" spans="1:87" ht="14.25" customHeight="1" x14ac:dyDescent="0.25">
      <c r="A567" s="2"/>
      <c r="B567" s="2"/>
      <c r="C567" s="2"/>
      <c r="D567" s="2"/>
      <c r="E567" s="2"/>
      <c r="F567" s="2"/>
      <c r="G567" s="2"/>
      <c r="H567" s="2"/>
      <c r="I567" s="2"/>
      <c r="J567" s="2"/>
      <c r="K567" s="183"/>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row>
    <row r="568" spans="1:87" ht="14.25" customHeight="1" x14ac:dyDescent="0.25">
      <c r="A568" s="2"/>
      <c r="B568" s="2"/>
      <c r="C568" s="2"/>
      <c r="D568" s="2"/>
      <c r="E568" s="2"/>
      <c r="F568" s="2"/>
      <c r="G568" s="2"/>
      <c r="H568" s="2"/>
      <c r="I568" s="2"/>
      <c r="J568" s="2"/>
      <c r="K568" s="183"/>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row>
    <row r="569" spans="1:87" ht="14.25" customHeight="1" x14ac:dyDescent="0.25">
      <c r="A569" s="2"/>
      <c r="B569" s="2"/>
      <c r="C569" s="2"/>
      <c r="D569" s="2"/>
      <c r="E569" s="2"/>
      <c r="F569" s="2"/>
      <c r="G569" s="2"/>
      <c r="H569" s="2"/>
      <c r="I569" s="2"/>
      <c r="J569" s="2"/>
      <c r="K569" s="183"/>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row>
    <row r="570" spans="1:87" ht="14.25" customHeight="1" x14ac:dyDescent="0.25">
      <c r="A570" s="2"/>
      <c r="B570" s="2"/>
      <c r="C570" s="2"/>
      <c r="D570" s="2"/>
      <c r="E570" s="2"/>
      <c r="F570" s="2"/>
      <c r="G570" s="2"/>
      <c r="H570" s="2"/>
      <c r="I570" s="2"/>
      <c r="J570" s="2"/>
      <c r="K570" s="183"/>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row>
    <row r="571" spans="1:87" ht="14.25" customHeight="1" x14ac:dyDescent="0.25">
      <c r="A571" s="2"/>
      <c r="B571" s="2"/>
      <c r="C571" s="2"/>
      <c r="D571" s="2"/>
      <c r="E571" s="2"/>
      <c r="F571" s="2"/>
      <c r="G571" s="2"/>
      <c r="H571" s="2"/>
      <c r="I571" s="2"/>
      <c r="J571" s="2"/>
      <c r="K571" s="183"/>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row>
    <row r="572" spans="1:87" ht="14.25" customHeight="1" x14ac:dyDescent="0.25">
      <c r="A572" s="2"/>
      <c r="B572" s="2"/>
      <c r="C572" s="2"/>
      <c r="D572" s="2"/>
      <c r="E572" s="2"/>
      <c r="F572" s="2"/>
      <c r="G572" s="2"/>
      <c r="H572" s="2"/>
      <c r="I572" s="2"/>
      <c r="J572" s="2"/>
      <c r="K572" s="183"/>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row>
    <row r="573" spans="1:87" ht="14.25" customHeight="1" x14ac:dyDescent="0.25">
      <c r="A573" s="2"/>
      <c r="B573" s="2"/>
      <c r="C573" s="2"/>
      <c r="D573" s="2"/>
      <c r="E573" s="2"/>
      <c r="F573" s="2"/>
      <c r="G573" s="2"/>
      <c r="H573" s="2"/>
      <c r="I573" s="2"/>
      <c r="J573" s="2"/>
      <c r="K573" s="183"/>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row>
    <row r="574" spans="1:87" ht="14.25" customHeight="1" x14ac:dyDescent="0.25">
      <c r="A574" s="2"/>
      <c r="B574" s="2"/>
      <c r="C574" s="2"/>
      <c r="D574" s="2"/>
      <c r="E574" s="2"/>
      <c r="F574" s="2"/>
      <c r="G574" s="2"/>
      <c r="H574" s="2"/>
      <c r="I574" s="2"/>
      <c r="J574" s="2"/>
      <c r="K574" s="183"/>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row>
    <row r="575" spans="1:87" ht="14.25" customHeight="1" x14ac:dyDescent="0.25">
      <c r="A575" s="2"/>
      <c r="B575" s="2"/>
      <c r="C575" s="2"/>
      <c r="D575" s="2"/>
      <c r="E575" s="2"/>
      <c r="F575" s="2"/>
      <c r="G575" s="2"/>
      <c r="H575" s="2"/>
      <c r="I575" s="2"/>
      <c r="J575" s="2"/>
      <c r="K575" s="183"/>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row>
    <row r="576" spans="1:87" ht="14.25" customHeight="1" x14ac:dyDescent="0.25">
      <c r="A576" s="2"/>
      <c r="B576" s="2"/>
      <c r="C576" s="2"/>
      <c r="D576" s="2"/>
      <c r="E576" s="2"/>
      <c r="F576" s="2"/>
      <c r="G576" s="2"/>
      <c r="H576" s="2"/>
      <c r="I576" s="2"/>
      <c r="J576" s="2"/>
      <c r="K576" s="183"/>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row>
    <row r="577" spans="1:87" ht="14.25" customHeight="1" x14ac:dyDescent="0.25">
      <c r="A577" s="2"/>
      <c r="B577" s="2"/>
      <c r="C577" s="2"/>
      <c r="D577" s="2"/>
      <c r="E577" s="2"/>
      <c r="F577" s="2"/>
      <c r="G577" s="2"/>
      <c r="H577" s="2"/>
      <c r="I577" s="2"/>
      <c r="J577" s="2"/>
      <c r="K577" s="183"/>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row>
    <row r="578" spans="1:87" ht="14.25" customHeight="1" x14ac:dyDescent="0.25">
      <c r="A578" s="2"/>
      <c r="B578" s="2"/>
      <c r="C578" s="2"/>
      <c r="D578" s="2"/>
      <c r="E578" s="2"/>
      <c r="F578" s="2"/>
      <c r="G578" s="2"/>
      <c r="H578" s="2"/>
      <c r="I578" s="2"/>
      <c r="J578" s="2"/>
      <c r="K578" s="183"/>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row>
    <row r="579" spans="1:87" ht="14.25" customHeight="1" x14ac:dyDescent="0.25">
      <c r="A579" s="2"/>
      <c r="B579" s="2"/>
      <c r="C579" s="2"/>
      <c r="D579" s="2"/>
      <c r="E579" s="2"/>
      <c r="F579" s="2"/>
      <c r="G579" s="2"/>
      <c r="H579" s="2"/>
      <c r="I579" s="2"/>
      <c r="J579" s="2"/>
      <c r="K579" s="183"/>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row>
    <row r="580" spans="1:87" ht="14.25" customHeight="1" x14ac:dyDescent="0.25">
      <c r="A580" s="2"/>
      <c r="B580" s="2"/>
      <c r="C580" s="2"/>
      <c r="D580" s="2"/>
      <c r="E580" s="2"/>
      <c r="F580" s="2"/>
      <c r="G580" s="2"/>
      <c r="H580" s="2"/>
      <c r="I580" s="2"/>
      <c r="J580" s="2"/>
      <c r="K580" s="183"/>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row>
    <row r="581" spans="1:87" ht="14.25" customHeight="1" x14ac:dyDescent="0.25">
      <c r="A581" s="2"/>
      <c r="B581" s="2"/>
      <c r="C581" s="2"/>
      <c r="D581" s="2"/>
      <c r="E581" s="2"/>
      <c r="F581" s="2"/>
      <c r="G581" s="2"/>
      <c r="H581" s="2"/>
      <c r="I581" s="2"/>
      <c r="J581" s="2"/>
      <c r="K581" s="183"/>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row>
    <row r="582" spans="1:87" ht="14.25" customHeight="1" x14ac:dyDescent="0.25">
      <c r="A582" s="2"/>
      <c r="B582" s="2"/>
      <c r="C582" s="2"/>
      <c r="D582" s="2"/>
      <c r="E582" s="2"/>
      <c r="F582" s="2"/>
      <c r="G582" s="2"/>
      <c r="H582" s="2"/>
      <c r="I582" s="2"/>
      <c r="J582" s="2"/>
      <c r="K582" s="183"/>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row>
    <row r="583" spans="1:87" ht="14.25" customHeight="1" x14ac:dyDescent="0.25">
      <c r="A583" s="2"/>
      <c r="B583" s="2"/>
      <c r="C583" s="2"/>
      <c r="D583" s="2"/>
      <c r="E583" s="2"/>
      <c r="F583" s="2"/>
      <c r="G583" s="2"/>
      <c r="H583" s="2"/>
      <c r="I583" s="2"/>
      <c r="J583" s="2"/>
      <c r="K583" s="183"/>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row>
    <row r="584" spans="1:87" ht="14.25" customHeight="1" x14ac:dyDescent="0.25">
      <c r="A584" s="2"/>
      <c r="B584" s="2"/>
      <c r="C584" s="2"/>
      <c r="D584" s="2"/>
      <c r="E584" s="2"/>
      <c r="F584" s="2"/>
      <c r="G584" s="2"/>
      <c r="H584" s="2"/>
      <c r="I584" s="2"/>
      <c r="J584" s="2"/>
      <c r="K584" s="183"/>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row>
    <row r="585" spans="1:87" ht="14.25" customHeight="1" x14ac:dyDescent="0.25">
      <c r="A585" s="2"/>
      <c r="B585" s="2"/>
      <c r="C585" s="2"/>
      <c r="D585" s="2"/>
      <c r="E585" s="2"/>
      <c r="F585" s="2"/>
      <c r="G585" s="2"/>
      <c r="H585" s="2"/>
      <c r="I585" s="2"/>
      <c r="J585" s="2"/>
      <c r="K585" s="183"/>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row>
    <row r="586" spans="1:87" ht="14.25" customHeight="1" x14ac:dyDescent="0.25">
      <c r="A586" s="2"/>
      <c r="B586" s="2"/>
      <c r="C586" s="2"/>
      <c r="D586" s="2"/>
      <c r="E586" s="2"/>
      <c r="F586" s="2"/>
      <c r="G586" s="2"/>
      <c r="H586" s="2"/>
      <c r="I586" s="2"/>
      <c r="J586" s="2"/>
      <c r="K586" s="183"/>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row>
    <row r="587" spans="1:87" ht="14.25" customHeight="1" x14ac:dyDescent="0.25">
      <c r="A587" s="2"/>
      <c r="B587" s="2"/>
      <c r="C587" s="2"/>
      <c r="D587" s="2"/>
      <c r="E587" s="2"/>
      <c r="F587" s="2"/>
      <c r="G587" s="2"/>
      <c r="H587" s="2"/>
      <c r="I587" s="2"/>
      <c r="J587" s="2"/>
      <c r="K587" s="183"/>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row>
    <row r="588" spans="1:87" ht="14.25" customHeight="1" x14ac:dyDescent="0.25">
      <c r="A588" s="2"/>
      <c r="B588" s="2"/>
      <c r="C588" s="2"/>
      <c r="D588" s="2"/>
      <c r="E588" s="2"/>
      <c r="F588" s="2"/>
      <c r="G588" s="2"/>
      <c r="H588" s="2"/>
      <c r="I588" s="2"/>
      <c r="J588" s="2"/>
      <c r="K588" s="183"/>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row>
    <row r="589" spans="1:87" ht="14.25" customHeight="1" x14ac:dyDescent="0.25">
      <c r="A589" s="2"/>
      <c r="B589" s="2"/>
      <c r="C589" s="2"/>
      <c r="D589" s="2"/>
      <c r="E589" s="2"/>
      <c r="F589" s="2"/>
      <c r="G589" s="2"/>
      <c r="H589" s="2"/>
      <c r="I589" s="2"/>
      <c r="J589" s="2"/>
      <c r="K589" s="183"/>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row>
    <row r="590" spans="1:87" ht="14.25" customHeight="1" x14ac:dyDescent="0.25">
      <c r="A590" s="2"/>
      <c r="B590" s="2"/>
      <c r="C590" s="2"/>
      <c r="D590" s="2"/>
      <c r="E590" s="2"/>
      <c r="F590" s="2"/>
      <c r="G590" s="2"/>
      <c r="H590" s="2"/>
      <c r="I590" s="2"/>
      <c r="J590" s="2"/>
      <c r="K590" s="183"/>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row>
    <row r="591" spans="1:87" ht="14.25" customHeight="1" x14ac:dyDescent="0.25">
      <c r="A591" s="2"/>
      <c r="B591" s="2"/>
      <c r="C591" s="2"/>
      <c r="D591" s="2"/>
      <c r="E591" s="2"/>
      <c r="F591" s="2"/>
      <c r="G591" s="2"/>
      <c r="H591" s="2"/>
      <c r="I591" s="2"/>
      <c r="J591" s="2"/>
      <c r="K591" s="183"/>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row>
    <row r="592" spans="1:87" ht="14.25" customHeight="1" x14ac:dyDescent="0.25">
      <c r="A592" s="2"/>
      <c r="B592" s="2"/>
      <c r="C592" s="2"/>
      <c r="D592" s="2"/>
      <c r="E592" s="2"/>
      <c r="F592" s="2"/>
      <c r="G592" s="2"/>
      <c r="H592" s="2"/>
      <c r="I592" s="2"/>
      <c r="J592" s="2"/>
      <c r="K592" s="183"/>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row>
    <row r="593" spans="1:87" ht="14.25" customHeight="1" x14ac:dyDescent="0.25">
      <c r="A593" s="2"/>
      <c r="B593" s="2"/>
      <c r="C593" s="2"/>
      <c r="D593" s="2"/>
      <c r="E593" s="2"/>
      <c r="F593" s="2"/>
      <c r="G593" s="2"/>
      <c r="H593" s="2"/>
      <c r="I593" s="2"/>
      <c r="J593" s="2"/>
      <c r="K593" s="183"/>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row>
    <row r="594" spans="1:87" ht="14.25" customHeight="1" x14ac:dyDescent="0.25">
      <c r="A594" s="2"/>
      <c r="B594" s="2"/>
      <c r="C594" s="2"/>
      <c r="D594" s="2"/>
      <c r="E594" s="2"/>
      <c r="F594" s="2"/>
      <c r="G594" s="2"/>
      <c r="H594" s="2"/>
      <c r="I594" s="2"/>
      <c r="J594" s="2"/>
      <c r="K594" s="183"/>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row>
    <row r="595" spans="1:87" ht="14.25" customHeight="1" x14ac:dyDescent="0.25">
      <c r="A595" s="2"/>
      <c r="B595" s="2"/>
      <c r="C595" s="2"/>
      <c r="D595" s="2"/>
      <c r="E595" s="2"/>
      <c r="F595" s="2"/>
      <c r="G595" s="2"/>
      <c r="H595" s="2"/>
      <c r="I595" s="2"/>
      <c r="J595" s="2"/>
      <c r="K595" s="183"/>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row>
    <row r="596" spans="1:87" ht="14.25" customHeight="1" x14ac:dyDescent="0.25">
      <c r="A596" s="2"/>
      <c r="B596" s="2"/>
      <c r="C596" s="2"/>
      <c r="D596" s="2"/>
      <c r="E596" s="2"/>
      <c r="F596" s="2"/>
      <c r="G596" s="2"/>
      <c r="H596" s="2"/>
      <c r="I596" s="2"/>
      <c r="J596" s="2"/>
      <c r="K596" s="183"/>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row>
    <row r="597" spans="1:87" ht="14.25" customHeight="1" x14ac:dyDescent="0.25">
      <c r="A597" s="2"/>
      <c r="B597" s="2"/>
      <c r="C597" s="2"/>
      <c r="D597" s="2"/>
      <c r="E597" s="2"/>
      <c r="F597" s="2"/>
      <c r="G597" s="2"/>
      <c r="H597" s="2"/>
      <c r="I597" s="2"/>
      <c r="J597" s="2"/>
      <c r="K597" s="183"/>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row>
    <row r="598" spans="1:87" ht="14.25" customHeight="1" x14ac:dyDescent="0.25">
      <c r="A598" s="2"/>
      <c r="B598" s="2"/>
      <c r="C598" s="2"/>
      <c r="D598" s="2"/>
      <c r="E598" s="2"/>
      <c r="F598" s="2"/>
      <c r="G598" s="2"/>
      <c r="H598" s="2"/>
      <c r="I598" s="2"/>
      <c r="J598" s="2"/>
      <c r="K598" s="183"/>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row>
    <row r="599" spans="1:87" ht="14.25" customHeight="1" x14ac:dyDescent="0.25">
      <c r="A599" s="2"/>
      <c r="B599" s="2"/>
      <c r="C599" s="2"/>
      <c r="D599" s="2"/>
      <c r="E599" s="2"/>
      <c r="F599" s="2"/>
      <c r="G599" s="2"/>
      <c r="H599" s="2"/>
      <c r="I599" s="2"/>
      <c r="J599" s="2"/>
      <c r="K599" s="183"/>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row>
    <row r="600" spans="1:87" ht="14.25" customHeight="1" x14ac:dyDescent="0.25">
      <c r="A600" s="2"/>
      <c r="B600" s="2"/>
      <c r="C600" s="2"/>
      <c r="D600" s="2"/>
      <c r="E600" s="2"/>
      <c r="F600" s="2"/>
      <c r="G600" s="2"/>
      <c r="H600" s="2"/>
      <c r="I600" s="2"/>
      <c r="J600" s="2"/>
      <c r="K600" s="183"/>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row>
    <row r="601" spans="1:87" ht="14.25" customHeight="1" x14ac:dyDescent="0.25">
      <c r="A601" s="2"/>
      <c r="B601" s="2"/>
      <c r="C601" s="2"/>
      <c r="D601" s="2"/>
      <c r="E601" s="2"/>
      <c r="F601" s="2"/>
      <c r="G601" s="2"/>
      <c r="H601" s="2"/>
      <c r="I601" s="2"/>
      <c r="J601" s="2"/>
      <c r="K601" s="183"/>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row>
    <row r="602" spans="1:87" ht="14.25" customHeight="1" x14ac:dyDescent="0.25">
      <c r="A602" s="2"/>
      <c r="B602" s="2"/>
      <c r="C602" s="2"/>
      <c r="D602" s="2"/>
      <c r="E602" s="2"/>
      <c r="F602" s="2"/>
      <c r="G602" s="2"/>
      <c r="H602" s="2"/>
      <c r="I602" s="2"/>
      <c r="J602" s="2"/>
      <c r="K602" s="183"/>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row>
    <row r="603" spans="1:87" ht="14.25" customHeight="1" x14ac:dyDescent="0.25">
      <c r="A603" s="2"/>
      <c r="B603" s="2"/>
      <c r="C603" s="2"/>
      <c r="D603" s="2"/>
      <c r="E603" s="2"/>
      <c r="F603" s="2"/>
      <c r="G603" s="2"/>
      <c r="H603" s="2"/>
      <c r="I603" s="2"/>
      <c r="J603" s="2"/>
      <c r="K603" s="183"/>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row>
    <row r="604" spans="1:87" ht="14.25" customHeight="1" x14ac:dyDescent="0.25">
      <c r="A604" s="2"/>
      <c r="B604" s="2"/>
      <c r="C604" s="2"/>
      <c r="D604" s="2"/>
      <c r="E604" s="2"/>
      <c r="F604" s="2"/>
      <c r="G604" s="2"/>
      <c r="H604" s="2"/>
      <c r="I604" s="2"/>
      <c r="J604" s="2"/>
      <c r="K604" s="183"/>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row>
    <row r="605" spans="1:87" ht="14.25" customHeight="1" x14ac:dyDescent="0.25">
      <c r="A605" s="2"/>
      <c r="B605" s="2"/>
      <c r="C605" s="2"/>
      <c r="D605" s="2"/>
      <c r="E605" s="2"/>
      <c r="F605" s="2"/>
      <c r="G605" s="2"/>
      <c r="H605" s="2"/>
      <c r="I605" s="2"/>
      <c r="J605" s="2"/>
      <c r="K605" s="183"/>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row>
    <row r="606" spans="1:87" ht="14.25" customHeight="1" x14ac:dyDescent="0.25">
      <c r="A606" s="2"/>
      <c r="B606" s="2"/>
      <c r="C606" s="2"/>
      <c r="D606" s="2"/>
      <c r="E606" s="2"/>
      <c r="F606" s="2"/>
      <c r="G606" s="2"/>
      <c r="H606" s="2"/>
      <c r="I606" s="2"/>
      <c r="J606" s="2"/>
      <c r="K606" s="183"/>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row>
    <row r="607" spans="1:87" ht="14.25" customHeight="1" x14ac:dyDescent="0.25">
      <c r="A607" s="2"/>
      <c r="B607" s="2"/>
      <c r="C607" s="2"/>
      <c r="D607" s="2"/>
      <c r="E607" s="2"/>
      <c r="F607" s="2"/>
      <c r="G607" s="2"/>
      <c r="H607" s="2"/>
      <c r="I607" s="2"/>
      <c r="J607" s="2"/>
      <c r="K607" s="183"/>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row>
    <row r="608" spans="1:87" ht="14.25" customHeight="1" x14ac:dyDescent="0.25">
      <c r="A608" s="2"/>
      <c r="B608" s="2"/>
      <c r="C608" s="2"/>
      <c r="D608" s="2"/>
      <c r="E608" s="2"/>
      <c r="F608" s="2"/>
      <c r="G608" s="2"/>
      <c r="H608" s="2"/>
      <c r="I608" s="2"/>
      <c r="J608" s="2"/>
      <c r="K608" s="183"/>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row>
    <row r="609" spans="1:87" ht="14.25" customHeight="1" x14ac:dyDescent="0.25">
      <c r="A609" s="2"/>
      <c r="B609" s="2"/>
      <c r="C609" s="2"/>
      <c r="D609" s="2"/>
      <c r="E609" s="2"/>
      <c r="F609" s="2"/>
      <c r="G609" s="2"/>
      <c r="H609" s="2"/>
      <c r="I609" s="2"/>
      <c r="J609" s="2"/>
      <c r="K609" s="183"/>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row>
    <row r="610" spans="1:87" ht="14.25" customHeight="1" x14ac:dyDescent="0.25">
      <c r="A610" s="2"/>
      <c r="B610" s="2"/>
      <c r="C610" s="2"/>
      <c r="D610" s="2"/>
      <c r="E610" s="2"/>
      <c r="F610" s="2"/>
      <c r="G610" s="2"/>
      <c r="H610" s="2"/>
      <c r="I610" s="2"/>
      <c r="J610" s="2"/>
      <c r="K610" s="183"/>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row>
    <row r="611" spans="1:87" ht="14.25" customHeight="1" x14ac:dyDescent="0.25">
      <c r="A611" s="2"/>
      <c r="B611" s="2"/>
      <c r="C611" s="2"/>
      <c r="D611" s="2"/>
      <c r="E611" s="2"/>
      <c r="F611" s="2"/>
      <c r="G611" s="2"/>
      <c r="H611" s="2"/>
      <c r="I611" s="2"/>
      <c r="J611" s="2"/>
      <c r="K611" s="183"/>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row>
    <row r="612" spans="1:87" ht="14.25" customHeight="1" x14ac:dyDescent="0.25">
      <c r="A612" s="2"/>
      <c r="B612" s="2"/>
      <c r="C612" s="2"/>
      <c r="D612" s="2"/>
      <c r="E612" s="2"/>
      <c r="F612" s="2"/>
      <c r="G612" s="2"/>
      <c r="H612" s="2"/>
      <c r="I612" s="2"/>
      <c r="J612" s="2"/>
      <c r="K612" s="183"/>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row>
    <row r="613" spans="1:87" ht="14.25" customHeight="1" x14ac:dyDescent="0.25">
      <c r="A613" s="2"/>
      <c r="B613" s="2"/>
      <c r="C613" s="2"/>
      <c r="D613" s="2"/>
      <c r="E613" s="2"/>
      <c r="F613" s="2"/>
      <c r="G613" s="2"/>
      <c r="H613" s="2"/>
      <c r="I613" s="2"/>
      <c r="J613" s="2"/>
      <c r="K613" s="183"/>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row>
    <row r="614" spans="1:87" ht="14.25" customHeight="1" x14ac:dyDescent="0.25">
      <c r="A614" s="2"/>
      <c r="B614" s="2"/>
      <c r="C614" s="2"/>
      <c r="D614" s="2"/>
      <c r="E614" s="2"/>
      <c r="F614" s="2"/>
      <c r="G614" s="2"/>
      <c r="H614" s="2"/>
      <c r="I614" s="2"/>
      <c r="J614" s="2"/>
      <c r="K614" s="183"/>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row>
    <row r="615" spans="1:87" ht="14.25" customHeight="1" x14ac:dyDescent="0.25">
      <c r="A615" s="2"/>
      <c r="B615" s="2"/>
      <c r="C615" s="2"/>
      <c r="D615" s="2"/>
      <c r="E615" s="2"/>
      <c r="F615" s="2"/>
      <c r="G615" s="2"/>
      <c r="H615" s="2"/>
      <c r="I615" s="2"/>
      <c r="J615" s="2"/>
      <c r="K615" s="183"/>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row>
    <row r="616" spans="1:87" ht="14.25" customHeight="1" x14ac:dyDescent="0.25">
      <c r="A616" s="2"/>
      <c r="B616" s="2"/>
      <c r="C616" s="2"/>
      <c r="D616" s="2"/>
      <c r="E616" s="2"/>
      <c r="F616" s="2"/>
      <c r="G616" s="2"/>
      <c r="H616" s="2"/>
      <c r="I616" s="2"/>
      <c r="J616" s="2"/>
      <c r="K616" s="183"/>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row>
    <row r="617" spans="1:87" ht="14.25" customHeight="1" x14ac:dyDescent="0.25">
      <c r="A617" s="2"/>
      <c r="B617" s="2"/>
      <c r="C617" s="2"/>
      <c r="D617" s="2"/>
      <c r="E617" s="2"/>
      <c r="F617" s="2"/>
      <c r="G617" s="2"/>
      <c r="H617" s="2"/>
      <c r="I617" s="2"/>
      <c r="J617" s="2"/>
      <c r="K617" s="183"/>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row>
    <row r="618" spans="1:87" ht="14.25" customHeight="1" x14ac:dyDescent="0.25">
      <c r="A618" s="2"/>
      <c r="B618" s="2"/>
      <c r="C618" s="2"/>
      <c r="D618" s="2"/>
      <c r="E618" s="2"/>
      <c r="F618" s="2"/>
      <c r="G618" s="2"/>
      <c r="H618" s="2"/>
      <c r="I618" s="2"/>
      <c r="J618" s="2"/>
      <c r="K618" s="183"/>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row>
    <row r="619" spans="1:87" ht="14.25" customHeight="1" x14ac:dyDescent="0.25">
      <c r="A619" s="2"/>
      <c r="B619" s="2"/>
      <c r="C619" s="2"/>
      <c r="D619" s="2"/>
      <c r="E619" s="2"/>
      <c r="F619" s="2"/>
      <c r="G619" s="2"/>
      <c r="H619" s="2"/>
      <c r="I619" s="2"/>
      <c r="J619" s="2"/>
      <c r="K619" s="183"/>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row>
    <row r="620" spans="1:87" ht="14.25" customHeight="1" x14ac:dyDescent="0.25">
      <c r="A620" s="2"/>
      <c r="B620" s="2"/>
      <c r="C620" s="2"/>
      <c r="D620" s="2"/>
      <c r="E620" s="2"/>
      <c r="F620" s="2"/>
      <c r="G620" s="2"/>
      <c r="H620" s="2"/>
      <c r="I620" s="2"/>
      <c r="J620" s="2"/>
      <c r="K620" s="183"/>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row>
    <row r="621" spans="1:87" ht="14.25" customHeight="1" x14ac:dyDescent="0.25">
      <c r="A621" s="2"/>
      <c r="B621" s="2"/>
      <c r="C621" s="2"/>
      <c r="D621" s="2"/>
      <c r="E621" s="2"/>
      <c r="F621" s="2"/>
      <c r="G621" s="2"/>
      <c r="H621" s="2"/>
      <c r="I621" s="2"/>
      <c r="J621" s="2"/>
      <c r="K621" s="183"/>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row>
    <row r="622" spans="1:87" ht="14.25" customHeight="1" x14ac:dyDescent="0.25">
      <c r="A622" s="2"/>
      <c r="B622" s="2"/>
      <c r="C622" s="2"/>
      <c r="D622" s="2"/>
      <c r="E622" s="2"/>
      <c r="F622" s="2"/>
      <c r="G622" s="2"/>
      <c r="H622" s="2"/>
      <c r="I622" s="2"/>
      <c r="J622" s="2"/>
      <c r="K622" s="183"/>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row>
    <row r="623" spans="1:87" ht="14.25" customHeight="1" x14ac:dyDescent="0.25">
      <c r="A623" s="2"/>
      <c r="B623" s="2"/>
      <c r="C623" s="2"/>
      <c r="D623" s="2"/>
      <c r="E623" s="2"/>
      <c r="F623" s="2"/>
      <c r="G623" s="2"/>
      <c r="H623" s="2"/>
      <c r="I623" s="2"/>
      <c r="J623" s="2"/>
      <c r="K623" s="183"/>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row>
    <row r="624" spans="1:87" ht="14.25" customHeight="1" x14ac:dyDescent="0.25">
      <c r="A624" s="2"/>
      <c r="B624" s="2"/>
      <c r="C624" s="2"/>
      <c r="D624" s="2"/>
      <c r="E624" s="2"/>
      <c r="F624" s="2"/>
      <c r="G624" s="2"/>
      <c r="H624" s="2"/>
      <c r="I624" s="2"/>
      <c r="J624" s="2"/>
      <c r="K624" s="183"/>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row>
    <row r="625" spans="1:87" ht="14.25" customHeight="1" x14ac:dyDescent="0.25">
      <c r="A625" s="2"/>
      <c r="B625" s="2"/>
      <c r="C625" s="2"/>
      <c r="D625" s="2"/>
      <c r="E625" s="2"/>
      <c r="F625" s="2"/>
      <c r="G625" s="2"/>
      <c r="H625" s="2"/>
      <c r="I625" s="2"/>
      <c r="J625" s="2"/>
      <c r="K625" s="183"/>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row>
    <row r="626" spans="1:87" ht="14.25" customHeight="1" x14ac:dyDescent="0.25">
      <c r="A626" s="2"/>
      <c r="B626" s="2"/>
      <c r="C626" s="2"/>
      <c r="D626" s="2"/>
      <c r="E626" s="2"/>
      <c r="F626" s="2"/>
      <c r="G626" s="2"/>
      <c r="H626" s="2"/>
      <c r="I626" s="2"/>
      <c r="J626" s="2"/>
      <c r="K626" s="183"/>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row>
    <row r="627" spans="1:87" ht="14.25" customHeight="1" x14ac:dyDescent="0.25">
      <c r="A627" s="2"/>
      <c r="B627" s="2"/>
      <c r="C627" s="2"/>
      <c r="D627" s="2"/>
      <c r="E627" s="2"/>
      <c r="F627" s="2"/>
      <c r="G627" s="2"/>
      <c r="H627" s="2"/>
      <c r="I627" s="2"/>
      <c r="J627" s="2"/>
      <c r="K627" s="183"/>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row>
    <row r="628" spans="1:87" ht="14.25" customHeight="1" x14ac:dyDescent="0.25">
      <c r="A628" s="2"/>
      <c r="B628" s="2"/>
      <c r="C628" s="2"/>
      <c r="D628" s="2"/>
      <c r="E628" s="2"/>
      <c r="F628" s="2"/>
      <c r="G628" s="2"/>
      <c r="H628" s="2"/>
      <c r="I628" s="2"/>
      <c r="J628" s="2"/>
      <c r="K628" s="183"/>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row>
    <row r="629" spans="1:87" ht="14.25" customHeight="1" x14ac:dyDescent="0.25">
      <c r="A629" s="2"/>
      <c r="B629" s="2"/>
      <c r="C629" s="2"/>
      <c r="D629" s="2"/>
      <c r="E629" s="2"/>
      <c r="F629" s="2"/>
      <c r="G629" s="2"/>
      <c r="H629" s="2"/>
      <c r="I629" s="2"/>
      <c r="J629" s="2"/>
      <c r="K629" s="183"/>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row>
    <row r="630" spans="1:87" ht="14.25" customHeight="1" x14ac:dyDescent="0.25">
      <c r="A630" s="2"/>
      <c r="B630" s="2"/>
      <c r="C630" s="2"/>
      <c r="D630" s="2"/>
      <c r="E630" s="2"/>
      <c r="F630" s="2"/>
      <c r="G630" s="2"/>
      <c r="H630" s="2"/>
      <c r="I630" s="2"/>
      <c r="J630" s="2"/>
      <c r="K630" s="183"/>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row>
    <row r="631" spans="1:87" ht="14.25" customHeight="1" x14ac:dyDescent="0.25">
      <c r="A631" s="2"/>
      <c r="B631" s="2"/>
      <c r="C631" s="2"/>
      <c r="D631" s="2"/>
      <c r="E631" s="2"/>
      <c r="F631" s="2"/>
      <c r="G631" s="2"/>
      <c r="H631" s="2"/>
      <c r="I631" s="2"/>
      <c r="J631" s="2"/>
      <c r="K631" s="183"/>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row>
    <row r="632" spans="1:87" ht="14.25" customHeight="1" x14ac:dyDescent="0.25">
      <c r="A632" s="2"/>
      <c r="B632" s="2"/>
      <c r="C632" s="2"/>
      <c r="D632" s="2"/>
      <c r="E632" s="2"/>
      <c r="F632" s="2"/>
      <c r="G632" s="2"/>
      <c r="H632" s="2"/>
      <c r="I632" s="2"/>
      <c r="J632" s="2"/>
      <c r="K632" s="183"/>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row>
    <row r="633" spans="1:87" ht="14.25" customHeight="1" x14ac:dyDescent="0.25">
      <c r="A633" s="2"/>
      <c r="B633" s="2"/>
      <c r="C633" s="2"/>
      <c r="D633" s="2"/>
      <c r="E633" s="2"/>
      <c r="F633" s="2"/>
      <c r="G633" s="2"/>
      <c r="H633" s="2"/>
      <c r="I633" s="2"/>
      <c r="J633" s="2"/>
      <c r="K633" s="183"/>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row>
    <row r="634" spans="1:87" ht="14.25" customHeight="1" x14ac:dyDescent="0.25">
      <c r="A634" s="2"/>
      <c r="B634" s="2"/>
      <c r="C634" s="2"/>
      <c r="D634" s="2"/>
      <c r="E634" s="2"/>
      <c r="F634" s="2"/>
      <c r="G634" s="2"/>
      <c r="H634" s="2"/>
      <c r="I634" s="2"/>
      <c r="J634" s="2"/>
      <c r="K634" s="183"/>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row>
    <row r="635" spans="1:87" ht="14.25" customHeight="1" x14ac:dyDescent="0.25">
      <c r="A635" s="2"/>
      <c r="B635" s="2"/>
      <c r="C635" s="2"/>
      <c r="D635" s="2"/>
      <c r="E635" s="2"/>
      <c r="F635" s="2"/>
      <c r="G635" s="2"/>
      <c r="H635" s="2"/>
      <c r="I635" s="2"/>
      <c r="J635" s="2"/>
      <c r="K635" s="183"/>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row>
    <row r="636" spans="1:87" ht="14.25" customHeight="1" x14ac:dyDescent="0.25">
      <c r="A636" s="2"/>
      <c r="B636" s="2"/>
      <c r="C636" s="2"/>
      <c r="D636" s="2"/>
      <c r="E636" s="2"/>
      <c r="F636" s="2"/>
      <c r="G636" s="2"/>
      <c r="H636" s="2"/>
      <c r="I636" s="2"/>
      <c r="J636" s="2"/>
      <c r="K636" s="183"/>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row>
    <row r="637" spans="1:87" ht="14.25" customHeight="1" x14ac:dyDescent="0.25">
      <c r="A637" s="2"/>
      <c r="B637" s="2"/>
      <c r="C637" s="2"/>
      <c r="D637" s="2"/>
      <c r="E637" s="2"/>
      <c r="F637" s="2"/>
      <c r="G637" s="2"/>
      <c r="H637" s="2"/>
      <c r="I637" s="2"/>
      <c r="J637" s="2"/>
      <c r="K637" s="183"/>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row>
    <row r="638" spans="1:87" ht="14.25" customHeight="1" x14ac:dyDescent="0.25">
      <c r="A638" s="2"/>
      <c r="B638" s="2"/>
      <c r="C638" s="2"/>
      <c r="D638" s="2"/>
      <c r="E638" s="2"/>
      <c r="F638" s="2"/>
      <c r="G638" s="2"/>
      <c r="H638" s="2"/>
      <c r="I638" s="2"/>
      <c r="J638" s="2"/>
      <c r="K638" s="183"/>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row>
    <row r="639" spans="1:87" ht="14.25" customHeight="1" x14ac:dyDescent="0.25">
      <c r="A639" s="2"/>
      <c r="B639" s="2"/>
      <c r="C639" s="2"/>
      <c r="D639" s="2"/>
      <c r="E639" s="2"/>
      <c r="F639" s="2"/>
      <c r="G639" s="2"/>
      <c r="H639" s="2"/>
      <c r="I639" s="2"/>
      <c r="J639" s="2"/>
      <c r="K639" s="183"/>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row>
    <row r="640" spans="1:87" ht="14.25" customHeight="1" x14ac:dyDescent="0.25">
      <c r="A640" s="2"/>
      <c r="B640" s="2"/>
      <c r="C640" s="2"/>
      <c r="D640" s="2"/>
      <c r="E640" s="2"/>
      <c r="F640" s="2"/>
      <c r="G640" s="2"/>
      <c r="H640" s="2"/>
      <c r="I640" s="2"/>
      <c r="J640" s="2"/>
      <c r="K640" s="183"/>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row>
    <row r="641" spans="1:87" ht="14.25" customHeight="1" x14ac:dyDescent="0.25">
      <c r="A641" s="2"/>
      <c r="B641" s="2"/>
      <c r="C641" s="2"/>
      <c r="D641" s="2"/>
      <c r="E641" s="2"/>
      <c r="F641" s="2"/>
      <c r="G641" s="2"/>
      <c r="H641" s="2"/>
      <c r="I641" s="2"/>
      <c r="J641" s="2"/>
      <c r="K641" s="183"/>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row>
    <row r="642" spans="1:87" ht="14.25" customHeight="1" x14ac:dyDescent="0.25">
      <c r="A642" s="2"/>
      <c r="B642" s="2"/>
      <c r="C642" s="2"/>
      <c r="D642" s="2"/>
      <c r="E642" s="2"/>
      <c r="F642" s="2"/>
      <c r="G642" s="2"/>
      <c r="H642" s="2"/>
      <c r="I642" s="2"/>
      <c r="J642" s="2"/>
      <c r="K642" s="183"/>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row>
    <row r="643" spans="1:87" ht="14.25" customHeight="1" x14ac:dyDescent="0.25">
      <c r="A643" s="2"/>
      <c r="B643" s="2"/>
      <c r="C643" s="2"/>
      <c r="D643" s="2"/>
      <c r="E643" s="2"/>
      <c r="F643" s="2"/>
      <c r="G643" s="2"/>
      <c r="H643" s="2"/>
      <c r="I643" s="2"/>
      <c r="J643" s="2"/>
      <c r="K643" s="183"/>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row>
    <row r="644" spans="1:87" ht="14.25" customHeight="1" x14ac:dyDescent="0.25">
      <c r="A644" s="2"/>
      <c r="B644" s="2"/>
      <c r="C644" s="2"/>
      <c r="D644" s="2"/>
      <c r="E644" s="2"/>
      <c r="F644" s="2"/>
      <c r="G644" s="2"/>
      <c r="H644" s="2"/>
      <c r="I644" s="2"/>
      <c r="J644" s="2"/>
      <c r="K644" s="183"/>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row>
    <row r="645" spans="1:87" ht="14.25" customHeight="1" x14ac:dyDescent="0.25">
      <c r="A645" s="2"/>
      <c r="B645" s="2"/>
      <c r="C645" s="2"/>
      <c r="D645" s="2"/>
      <c r="E645" s="2"/>
      <c r="F645" s="2"/>
      <c r="G645" s="2"/>
      <c r="H645" s="2"/>
      <c r="I645" s="2"/>
      <c r="J645" s="2"/>
      <c r="K645" s="183"/>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row>
    <row r="646" spans="1:87" ht="14.25" customHeight="1" x14ac:dyDescent="0.25">
      <c r="A646" s="2"/>
      <c r="B646" s="2"/>
      <c r="C646" s="2"/>
      <c r="D646" s="2"/>
      <c r="E646" s="2"/>
      <c r="F646" s="2"/>
      <c r="G646" s="2"/>
      <c r="H646" s="2"/>
      <c r="I646" s="2"/>
      <c r="J646" s="2"/>
      <c r="K646" s="183"/>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row>
    <row r="647" spans="1:87" ht="14.25" customHeight="1" x14ac:dyDescent="0.25">
      <c r="A647" s="2"/>
      <c r="B647" s="2"/>
      <c r="C647" s="2"/>
      <c r="D647" s="2"/>
      <c r="E647" s="2"/>
      <c r="F647" s="2"/>
      <c r="G647" s="2"/>
      <c r="H647" s="2"/>
      <c r="I647" s="2"/>
      <c r="J647" s="2"/>
      <c r="K647" s="183"/>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row>
    <row r="648" spans="1:87" ht="14.25" customHeight="1" x14ac:dyDescent="0.25">
      <c r="A648" s="2"/>
      <c r="B648" s="2"/>
      <c r="C648" s="2"/>
      <c r="D648" s="2"/>
      <c r="E648" s="2"/>
      <c r="F648" s="2"/>
      <c r="G648" s="2"/>
      <c r="H648" s="2"/>
      <c r="I648" s="2"/>
      <c r="J648" s="2"/>
      <c r="K648" s="183"/>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row>
    <row r="649" spans="1:87" ht="14.25" customHeight="1" x14ac:dyDescent="0.25">
      <c r="A649" s="2"/>
      <c r="B649" s="2"/>
      <c r="C649" s="2"/>
      <c r="D649" s="2"/>
      <c r="E649" s="2"/>
      <c r="F649" s="2"/>
      <c r="G649" s="2"/>
      <c r="H649" s="2"/>
      <c r="I649" s="2"/>
      <c r="J649" s="2"/>
      <c r="K649" s="183"/>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row>
    <row r="650" spans="1:87" ht="14.25" customHeight="1" x14ac:dyDescent="0.25">
      <c r="A650" s="2"/>
      <c r="B650" s="2"/>
      <c r="C650" s="2"/>
      <c r="D650" s="2"/>
      <c r="E650" s="2"/>
      <c r="F650" s="2"/>
      <c r="G650" s="2"/>
      <c r="H650" s="2"/>
      <c r="I650" s="2"/>
      <c r="J650" s="2"/>
      <c r="K650" s="183"/>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row>
    <row r="651" spans="1:87" ht="14.25" customHeight="1" x14ac:dyDescent="0.25">
      <c r="A651" s="2"/>
      <c r="B651" s="2"/>
      <c r="C651" s="2"/>
      <c r="D651" s="2"/>
      <c r="E651" s="2"/>
      <c r="F651" s="2"/>
      <c r="G651" s="2"/>
      <c r="H651" s="2"/>
      <c r="I651" s="2"/>
      <c r="J651" s="2"/>
      <c r="K651" s="183"/>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row>
    <row r="652" spans="1:87" ht="14.25" customHeight="1" x14ac:dyDescent="0.25">
      <c r="A652" s="2"/>
      <c r="B652" s="2"/>
      <c r="C652" s="2"/>
      <c r="D652" s="2"/>
      <c r="E652" s="2"/>
      <c r="F652" s="2"/>
      <c r="G652" s="2"/>
      <c r="H652" s="2"/>
      <c r="I652" s="2"/>
      <c r="J652" s="2"/>
      <c r="K652" s="183"/>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row>
    <row r="653" spans="1:87" ht="14.25" customHeight="1" x14ac:dyDescent="0.25">
      <c r="A653" s="2"/>
      <c r="B653" s="2"/>
      <c r="C653" s="2"/>
      <c r="D653" s="2"/>
      <c r="E653" s="2"/>
      <c r="F653" s="2"/>
      <c r="G653" s="2"/>
      <c r="H653" s="2"/>
      <c r="I653" s="2"/>
      <c r="J653" s="2"/>
      <c r="K653" s="183"/>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row>
    <row r="654" spans="1:87" ht="14.25" customHeight="1" x14ac:dyDescent="0.25">
      <c r="A654" s="2"/>
      <c r="B654" s="2"/>
      <c r="C654" s="2"/>
      <c r="D654" s="2"/>
      <c r="E654" s="2"/>
      <c r="F654" s="2"/>
      <c r="G654" s="2"/>
      <c r="H654" s="2"/>
      <c r="I654" s="2"/>
      <c r="J654" s="2"/>
      <c r="K654" s="183"/>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row>
    <row r="655" spans="1:87" ht="14.25" customHeight="1" x14ac:dyDescent="0.25">
      <c r="A655" s="2"/>
      <c r="B655" s="2"/>
      <c r="C655" s="2"/>
      <c r="D655" s="2"/>
      <c r="E655" s="2"/>
      <c r="F655" s="2"/>
      <c r="G655" s="2"/>
      <c r="H655" s="2"/>
      <c r="I655" s="2"/>
      <c r="J655" s="2"/>
      <c r="K655" s="183"/>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row>
    <row r="656" spans="1:87" ht="14.25" customHeight="1" x14ac:dyDescent="0.25">
      <c r="A656" s="2"/>
      <c r="B656" s="2"/>
      <c r="C656" s="2"/>
      <c r="D656" s="2"/>
      <c r="E656" s="2"/>
      <c r="F656" s="2"/>
      <c r="G656" s="2"/>
      <c r="H656" s="2"/>
      <c r="I656" s="2"/>
      <c r="J656" s="2"/>
      <c r="K656" s="183"/>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row>
    <row r="657" spans="1:87" ht="14.25" customHeight="1" x14ac:dyDescent="0.25">
      <c r="A657" s="2"/>
      <c r="B657" s="2"/>
      <c r="C657" s="2"/>
      <c r="D657" s="2"/>
      <c r="E657" s="2"/>
      <c r="F657" s="2"/>
      <c r="G657" s="2"/>
      <c r="H657" s="2"/>
      <c r="I657" s="2"/>
      <c r="J657" s="2"/>
      <c r="K657" s="183"/>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row>
    <row r="658" spans="1:87" ht="14.25" customHeight="1" x14ac:dyDescent="0.25">
      <c r="A658" s="2"/>
      <c r="B658" s="2"/>
      <c r="C658" s="2"/>
      <c r="D658" s="2"/>
      <c r="E658" s="2"/>
      <c r="F658" s="2"/>
      <c r="G658" s="2"/>
      <c r="H658" s="2"/>
      <c r="I658" s="2"/>
      <c r="J658" s="2"/>
      <c r="K658" s="183"/>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row>
    <row r="659" spans="1:87" ht="14.25" customHeight="1" x14ac:dyDescent="0.25">
      <c r="A659" s="2"/>
      <c r="B659" s="2"/>
      <c r="C659" s="2"/>
      <c r="D659" s="2"/>
      <c r="E659" s="2"/>
      <c r="F659" s="2"/>
      <c r="G659" s="2"/>
      <c r="H659" s="2"/>
      <c r="I659" s="2"/>
      <c r="J659" s="2"/>
      <c r="K659" s="183"/>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row>
    <row r="660" spans="1:87" ht="14.25" customHeight="1" x14ac:dyDescent="0.25">
      <c r="A660" s="2"/>
      <c r="B660" s="2"/>
      <c r="C660" s="2"/>
      <c r="D660" s="2"/>
      <c r="E660" s="2"/>
      <c r="F660" s="2"/>
      <c r="G660" s="2"/>
      <c r="H660" s="2"/>
      <c r="I660" s="2"/>
      <c r="J660" s="2"/>
      <c r="K660" s="183"/>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row>
    <row r="661" spans="1:87" ht="14.25" customHeight="1" x14ac:dyDescent="0.25">
      <c r="A661" s="2"/>
      <c r="B661" s="2"/>
      <c r="C661" s="2"/>
      <c r="D661" s="2"/>
      <c r="E661" s="2"/>
      <c r="F661" s="2"/>
      <c r="G661" s="2"/>
      <c r="H661" s="2"/>
      <c r="I661" s="2"/>
      <c r="J661" s="2"/>
      <c r="K661" s="183"/>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row>
    <row r="662" spans="1:87" ht="14.25" customHeight="1" x14ac:dyDescent="0.25">
      <c r="A662" s="2"/>
      <c r="B662" s="2"/>
      <c r="C662" s="2"/>
      <c r="D662" s="2"/>
      <c r="E662" s="2"/>
      <c r="F662" s="2"/>
      <c r="G662" s="2"/>
      <c r="H662" s="2"/>
      <c r="I662" s="2"/>
      <c r="J662" s="2"/>
      <c r="K662" s="183"/>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row>
    <row r="663" spans="1:87" ht="14.25" customHeight="1" x14ac:dyDescent="0.25">
      <c r="A663" s="2"/>
      <c r="B663" s="2"/>
      <c r="C663" s="2"/>
      <c r="D663" s="2"/>
      <c r="E663" s="2"/>
      <c r="F663" s="2"/>
      <c r="G663" s="2"/>
      <c r="H663" s="2"/>
      <c r="I663" s="2"/>
      <c r="J663" s="2"/>
      <c r="K663" s="183"/>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row>
    <row r="664" spans="1:87" ht="14.25" customHeight="1" x14ac:dyDescent="0.25">
      <c r="A664" s="2"/>
      <c r="B664" s="2"/>
      <c r="C664" s="2"/>
      <c r="D664" s="2"/>
      <c r="E664" s="2"/>
      <c r="F664" s="2"/>
      <c r="G664" s="2"/>
      <c r="H664" s="2"/>
      <c r="I664" s="2"/>
      <c r="J664" s="2"/>
      <c r="K664" s="183"/>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row>
    <row r="665" spans="1:87" ht="14.25" customHeight="1" x14ac:dyDescent="0.25">
      <c r="A665" s="2"/>
      <c r="B665" s="2"/>
      <c r="C665" s="2"/>
      <c r="D665" s="2"/>
      <c r="E665" s="2"/>
      <c r="F665" s="2"/>
      <c r="G665" s="2"/>
      <c r="H665" s="2"/>
      <c r="I665" s="2"/>
      <c r="J665" s="2"/>
      <c r="K665" s="183"/>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row>
    <row r="666" spans="1:87" ht="14.25" customHeight="1" x14ac:dyDescent="0.25">
      <c r="A666" s="2"/>
      <c r="B666" s="2"/>
      <c r="C666" s="2"/>
      <c r="D666" s="2"/>
      <c r="E666" s="2"/>
      <c r="F666" s="2"/>
      <c r="G666" s="2"/>
      <c r="H666" s="2"/>
      <c r="I666" s="2"/>
      <c r="J666" s="2"/>
      <c r="K666" s="183"/>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row>
    <row r="667" spans="1:87" ht="14.25" customHeight="1" x14ac:dyDescent="0.25">
      <c r="A667" s="2"/>
      <c r="B667" s="2"/>
      <c r="C667" s="2"/>
      <c r="D667" s="2"/>
      <c r="E667" s="2"/>
      <c r="F667" s="2"/>
      <c r="G667" s="2"/>
      <c r="H667" s="2"/>
      <c r="I667" s="2"/>
      <c r="J667" s="2"/>
      <c r="K667" s="183"/>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row>
    <row r="668" spans="1:87" ht="14.25" customHeight="1" x14ac:dyDescent="0.25">
      <c r="A668" s="2"/>
      <c r="B668" s="2"/>
      <c r="C668" s="2"/>
      <c r="D668" s="2"/>
      <c r="E668" s="2"/>
      <c r="F668" s="2"/>
      <c r="G668" s="2"/>
      <c r="H668" s="2"/>
      <c r="I668" s="2"/>
      <c r="J668" s="2"/>
      <c r="K668" s="183"/>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row>
    <row r="669" spans="1:87" ht="14.25" customHeight="1" x14ac:dyDescent="0.25">
      <c r="A669" s="2"/>
      <c r="B669" s="2"/>
      <c r="C669" s="2"/>
      <c r="D669" s="2"/>
      <c r="E669" s="2"/>
      <c r="F669" s="2"/>
      <c r="G669" s="2"/>
      <c r="H669" s="2"/>
      <c r="I669" s="2"/>
      <c r="J669" s="2"/>
      <c r="K669" s="183"/>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row>
    <row r="670" spans="1:87" ht="14.25" customHeight="1" x14ac:dyDescent="0.25">
      <c r="A670" s="2"/>
      <c r="B670" s="2"/>
      <c r="C670" s="2"/>
      <c r="D670" s="2"/>
      <c r="E670" s="2"/>
      <c r="F670" s="2"/>
      <c r="G670" s="2"/>
      <c r="H670" s="2"/>
      <c r="I670" s="2"/>
      <c r="J670" s="2"/>
      <c r="K670" s="183"/>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row>
    <row r="671" spans="1:87" ht="14.25" customHeight="1" x14ac:dyDescent="0.25">
      <c r="A671" s="2"/>
      <c r="B671" s="2"/>
      <c r="C671" s="2"/>
      <c r="D671" s="2"/>
      <c r="E671" s="2"/>
      <c r="F671" s="2"/>
      <c r="G671" s="2"/>
      <c r="H671" s="2"/>
      <c r="I671" s="2"/>
      <c r="J671" s="2"/>
      <c r="K671" s="183"/>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row>
    <row r="672" spans="1:87" ht="14.25" customHeight="1" x14ac:dyDescent="0.25">
      <c r="A672" s="2"/>
      <c r="B672" s="2"/>
      <c r="C672" s="2"/>
      <c r="D672" s="2"/>
      <c r="E672" s="2"/>
      <c r="F672" s="2"/>
      <c r="G672" s="2"/>
      <c r="H672" s="2"/>
      <c r="I672" s="2"/>
      <c r="J672" s="2"/>
      <c r="K672" s="183"/>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row>
    <row r="673" spans="1:87" ht="14.25" customHeight="1" x14ac:dyDescent="0.25">
      <c r="A673" s="2"/>
      <c r="B673" s="2"/>
      <c r="C673" s="2"/>
      <c r="D673" s="2"/>
      <c r="E673" s="2"/>
      <c r="F673" s="2"/>
      <c r="G673" s="2"/>
      <c r="H673" s="2"/>
      <c r="I673" s="2"/>
      <c r="J673" s="2"/>
      <c r="K673" s="183"/>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row>
    <row r="674" spans="1:87" ht="14.25" customHeight="1" x14ac:dyDescent="0.25">
      <c r="A674" s="2"/>
      <c r="B674" s="2"/>
      <c r="C674" s="2"/>
      <c r="D674" s="2"/>
      <c r="E674" s="2"/>
      <c r="F674" s="2"/>
      <c r="G674" s="2"/>
      <c r="H674" s="2"/>
      <c r="I674" s="2"/>
      <c r="J674" s="2"/>
      <c r="K674" s="183"/>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row>
    <row r="675" spans="1:87" ht="14.25" customHeight="1" x14ac:dyDescent="0.25">
      <c r="A675" s="2"/>
      <c r="B675" s="2"/>
      <c r="C675" s="2"/>
      <c r="D675" s="2"/>
      <c r="E675" s="2"/>
      <c r="F675" s="2"/>
      <c r="G675" s="2"/>
      <c r="H675" s="2"/>
      <c r="I675" s="2"/>
      <c r="J675" s="2"/>
      <c r="K675" s="183"/>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row>
    <row r="676" spans="1:87" ht="14.25" customHeight="1" x14ac:dyDescent="0.25">
      <c r="A676" s="2"/>
      <c r="B676" s="2"/>
      <c r="C676" s="2"/>
      <c r="D676" s="2"/>
      <c r="E676" s="2"/>
      <c r="F676" s="2"/>
      <c r="G676" s="2"/>
      <c r="H676" s="2"/>
      <c r="I676" s="2"/>
      <c r="J676" s="2"/>
      <c r="K676" s="183"/>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row>
    <row r="677" spans="1:87" ht="14.25" customHeight="1" x14ac:dyDescent="0.25">
      <c r="A677" s="2"/>
      <c r="B677" s="2"/>
      <c r="C677" s="2"/>
      <c r="D677" s="2"/>
      <c r="E677" s="2"/>
      <c r="F677" s="2"/>
      <c r="G677" s="2"/>
      <c r="H677" s="2"/>
      <c r="I677" s="2"/>
      <c r="J677" s="2"/>
      <c r="K677" s="183"/>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row>
    <row r="678" spans="1:87" ht="14.25" customHeight="1" x14ac:dyDescent="0.25">
      <c r="A678" s="2"/>
      <c r="B678" s="2"/>
      <c r="C678" s="2"/>
      <c r="D678" s="2"/>
      <c r="E678" s="2"/>
      <c r="F678" s="2"/>
      <c r="G678" s="2"/>
      <c r="H678" s="2"/>
      <c r="I678" s="2"/>
      <c r="J678" s="2"/>
      <c r="K678" s="183"/>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row>
    <row r="679" spans="1:87" ht="14.25" customHeight="1" x14ac:dyDescent="0.25">
      <c r="A679" s="2"/>
      <c r="B679" s="2"/>
      <c r="C679" s="2"/>
      <c r="D679" s="2"/>
      <c r="E679" s="2"/>
      <c r="F679" s="2"/>
      <c r="G679" s="2"/>
      <c r="H679" s="2"/>
      <c r="I679" s="2"/>
      <c r="J679" s="2"/>
      <c r="K679" s="183"/>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row>
    <row r="680" spans="1:87" ht="14.25" customHeight="1" x14ac:dyDescent="0.25">
      <c r="A680" s="2"/>
      <c r="B680" s="2"/>
      <c r="C680" s="2"/>
      <c r="D680" s="2"/>
      <c r="E680" s="2"/>
      <c r="F680" s="2"/>
      <c r="G680" s="2"/>
      <c r="H680" s="2"/>
      <c r="I680" s="2"/>
      <c r="J680" s="2"/>
      <c r="K680" s="183"/>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row>
    <row r="681" spans="1:87" ht="14.25" customHeight="1" x14ac:dyDescent="0.25">
      <c r="A681" s="2"/>
      <c r="B681" s="2"/>
      <c r="C681" s="2"/>
      <c r="D681" s="2"/>
      <c r="E681" s="2"/>
      <c r="F681" s="2"/>
      <c r="G681" s="2"/>
      <c r="H681" s="2"/>
      <c r="I681" s="2"/>
      <c r="J681" s="2"/>
      <c r="K681" s="183"/>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row>
    <row r="682" spans="1:87" ht="14.25" customHeight="1" x14ac:dyDescent="0.25">
      <c r="A682" s="2"/>
      <c r="B682" s="2"/>
      <c r="C682" s="2"/>
      <c r="D682" s="2"/>
      <c r="E682" s="2"/>
      <c r="F682" s="2"/>
      <c r="G682" s="2"/>
      <c r="H682" s="2"/>
      <c r="I682" s="2"/>
      <c r="J682" s="2"/>
      <c r="K682" s="183"/>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row>
    <row r="683" spans="1:87" ht="14.25" customHeight="1" x14ac:dyDescent="0.25">
      <c r="A683" s="2"/>
      <c r="B683" s="2"/>
      <c r="C683" s="2"/>
      <c r="D683" s="2"/>
      <c r="E683" s="2"/>
      <c r="F683" s="2"/>
      <c r="G683" s="2"/>
      <c r="H683" s="2"/>
      <c r="I683" s="2"/>
      <c r="J683" s="2"/>
      <c r="K683" s="183"/>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row>
    <row r="684" spans="1:87" ht="14.25" customHeight="1" x14ac:dyDescent="0.25">
      <c r="A684" s="2"/>
      <c r="B684" s="2"/>
      <c r="C684" s="2"/>
      <c r="D684" s="2"/>
      <c r="E684" s="2"/>
      <c r="F684" s="2"/>
      <c r="G684" s="2"/>
      <c r="H684" s="2"/>
      <c r="I684" s="2"/>
      <c r="J684" s="2"/>
      <c r="K684" s="183"/>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row>
    <row r="685" spans="1:87" ht="14.25" customHeight="1" x14ac:dyDescent="0.25">
      <c r="A685" s="2"/>
      <c r="B685" s="2"/>
      <c r="C685" s="2"/>
      <c r="D685" s="2"/>
      <c r="E685" s="2"/>
      <c r="F685" s="2"/>
      <c r="G685" s="2"/>
      <c r="H685" s="2"/>
      <c r="I685" s="2"/>
      <c r="J685" s="2"/>
      <c r="K685" s="183"/>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row>
    <row r="686" spans="1:87" ht="14.25" customHeight="1" x14ac:dyDescent="0.25">
      <c r="A686" s="2"/>
      <c r="B686" s="2"/>
      <c r="C686" s="2"/>
      <c r="D686" s="2"/>
      <c r="E686" s="2"/>
      <c r="F686" s="2"/>
      <c r="G686" s="2"/>
      <c r="H686" s="2"/>
      <c r="I686" s="2"/>
      <c r="J686" s="2"/>
      <c r="K686" s="183"/>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row>
    <row r="687" spans="1:87" ht="14.25" customHeight="1" x14ac:dyDescent="0.25">
      <c r="A687" s="2"/>
      <c r="B687" s="2"/>
      <c r="C687" s="2"/>
      <c r="D687" s="2"/>
      <c r="E687" s="2"/>
      <c r="F687" s="2"/>
      <c r="G687" s="2"/>
      <c r="H687" s="2"/>
      <c r="I687" s="2"/>
      <c r="J687" s="2"/>
      <c r="K687" s="183"/>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row>
    <row r="688" spans="1:87" ht="14.25" customHeight="1" x14ac:dyDescent="0.25">
      <c r="A688" s="2"/>
      <c r="B688" s="2"/>
      <c r="C688" s="2"/>
      <c r="D688" s="2"/>
      <c r="E688" s="2"/>
      <c r="F688" s="2"/>
      <c r="G688" s="2"/>
      <c r="H688" s="2"/>
      <c r="I688" s="2"/>
      <c r="J688" s="2"/>
      <c r="K688" s="183"/>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row>
    <row r="689" spans="1:87" ht="14.25" customHeight="1" x14ac:dyDescent="0.25">
      <c r="A689" s="2"/>
      <c r="B689" s="2"/>
      <c r="C689" s="2"/>
      <c r="D689" s="2"/>
      <c r="E689" s="2"/>
      <c r="F689" s="2"/>
      <c r="G689" s="2"/>
      <c r="H689" s="2"/>
      <c r="I689" s="2"/>
      <c r="J689" s="2"/>
      <c r="K689" s="183"/>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row>
    <row r="690" spans="1:87" ht="14.25" customHeight="1" x14ac:dyDescent="0.25">
      <c r="A690" s="2"/>
      <c r="B690" s="2"/>
      <c r="C690" s="2"/>
      <c r="D690" s="2"/>
      <c r="E690" s="2"/>
      <c r="F690" s="2"/>
      <c r="G690" s="2"/>
      <c r="H690" s="2"/>
      <c r="I690" s="2"/>
      <c r="J690" s="2"/>
      <c r="K690" s="183"/>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row>
    <row r="691" spans="1:87" ht="14.25" customHeight="1" x14ac:dyDescent="0.25">
      <c r="A691" s="2"/>
      <c r="B691" s="2"/>
      <c r="C691" s="2"/>
      <c r="D691" s="2"/>
      <c r="E691" s="2"/>
      <c r="F691" s="2"/>
      <c r="G691" s="2"/>
      <c r="H691" s="2"/>
      <c r="I691" s="2"/>
      <c r="J691" s="2"/>
      <c r="K691" s="183"/>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row>
    <row r="692" spans="1:87" ht="14.25" customHeight="1" x14ac:dyDescent="0.25">
      <c r="A692" s="2"/>
      <c r="B692" s="2"/>
      <c r="C692" s="2"/>
      <c r="D692" s="2"/>
      <c r="E692" s="2"/>
      <c r="F692" s="2"/>
      <c r="G692" s="2"/>
      <c r="H692" s="2"/>
      <c r="I692" s="2"/>
      <c r="J692" s="2"/>
      <c r="K692" s="183"/>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row>
    <row r="693" spans="1:87" ht="14.25" customHeight="1" x14ac:dyDescent="0.25">
      <c r="A693" s="2"/>
      <c r="B693" s="2"/>
      <c r="C693" s="2"/>
      <c r="D693" s="2"/>
      <c r="E693" s="2"/>
      <c r="F693" s="2"/>
      <c r="G693" s="2"/>
      <c r="H693" s="2"/>
      <c r="I693" s="2"/>
      <c r="J693" s="2"/>
      <c r="K693" s="183"/>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row>
    <row r="694" spans="1:87" ht="14.25" customHeight="1" x14ac:dyDescent="0.25">
      <c r="A694" s="2"/>
      <c r="B694" s="2"/>
      <c r="C694" s="2"/>
      <c r="D694" s="2"/>
      <c r="E694" s="2"/>
      <c r="F694" s="2"/>
      <c r="G694" s="2"/>
      <c r="H694" s="2"/>
      <c r="I694" s="2"/>
      <c r="J694" s="2"/>
      <c r="K694" s="183"/>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row>
    <row r="695" spans="1:87" ht="14.25" customHeight="1" x14ac:dyDescent="0.25">
      <c r="A695" s="2"/>
      <c r="B695" s="2"/>
      <c r="C695" s="2"/>
      <c r="D695" s="2"/>
      <c r="E695" s="2"/>
      <c r="F695" s="2"/>
      <c r="G695" s="2"/>
      <c r="H695" s="2"/>
      <c r="I695" s="2"/>
      <c r="J695" s="2"/>
      <c r="K695" s="183"/>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row>
    <row r="696" spans="1:87" ht="14.25" customHeight="1" x14ac:dyDescent="0.25">
      <c r="A696" s="2"/>
      <c r="B696" s="2"/>
      <c r="C696" s="2"/>
      <c r="D696" s="2"/>
      <c r="E696" s="2"/>
      <c r="F696" s="2"/>
      <c r="G696" s="2"/>
      <c r="H696" s="2"/>
      <c r="I696" s="2"/>
      <c r="J696" s="2"/>
      <c r="K696" s="183"/>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row>
    <row r="697" spans="1:87" ht="14.25" customHeight="1" x14ac:dyDescent="0.25">
      <c r="A697" s="2"/>
      <c r="B697" s="2"/>
      <c r="C697" s="2"/>
      <c r="D697" s="2"/>
      <c r="E697" s="2"/>
      <c r="F697" s="2"/>
      <c r="G697" s="2"/>
      <c r="H697" s="2"/>
      <c r="I697" s="2"/>
      <c r="J697" s="2"/>
      <c r="K697" s="183"/>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row>
    <row r="698" spans="1:87" ht="14.25" customHeight="1" x14ac:dyDescent="0.25">
      <c r="A698" s="2"/>
      <c r="B698" s="2"/>
      <c r="C698" s="2"/>
      <c r="D698" s="2"/>
      <c r="E698" s="2"/>
      <c r="F698" s="2"/>
      <c r="G698" s="2"/>
      <c r="H698" s="2"/>
      <c r="I698" s="2"/>
      <c r="J698" s="2"/>
      <c r="K698" s="183"/>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row>
    <row r="699" spans="1:87" ht="14.25" customHeight="1" x14ac:dyDescent="0.25">
      <c r="A699" s="2"/>
      <c r="B699" s="2"/>
      <c r="C699" s="2"/>
      <c r="D699" s="2"/>
      <c r="E699" s="2"/>
      <c r="F699" s="2"/>
      <c r="G699" s="2"/>
      <c r="H699" s="2"/>
      <c r="I699" s="2"/>
      <c r="J699" s="2"/>
      <c r="K699" s="183"/>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row>
    <row r="700" spans="1:87" ht="14.25" customHeight="1" x14ac:dyDescent="0.25">
      <c r="A700" s="2"/>
      <c r="B700" s="2"/>
      <c r="C700" s="2"/>
      <c r="D700" s="2"/>
      <c r="E700" s="2"/>
      <c r="F700" s="2"/>
      <c r="G700" s="2"/>
      <c r="H700" s="2"/>
      <c r="I700" s="2"/>
      <c r="J700" s="2"/>
      <c r="K700" s="183"/>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row>
    <row r="701" spans="1:87" ht="14.25" customHeight="1" x14ac:dyDescent="0.25">
      <c r="A701" s="2"/>
      <c r="B701" s="2"/>
      <c r="C701" s="2"/>
      <c r="D701" s="2"/>
      <c r="E701" s="2"/>
      <c r="F701" s="2"/>
      <c r="G701" s="2"/>
      <c r="H701" s="2"/>
      <c r="I701" s="2"/>
      <c r="J701" s="2"/>
      <c r="K701" s="183"/>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row>
    <row r="702" spans="1:87" ht="14.25" customHeight="1" x14ac:dyDescent="0.25">
      <c r="A702" s="2"/>
      <c r="B702" s="2"/>
      <c r="C702" s="2"/>
      <c r="D702" s="2"/>
      <c r="E702" s="2"/>
      <c r="F702" s="2"/>
      <c r="G702" s="2"/>
      <c r="H702" s="2"/>
      <c r="I702" s="2"/>
      <c r="J702" s="2"/>
      <c r="K702" s="183"/>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row>
    <row r="703" spans="1:87" ht="14.25" customHeight="1" x14ac:dyDescent="0.25">
      <c r="A703" s="2"/>
      <c r="B703" s="2"/>
      <c r="C703" s="2"/>
      <c r="D703" s="2"/>
      <c r="E703" s="2"/>
      <c r="F703" s="2"/>
      <c r="G703" s="2"/>
      <c r="H703" s="2"/>
      <c r="I703" s="2"/>
      <c r="J703" s="2"/>
      <c r="K703" s="183"/>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row>
    <row r="704" spans="1:87" ht="14.25" customHeight="1" x14ac:dyDescent="0.25">
      <c r="A704" s="2"/>
      <c r="B704" s="2"/>
      <c r="C704" s="2"/>
      <c r="D704" s="2"/>
      <c r="E704" s="2"/>
      <c r="F704" s="2"/>
      <c r="G704" s="2"/>
      <c r="H704" s="2"/>
      <c r="I704" s="2"/>
      <c r="J704" s="2"/>
      <c r="K704" s="183"/>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row>
    <row r="705" spans="1:87" ht="14.25" customHeight="1" x14ac:dyDescent="0.25">
      <c r="A705" s="2"/>
      <c r="B705" s="2"/>
      <c r="C705" s="2"/>
      <c r="D705" s="2"/>
      <c r="E705" s="2"/>
      <c r="F705" s="2"/>
      <c r="G705" s="2"/>
      <c r="H705" s="2"/>
      <c r="I705" s="2"/>
      <c r="J705" s="2"/>
      <c r="K705" s="183"/>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row>
    <row r="706" spans="1:87" ht="14.25" customHeight="1" x14ac:dyDescent="0.25">
      <c r="A706" s="2"/>
      <c r="B706" s="2"/>
      <c r="C706" s="2"/>
      <c r="D706" s="2"/>
      <c r="E706" s="2"/>
      <c r="F706" s="2"/>
      <c r="G706" s="2"/>
      <c r="H706" s="2"/>
      <c r="I706" s="2"/>
      <c r="J706" s="2"/>
      <c r="K706" s="183"/>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row>
    <row r="707" spans="1:87" ht="14.25" customHeight="1" x14ac:dyDescent="0.25">
      <c r="A707" s="2"/>
      <c r="B707" s="2"/>
      <c r="C707" s="2"/>
      <c r="D707" s="2"/>
      <c r="E707" s="2"/>
      <c r="F707" s="2"/>
      <c r="G707" s="2"/>
      <c r="H707" s="2"/>
      <c r="I707" s="2"/>
      <c r="J707" s="2"/>
      <c r="K707" s="183"/>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row>
    <row r="708" spans="1:87" ht="14.25" customHeight="1" x14ac:dyDescent="0.25">
      <c r="A708" s="2"/>
      <c r="B708" s="2"/>
      <c r="C708" s="2"/>
      <c r="D708" s="2"/>
      <c r="E708" s="2"/>
      <c r="F708" s="2"/>
      <c r="G708" s="2"/>
      <c r="H708" s="2"/>
      <c r="I708" s="2"/>
      <c r="J708" s="2"/>
      <c r="K708" s="183"/>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row>
    <row r="709" spans="1:87" ht="14.25" customHeight="1" x14ac:dyDescent="0.25">
      <c r="A709" s="2"/>
      <c r="B709" s="2"/>
      <c r="C709" s="2"/>
      <c r="D709" s="2"/>
      <c r="E709" s="2"/>
      <c r="F709" s="2"/>
      <c r="G709" s="2"/>
      <c r="H709" s="2"/>
      <c r="I709" s="2"/>
      <c r="J709" s="2"/>
      <c r="K709" s="183"/>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row>
    <row r="710" spans="1:87" ht="14.25" customHeight="1" x14ac:dyDescent="0.25">
      <c r="A710" s="2"/>
      <c r="B710" s="2"/>
      <c r="C710" s="2"/>
      <c r="D710" s="2"/>
      <c r="E710" s="2"/>
      <c r="F710" s="2"/>
      <c r="G710" s="2"/>
      <c r="H710" s="2"/>
      <c r="I710" s="2"/>
      <c r="J710" s="2"/>
      <c r="K710" s="183"/>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row>
    <row r="711" spans="1:87" ht="14.25" customHeight="1" x14ac:dyDescent="0.25">
      <c r="A711" s="2"/>
      <c r="B711" s="2"/>
      <c r="C711" s="2"/>
      <c r="D711" s="2"/>
      <c r="E711" s="2"/>
      <c r="F711" s="2"/>
      <c r="G711" s="2"/>
      <c r="H711" s="2"/>
      <c r="I711" s="2"/>
      <c r="J711" s="2"/>
      <c r="K711" s="183"/>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row>
    <row r="712" spans="1:87" ht="14.25" customHeight="1" x14ac:dyDescent="0.25">
      <c r="A712" s="2"/>
      <c r="B712" s="2"/>
      <c r="C712" s="2"/>
      <c r="D712" s="2"/>
      <c r="E712" s="2"/>
      <c r="F712" s="2"/>
      <c r="G712" s="2"/>
      <c r="H712" s="2"/>
      <c r="I712" s="2"/>
      <c r="J712" s="2"/>
      <c r="K712" s="183"/>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row>
    <row r="713" spans="1:87" ht="14.25" customHeight="1" x14ac:dyDescent="0.25">
      <c r="A713" s="2"/>
      <c r="B713" s="2"/>
      <c r="C713" s="2"/>
      <c r="D713" s="2"/>
      <c r="E713" s="2"/>
      <c r="F713" s="2"/>
      <c r="G713" s="2"/>
      <c r="H713" s="2"/>
      <c r="I713" s="2"/>
      <c r="J713" s="2"/>
      <c r="K713" s="183"/>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row>
    <row r="714" spans="1:87" ht="14.25" customHeight="1" x14ac:dyDescent="0.25">
      <c r="A714" s="2"/>
      <c r="B714" s="2"/>
      <c r="C714" s="2"/>
      <c r="D714" s="2"/>
      <c r="E714" s="2"/>
      <c r="F714" s="2"/>
      <c r="G714" s="2"/>
      <c r="H714" s="2"/>
      <c r="I714" s="2"/>
      <c r="J714" s="2"/>
      <c r="K714" s="183"/>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row>
    <row r="715" spans="1:87" ht="14.25" customHeight="1" x14ac:dyDescent="0.25">
      <c r="A715" s="2"/>
      <c r="B715" s="2"/>
      <c r="C715" s="2"/>
      <c r="D715" s="2"/>
      <c r="E715" s="2"/>
      <c r="F715" s="2"/>
      <c r="G715" s="2"/>
      <c r="H715" s="2"/>
      <c r="I715" s="2"/>
      <c r="J715" s="2"/>
      <c r="K715" s="183"/>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row>
    <row r="716" spans="1:87" ht="14.25" customHeight="1" x14ac:dyDescent="0.25">
      <c r="A716" s="2"/>
      <c r="B716" s="2"/>
      <c r="C716" s="2"/>
      <c r="D716" s="2"/>
      <c r="E716" s="2"/>
      <c r="F716" s="2"/>
      <c r="G716" s="2"/>
      <c r="H716" s="2"/>
      <c r="I716" s="2"/>
      <c r="J716" s="2"/>
      <c r="K716" s="183"/>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row>
    <row r="717" spans="1:87" ht="14.25" customHeight="1" x14ac:dyDescent="0.25">
      <c r="A717" s="2"/>
      <c r="B717" s="2"/>
      <c r="C717" s="2"/>
      <c r="D717" s="2"/>
      <c r="E717" s="2"/>
      <c r="F717" s="2"/>
      <c r="G717" s="2"/>
      <c r="H717" s="2"/>
      <c r="I717" s="2"/>
      <c r="J717" s="2"/>
      <c r="K717" s="183"/>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row>
    <row r="718" spans="1:87" ht="14.25" customHeight="1" x14ac:dyDescent="0.25">
      <c r="A718" s="2"/>
      <c r="B718" s="2"/>
      <c r="C718" s="2"/>
      <c r="D718" s="2"/>
      <c r="E718" s="2"/>
      <c r="F718" s="2"/>
      <c r="G718" s="2"/>
      <c r="H718" s="2"/>
      <c r="I718" s="2"/>
      <c r="J718" s="2"/>
      <c r="K718" s="183"/>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row>
    <row r="719" spans="1:87" ht="14.25" customHeight="1" x14ac:dyDescent="0.25">
      <c r="A719" s="2"/>
      <c r="B719" s="2"/>
      <c r="C719" s="2"/>
      <c r="D719" s="2"/>
      <c r="E719" s="2"/>
      <c r="F719" s="2"/>
      <c r="G719" s="2"/>
      <c r="H719" s="2"/>
      <c r="I719" s="2"/>
      <c r="J719" s="2"/>
      <c r="K719" s="183"/>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row>
    <row r="720" spans="1:87" ht="14.25" customHeight="1" x14ac:dyDescent="0.25">
      <c r="A720" s="2"/>
      <c r="B720" s="2"/>
      <c r="C720" s="2"/>
      <c r="D720" s="2"/>
      <c r="E720" s="2"/>
      <c r="F720" s="2"/>
      <c r="G720" s="2"/>
      <c r="H720" s="2"/>
      <c r="I720" s="2"/>
      <c r="J720" s="2"/>
      <c r="K720" s="183"/>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row>
    <row r="721" spans="1:87" ht="14.25" customHeight="1" x14ac:dyDescent="0.25">
      <c r="A721" s="2"/>
      <c r="B721" s="2"/>
      <c r="C721" s="2"/>
      <c r="D721" s="2"/>
      <c r="E721" s="2"/>
      <c r="F721" s="2"/>
      <c r="G721" s="2"/>
      <c r="H721" s="2"/>
      <c r="I721" s="2"/>
      <c r="J721" s="2"/>
      <c r="K721" s="183"/>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row>
    <row r="722" spans="1:87" ht="14.25" customHeight="1" x14ac:dyDescent="0.25">
      <c r="A722" s="2"/>
      <c r="B722" s="2"/>
      <c r="C722" s="2"/>
      <c r="D722" s="2"/>
      <c r="E722" s="2"/>
      <c r="F722" s="2"/>
      <c r="G722" s="2"/>
      <c r="H722" s="2"/>
      <c r="I722" s="2"/>
      <c r="J722" s="2"/>
      <c r="K722" s="183"/>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row>
    <row r="723" spans="1:87" ht="14.25" customHeight="1" x14ac:dyDescent="0.25">
      <c r="A723" s="2"/>
      <c r="B723" s="2"/>
      <c r="C723" s="2"/>
      <c r="D723" s="2"/>
      <c r="E723" s="2"/>
      <c r="F723" s="2"/>
      <c r="G723" s="2"/>
      <c r="H723" s="2"/>
      <c r="I723" s="2"/>
      <c r="J723" s="2"/>
      <c r="K723" s="183"/>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row>
    <row r="724" spans="1:87" ht="14.25" customHeight="1" x14ac:dyDescent="0.25">
      <c r="A724" s="2"/>
      <c r="B724" s="2"/>
      <c r="C724" s="2"/>
      <c r="D724" s="2"/>
      <c r="E724" s="2"/>
      <c r="F724" s="2"/>
      <c r="G724" s="2"/>
      <c r="H724" s="2"/>
      <c r="I724" s="2"/>
      <c r="J724" s="2"/>
      <c r="K724" s="183"/>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row>
    <row r="725" spans="1:87" ht="14.25" customHeight="1" x14ac:dyDescent="0.25">
      <c r="A725" s="2"/>
      <c r="B725" s="2"/>
      <c r="C725" s="2"/>
      <c r="D725" s="2"/>
      <c r="E725" s="2"/>
      <c r="F725" s="2"/>
      <c r="G725" s="2"/>
      <c r="H725" s="2"/>
      <c r="I725" s="2"/>
      <c r="J725" s="2"/>
      <c r="K725" s="183"/>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row>
    <row r="726" spans="1:87" ht="14.25" customHeight="1" x14ac:dyDescent="0.25">
      <c r="A726" s="2"/>
      <c r="B726" s="2"/>
      <c r="C726" s="2"/>
      <c r="D726" s="2"/>
      <c r="E726" s="2"/>
      <c r="F726" s="2"/>
      <c r="G726" s="2"/>
      <c r="H726" s="2"/>
      <c r="I726" s="2"/>
      <c r="J726" s="2"/>
      <c r="K726" s="183"/>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row>
    <row r="727" spans="1:87" ht="14.25" customHeight="1" x14ac:dyDescent="0.25">
      <c r="A727" s="2"/>
      <c r="B727" s="2"/>
      <c r="C727" s="2"/>
      <c r="D727" s="2"/>
      <c r="E727" s="2"/>
      <c r="F727" s="2"/>
      <c r="G727" s="2"/>
      <c r="H727" s="2"/>
      <c r="I727" s="2"/>
      <c r="J727" s="2"/>
      <c r="K727" s="183"/>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row>
    <row r="728" spans="1:87" ht="14.25" customHeight="1" x14ac:dyDescent="0.25">
      <c r="A728" s="2"/>
      <c r="B728" s="2"/>
      <c r="C728" s="2"/>
      <c r="D728" s="2"/>
      <c r="E728" s="2"/>
      <c r="F728" s="2"/>
      <c r="G728" s="2"/>
      <c r="H728" s="2"/>
      <c r="I728" s="2"/>
      <c r="J728" s="2"/>
      <c r="K728" s="183"/>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row>
    <row r="729" spans="1:87" ht="14.25" customHeight="1" x14ac:dyDescent="0.25">
      <c r="A729" s="2"/>
      <c r="B729" s="2"/>
      <c r="C729" s="2"/>
      <c r="D729" s="2"/>
      <c r="E729" s="2"/>
      <c r="F729" s="2"/>
      <c r="G729" s="2"/>
      <c r="H729" s="2"/>
      <c r="I729" s="2"/>
      <c r="J729" s="2"/>
      <c r="K729" s="183"/>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row>
    <row r="730" spans="1:87" ht="14.25" customHeight="1" x14ac:dyDescent="0.25">
      <c r="A730" s="2"/>
      <c r="B730" s="2"/>
      <c r="C730" s="2"/>
      <c r="D730" s="2"/>
      <c r="E730" s="2"/>
      <c r="F730" s="2"/>
      <c r="G730" s="2"/>
      <c r="H730" s="2"/>
      <c r="I730" s="2"/>
      <c r="J730" s="2"/>
      <c r="K730" s="183"/>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row>
    <row r="731" spans="1:87" ht="14.25" customHeight="1" x14ac:dyDescent="0.25">
      <c r="A731" s="2"/>
      <c r="B731" s="2"/>
      <c r="C731" s="2"/>
      <c r="D731" s="2"/>
      <c r="E731" s="2"/>
      <c r="F731" s="2"/>
      <c r="G731" s="2"/>
      <c r="H731" s="2"/>
      <c r="I731" s="2"/>
      <c r="J731" s="2"/>
      <c r="K731" s="183"/>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row>
    <row r="732" spans="1:87" ht="14.25" customHeight="1" x14ac:dyDescent="0.25">
      <c r="A732" s="2"/>
      <c r="B732" s="2"/>
      <c r="C732" s="2"/>
      <c r="D732" s="2"/>
      <c r="E732" s="2"/>
      <c r="F732" s="2"/>
      <c r="G732" s="2"/>
      <c r="H732" s="2"/>
      <c r="I732" s="2"/>
      <c r="J732" s="2"/>
      <c r="K732" s="183"/>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row>
    <row r="733" spans="1:87" ht="14.25" customHeight="1" x14ac:dyDescent="0.25">
      <c r="A733" s="2"/>
      <c r="B733" s="2"/>
      <c r="C733" s="2"/>
      <c r="D733" s="2"/>
      <c r="E733" s="2"/>
      <c r="F733" s="2"/>
      <c r="G733" s="2"/>
      <c r="H733" s="2"/>
      <c r="I733" s="2"/>
      <c r="J733" s="2"/>
      <c r="K733" s="183"/>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row>
    <row r="734" spans="1:87" ht="14.25" customHeight="1" x14ac:dyDescent="0.25">
      <c r="A734" s="2"/>
      <c r="B734" s="2"/>
      <c r="C734" s="2"/>
      <c r="D734" s="2"/>
      <c r="E734" s="2"/>
      <c r="F734" s="2"/>
      <c r="G734" s="2"/>
      <c r="H734" s="2"/>
      <c r="I734" s="2"/>
      <c r="J734" s="2"/>
      <c r="K734" s="183"/>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row>
    <row r="735" spans="1:87" ht="14.25" customHeight="1" x14ac:dyDescent="0.25">
      <c r="A735" s="2"/>
      <c r="B735" s="2"/>
      <c r="C735" s="2"/>
      <c r="D735" s="2"/>
      <c r="E735" s="2"/>
      <c r="F735" s="2"/>
      <c r="G735" s="2"/>
      <c r="H735" s="2"/>
      <c r="I735" s="2"/>
      <c r="J735" s="2"/>
      <c r="K735" s="183"/>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row>
    <row r="736" spans="1:87" ht="14.25" customHeight="1" x14ac:dyDescent="0.25">
      <c r="A736" s="2"/>
      <c r="B736" s="2"/>
      <c r="C736" s="2"/>
      <c r="D736" s="2"/>
      <c r="E736" s="2"/>
      <c r="F736" s="2"/>
      <c r="G736" s="2"/>
      <c r="H736" s="2"/>
      <c r="I736" s="2"/>
      <c r="J736" s="2"/>
      <c r="K736" s="183"/>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row>
    <row r="737" spans="1:87" ht="14.25" customHeight="1" x14ac:dyDescent="0.25">
      <c r="A737" s="2"/>
      <c r="B737" s="2"/>
      <c r="C737" s="2"/>
      <c r="D737" s="2"/>
      <c r="E737" s="2"/>
      <c r="F737" s="2"/>
      <c r="G737" s="2"/>
      <c r="H737" s="2"/>
      <c r="I737" s="2"/>
      <c r="J737" s="2"/>
      <c r="K737" s="183"/>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row>
    <row r="738" spans="1:87" ht="14.25" customHeight="1" x14ac:dyDescent="0.25">
      <c r="A738" s="2"/>
      <c r="B738" s="2"/>
      <c r="C738" s="2"/>
      <c r="D738" s="2"/>
      <c r="E738" s="2"/>
      <c r="F738" s="2"/>
      <c r="G738" s="2"/>
      <c r="H738" s="2"/>
      <c r="I738" s="2"/>
      <c r="J738" s="2"/>
      <c r="K738" s="183"/>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row>
    <row r="739" spans="1:87" ht="14.25" customHeight="1" x14ac:dyDescent="0.25">
      <c r="A739" s="2"/>
      <c r="B739" s="2"/>
      <c r="C739" s="2"/>
      <c r="D739" s="2"/>
      <c r="E739" s="2"/>
      <c r="F739" s="2"/>
      <c r="G739" s="2"/>
      <c r="H739" s="2"/>
      <c r="I739" s="2"/>
      <c r="J739" s="2"/>
      <c r="K739" s="183"/>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row>
    <row r="740" spans="1:87" ht="14.25" customHeight="1" x14ac:dyDescent="0.25">
      <c r="A740" s="2"/>
      <c r="B740" s="2"/>
      <c r="C740" s="2"/>
      <c r="D740" s="2"/>
      <c r="E740" s="2"/>
      <c r="F740" s="2"/>
      <c r="G740" s="2"/>
      <c r="H740" s="2"/>
      <c r="I740" s="2"/>
      <c r="J740" s="2"/>
      <c r="K740" s="183"/>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row>
    <row r="741" spans="1:87" ht="14.25" customHeight="1" x14ac:dyDescent="0.25">
      <c r="A741" s="2"/>
      <c r="B741" s="2"/>
      <c r="C741" s="2"/>
      <c r="D741" s="2"/>
      <c r="E741" s="2"/>
      <c r="F741" s="2"/>
      <c r="G741" s="2"/>
      <c r="H741" s="2"/>
      <c r="I741" s="2"/>
      <c r="J741" s="2"/>
      <c r="K741" s="183"/>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row>
    <row r="742" spans="1:87" ht="14.25" customHeight="1" x14ac:dyDescent="0.25">
      <c r="A742" s="2"/>
      <c r="B742" s="2"/>
      <c r="C742" s="2"/>
      <c r="D742" s="2"/>
      <c r="E742" s="2"/>
      <c r="F742" s="2"/>
      <c r="G742" s="2"/>
      <c r="H742" s="2"/>
      <c r="I742" s="2"/>
      <c r="J742" s="2"/>
      <c r="K742" s="183"/>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row>
    <row r="743" spans="1:87" ht="14.25" customHeight="1" x14ac:dyDescent="0.25">
      <c r="A743" s="2"/>
      <c r="B743" s="2"/>
      <c r="C743" s="2"/>
      <c r="D743" s="2"/>
      <c r="E743" s="2"/>
      <c r="F743" s="2"/>
      <c r="G743" s="2"/>
      <c r="H743" s="2"/>
      <c r="I743" s="2"/>
      <c r="J743" s="2"/>
      <c r="K743" s="183"/>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row>
    <row r="744" spans="1:87" ht="14.25" customHeight="1" x14ac:dyDescent="0.25">
      <c r="A744" s="2"/>
      <c r="B744" s="2"/>
      <c r="C744" s="2"/>
      <c r="D744" s="2"/>
      <c r="E744" s="2"/>
      <c r="F744" s="2"/>
      <c r="G744" s="2"/>
      <c r="H744" s="2"/>
      <c r="I744" s="2"/>
      <c r="J744" s="2"/>
      <c r="K744" s="183"/>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row>
    <row r="745" spans="1:87" ht="14.25" customHeight="1" x14ac:dyDescent="0.25">
      <c r="A745" s="2"/>
      <c r="B745" s="2"/>
      <c r="C745" s="2"/>
      <c r="D745" s="2"/>
      <c r="E745" s="2"/>
      <c r="F745" s="2"/>
      <c r="G745" s="2"/>
      <c r="H745" s="2"/>
      <c r="I745" s="2"/>
      <c r="J745" s="2"/>
      <c r="K745" s="183"/>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row>
    <row r="746" spans="1:87" ht="14.25" customHeight="1" x14ac:dyDescent="0.25">
      <c r="A746" s="2"/>
      <c r="B746" s="2"/>
      <c r="C746" s="2"/>
      <c r="D746" s="2"/>
      <c r="E746" s="2"/>
      <c r="F746" s="2"/>
      <c r="G746" s="2"/>
      <c r="H746" s="2"/>
      <c r="I746" s="2"/>
      <c r="J746" s="2"/>
      <c r="K746" s="183"/>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row>
    <row r="747" spans="1:87" ht="14.25" customHeight="1" x14ac:dyDescent="0.25">
      <c r="A747" s="2"/>
      <c r="B747" s="2"/>
      <c r="C747" s="2"/>
      <c r="D747" s="2"/>
      <c r="E747" s="2"/>
      <c r="F747" s="2"/>
      <c r="G747" s="2"/>
      <c r="H747" s="2"/>
      <c r="I747" s="2"/>
      <c r="J747" s="2"/>
      <c r="K747" s="183"/>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row>
    <row r="748" spans="1:87" ht="14.25" customHeight="1" x14ac:dyDescent="0.25">
      <c r="A748" s="2"/>
      <c r="B748" s="2"/>
      <c r="C748" s="2"/>
      <c r="D748" s="2"/>
      <c r="E748" s="2"/>
      <c r="F748" s="2"/>
      <c r="G748" s="2"/>
      <c r="H748" s="2"/>
      <c r="I748" s="2"/>
      <c r="J748" s="2"/>
      <c r="K748" s="183"/>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row>
    <row r="749" spans="1:87" ht="14.25" customHeight="1" x14ac:dyDescent="0.25">
      <c r="A749" s="2"/>
      <c r="B749" s="2"/>
      <c r="C749" s="2"/>
      <c r="D749" s="2"/>
      <c r="E749" s="2"/>
      <c r="F749" s="2"/>
      <c r="G749" s="2"/>
      <c r="H749" s="2"/>
      <c r="I749" s="2"/>
      <c r="J749" s="2"/>
      <c r="K749" s="183"/>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row>
    <row r="750" spans="1:87" ht="14.25" customHeight="1" x14ac:dyDescent="0.25">
      <c r="A750" s="2"/>
      <c r="B750" s="2"/>
      <c r="C750" s="2"/>
      <c r="D750" s="2"/>
      <c r="E750" s="2"/>
      <c r="F750" s="2"/>
      <c r="G750" s="2"/>
      <c r="H750" s="2"/>
      <c r="I750" s="2"/>
      <c r="J750" s="2"/>
      <c r="K750" s="183"/>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row>
    <row r="751" spans="1:87" ht="14.25" customHeight="1" x14ac:dyDescent="0.25">
      <c r="A751" s="2"/>
      <c r="B751" s="2"/>
      <c r="C751" s="2"/>
      <c r="D751" s="2"/>
      <c r="E751" s="2"/>
      <c r="F751" s="2"/>
      <c r="G751" s="2"/>
      <c r="H751" s="2"/>
      <c r="I751" s="2"/>
      <c r="J751" s="2"/>
      <c r="K751" s="183"/>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row>
    <row r="752" spans="1:87" ht="14.25" customHeight="1" x14ac:dyDescent="0.25">
      <c r="A752" s="2"/>
      <c r="B752" s="2"/>
      <c r="C752" s="2"/>
      <c r="D752" s="2"/>
      <c r="E752" s="2"/>
      <c r="F752" s="2"/>
      <c r="G752" s="2"/>
      <c r="H752" s="2"/>
      <c r="I752" s="2"/>
      <c r="J752" s="2"/>
      <c r="K752" s="183"/>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row>
    <row r="753" spans="1:87" ht="14.25" customHeight="1" x14ac:dyDescent="0.25">
      <c r="A753" s="2"/>
      <c r="B753" s="2"/>
      <c r="C753" s="2"/>
      <c r="D753" s="2"/>
      <c r="E753" s="2"/>
      <c r="F753" s="2"/>
      <c r="G753" s="2"/>
      <c r="H753" s="2"/>
      <c r="I753" s="2"/>
      <c r="J753" s="2"/>
      <c r="K753" s="183"/>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row>
    <row r="754" spans="1:87" ht="14.25" customHeight="1" x14ac:dyDescent="0.25">
      <c r="A754" s="2"/>
      <c r="B754" s="2"/>
      <c r="C754" s="2"/>
      <c r="D754" s="2"/>
      <c r="E754" s="2"/>
      <c r="F754" s="2"/>
      <c r="G754" s="2"/>
      <c r="H754" s="2"/>
      <c r="I754" s="2"/>
      <c r="J754" s="2"/>
      <c r="K754" s="183"/>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row>
    <row r="755" spans="1:87" ht="14.25" customHeight="1" x14ac:dyDescent="0.25">
      <c r="A755" s="2"/>
      <c r="B755" s="2"/>
      <c r="C755" s="2"/>
      <c r="D755" s="2"/>
      <c r="E755" s="2"/>
      <c r="F755" s="2"/>
      <c r="G755" s="2"/>
      <c r="H755" s="2"/>
      <c r="I755" s="2"/>
      <c r="J755" s="2"/>
      <c r="K755" s="183"/>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row>
    <row r="756" spans="1:87" ht="14.25" customHeight="1" x14ac:dyDescent="0.25">
      <c r="A756" s="2"/>
      <c r="B756" s="2"/>
      <c r="C756" s="2"/>
      <c r="D756" s="2"/>
      <c r="E756" s="2"/>
      <c r="F756" s="2"/>
      <c r="G756" s="2"/>
      <c r="H756" s="2"/>
      <c r="I756" s="2"/>
      <c r="J756" s="2"/>
      <c r="K756" s="183"/>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row>
    <row r="757" spans="1:87" ht="14.25" customHeight="1" x14ac:dyDescent="0.25">
      <c r="A757" s="2"/>
      <c r="B757" s="2"/>
      <c r="C757" s="2"/>
      <c r="D757" s="2"/>
      <c r="E757" s="2"/>
      <c r="F757" s="2"/>
      <c r="G757" s="2"/>
      <c r="H757" s="2"/>
      <c r="I757" s="2"/>
      <c r="J757" s="2"/>
      <c r="K757" s="183"/>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row>
    <row r="758" spans="1:87" ht="14.25" customHeight="1" x14ac:dyDescent="0.25">
      <c r="A758" s="2"/>
      <c r="B758" s="2"/>
      <c r="C758" s="2"/>
      <c r="D758" s="2"/>
      <c r="E758" s="2"/>
      <c r="F758" s="2"/>
      <c r="G758" s="2"/>
      <c r="H758" s="2"/>
      <c r="I758" s="2"/>
      <c r="J758" s="2"/>
      <c r="K758" s="183"/>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row>
    <row r="759" spans="1:87" ht="14.25" customHeight="1" x14ac:dyDescent="0.25">
      <c r="A759" s="2"/>
      <c r="B759" s="2"/>
      <c r="C759" s="2"/>
      <c r="D759" s="2"/>
      <c r="E759" s="2"/>
      <c r="F759" s="2"/>
      <c r="G759" s="2"/>
      <c r="H759" s="2"/>
      <c r="I759" s="2"/>
      <c r="J759" s="2"/>
      <c r="K759" s="183"/>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row>
    <row r="760" spans="1:87" ht="14.25" customHeight="1" x14ac:dyDescent="0.25">
      <c r="A760" s="2"/>
      <c r="B760" s="2"/>
      <c r="C760" s="2"/>
      <c r="D760" s="2"/>
      <c r="E760" s="2"/>
      <c r="F760" s="2"/>
      <c r="G760" s="2"/>
      <c r="H760" s="2"/>
      <c r="I760" s="2"/>
      <c r="J760" s="2"/>
      <c r="K760" s="183"/>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row>
    <row r="761" spans="1:87" ht="14.25" customHeight="1" x14ac:dyDescent="0.25">
      <c r="A761" s="2"/>
      <c r="B761" s="2"/>
      <c r="C761" s="2"/>
      <c r="D761" s="2"/>
      <c r="E761" s="2"/>
      <c r="F761" s="2"/>
      <c r="G761" s="2"/>
      <c r="H761" s="2"/>
      <c r="I761" s="2"/>
      <c r="J761" s="2"/>
      <c r="K761" s="183"/>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row>
    <row r="762" spans="1:87" ht="14.25" customHeight="1" x14ac:dyDescent="0.25">
      <c r="A762" s="2"/>
      <c r="B762" s="2"/>
      <c r="C762" s="2"/>
      <c r="D762" s="2"/>
      <c r="E762" s="2"/>
      <c r="F762" s="2"/>
      <c r="G762" s="2"/>
      <c r="H762" s="2"/>
      <c r="I762" s="2"/>
      <c r="J762" s="2"/>
      <c r="K762" s="183"/>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row>
    <row r="763" spans="1:87" ht="14.25" customHeight="1" x14ac:dyDescent="0.25">
      <c r="A763" s="2"/>
      <c r="B763" s="2"/>
      <c r="C763" s="2"/>
      <c r="D763" s="2"/>
      <c r="E763" s="2"/>
      <c r="F763" s="2"/>
      <c r="G763" s="2"/>
      <c r="H763" s="2"/>
      <c r="I763" s="2"/>
      <c r="J763" s="2"/>
      <c r="K763" s="183"/>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row>
    <row r="764" spans="1:87" ht="14.25" customHeight="1" x14ac:dyDescent="0.25">
      <c r="A764" s="2"/>
      <c r="B764" s="2"/>
      <c r="C764" s="2"/>
      <c r="D764" s="2"/>
      <c r="E764" s="2"/>
      <c r="F764" s="2"/>
      <c r="G764" s="2"/>
      <c r="H764" s="2"/>
      <c r="I764" s="2"/>
      <c r="J764" s="2"/>
      <c r="K764" s="183"/>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row>
    <row r="765" spans="1:87" ht="14.25" customHeight="1" x14ac:dyDescent="0.25">
      <c r="A765" s="2"/>
      <c r="B765" s="2"/>
      <c r="C765" s="2"/>
      <c r="D765" s="2"/>
      <c r="E765" s="2"/>
      <c r="F765" s="2"/>
      <c r="G765" s="2"/>
      <c r="H765" s="2"/>
      <c r="I765" s="2"/>
      <c r="J765" s="2"/>
      <c r="K765" s="183"/>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row>
    <row r="766" spans="1:87" ht="14.25" customHeight="1" x14ac:dyDescent="0.25">
      <c r="A766" s="2"/>
      <c r="B766" s="2"/>
      <c r="C766" s="2"/>
      <c r="D766" s="2"/>
      <c r="E766" s="2"/>
      <c r="F766" s="2"/>
      <c r="G766" s="2"/>
      <c r="H766" s="2"/>
      <c r="I766" s="2"/>
      <c r="J766" s="2"/>
      <c r="K766" s="183"/>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row>
    <row r="767" spans="1:87" ht="14.25" customHeight="1" x14ac:dyDescent="0.25">
      <c r="A767" s="2"/>
      <c r="B767" s="2"/>
      <c r="C767" s="2"/>
      <c r="D767" s="2"/>
      <c r="E767" s="2"/>
      <c r="F767" s="2"/>
      <c r="G767" s="2"/>
      <c r="H767" s="2"/>
      <c r="I767" s="2"/>
      <c r="J767" s="2"/>
      <c r="K767" s="183"/>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row>
    <row r="768" spans="1:87" ht="14.25" customHeight="1" x14ac:dyDescent="0.25">
      <c r="A768" s="2"/>
      <c r="B768" s="2"/>
      <c r="C768" s="2"/>
      <c r="D768" s="2"/>
      <c r="E768" s="2"/>
      <c r="F768" s="2"/>
      <c r="G768" s="2"/>
      <c r="H768" s="2"/>
      <c r="I768" s="2"/>
      <c r="J768" s="2"/>
      <c r="K768" s="183"/>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row>
    <row r="769" spans="1:87" ht="14.25" customHeight="1" x14ac:dyDescent="0.25">
      <c r="A769" s="2"/>
      <c r="B769" s="2"/>
      <c r="C769" s="2"/>
      <c r="D769" s="2"/>
      <c r="E769" s="2"/>
      <c r="F769" s="2"/>
      <c r="G769" s="2"/>
      <c r="H769" s="2"/>
      <c r="I769" s="2"/>
      <c r="J769" s="2"/>
      <c r="K769" s="183"/>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row>
    <row r="770" spans="1:87" ht="14.25" customHeight="1" x14ac:dyDescent="0.25">
      <c r="A770" s="2"/>
      <c r="B770" s="2"/>
      <c r="C770" s="2"/>
      <c r="D770" s="2"/>
      <c r="E770" s="2"/>
      <c r="F770" s="2"/>
      <c r="G770" s="2"/>
      <c r="H770" s="2"/>
      <c r="I770" s="2"/>
      <c r="J770" s="2"/>
      <c r="K770" s="183"/>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row>
    <row r="771" spans="1:87" ht="14.25" customHeight="1" x14ac:dyDescent="0.25">
      <c r="A771" s="2"/>
      <c r="B771" s="2"/>
      <c r="C771" s="2"/>
      <c r="D771" s="2"/>
      <c r="E771" s="2"/>
      <c r="F771" s="2"/>
      <c r="G771" s="2"/>
      <c r="H771" s="2"/>
      <c r="I771" s="2"/>
      <c r="J771" s="2"/>
      <c r="K771" s="183"/>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row>
    <row r="772" spans="1:87" ht="14.25" customHeight="1" x14ac:dyDescent="0.25">
      <c r="A772" s="2"/>
      <c r="B772" s="2"/>
      <c r="C772" s="2"/>
      <c r="D772" s="2"/>
      <c r="E772" s="2"/>
      <c r="F772" s="2"/>
      <c r="G772" s="2"/>
      <c r="H772" s="2"/>
      <c r="I772" s="2"/>
      <c r="J772" s="2"/>
      <c r="K772" s="183"/>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row>
    <row r="773" spans="1:87" ht="14.25" customHeight="1" x14ac:dyDescent="0.25">
      <c r="A773" s="2"/>
      <c r="B773" s="2"/>
      <c r="C773" s="2"/>
      <c r="D773" s="2"/>
      <c r="E773" s="2"/>
      <c r="F773" s="2"/>
      <c r="G773" s="2"/>
      <c r="H773" s="2"/>
      <c r="I773" s="2"/>
      <c r="J773" s="2"/>
      <c r="K773" s="183"/>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row>
    <row r="774" spans="1:87" ht="14.25" customHeight="1" x14ac:dyDescent="0.25">
      <c r="A774" s="2"/>
      <c r="B774" s="2"/>
      <c r="C774" s="2"/>
      <c r="D774" s="2"/>
      <c r="E774" s="2"/>
      <c r="F774" s="2"/>
      <c r="G774" s="2"/>
      <c r="H774" s="2"/>
      <c r="I774" s="2"/>
      <c r="J774" s="2"/>
      <c r="K774" s="183"/>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row>
    <row r="775" spans="1:87" ht="14.25" customHeight="1" x14ac:dyDescent="0.25">
      <c r="A775" s="2"/>
      <c r="B775" s="2"/>
      <c r="C775" s="2"/>
      <c r="D775" s="2"/>
      <c r="E775" s="2"/>
      <c r="F775" s="2"/>
      <c r="G775" s="2"/>
      <c r="H775" s="2"/>
      <c r="I775" s="2"/>
      <c r="J775" s="2"/>
      <c r="K775" s="183"/>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row>
    <row r="776" spans="1:87" ht="14.25" customHeight="1" x14ac:dyDescent="0.25">
      <c r="A776" s="2"/>
      <c r="B776" s="2"/>
      <c r="C776" s="2"/>
      <c r="D776" s="2"/>
      <c r="E776" s="2"/>
      <c r="F776" s="2"/>
      <c r="G776" s="2"/>
      <c r="H776" s="2"/>
      <c r="I776" s="2"/>
      <c r="J776" s="2"/>
      <c r="K776" s="183"/>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row>
    <row r="777" spans="1:87" ht="14.25" customHeight="1" x14ac:dyDescent="0.25">
      <c r="A777" s="2"/>
      <c r="B777" s="2"/>
      <c r="C777" s="2"/>
      <c r="D777" s="2"/>
      <c r="E777" s="2"/>
      <c r="F777" s="2"/>
      <c r="G777" s="2"/>
      <c r="H777" s="2"/>
      <c r="I777" s="2"/>
      <c r="J777" s="2"/>
      <c r="K777" s="183"/>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row>
    <row r="778" spans="1:87" ht="14.25" customHeight="1" x14ac:dyDescent="0.25">
      <c r="A778" s="2"/>
      <c r="B778" s="2"/>
      <c r="C778" s="2"/>
      <c r="D778" s="2"/>
      <c r="E778" s="2"/>
      <c r="F778" s="2"/>
      <c r="G778" s="2"/>
      <c r="H778" s="2"/>
      <c r="I778" s="2"/>
      <c r="J778" s="2"/>
      <c r="K778" s="183"/>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row>
    <row r="779" spans="1:87" ht="14.25" customHeight="1" x14ac:dyDescent="0.25">
      <c r="A779" s="2"/>
      <c r="B779" s="2"/>
      <c r="C779" s="2"/>
      <c r="D779" s="2"/>
      <c r="E779" s="2"/>
      <c r="F779" s="2"/>
      <c r="G779" s="2"/>
      <c r="H779" s="2"/>
      <c r="I779" s="2"/>
      <c r="J779" s="2"/>
      <c r="K779" s="183"/>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row>
    <row r="780" spans="1:87" ht="14.25" customHeight="1" x14ac:dyDescent="0.25">
      <c r="A780" s="2"/>
      <c r="B780" s="2"/>
      <c r="C780" s="2"/>
      <c r="D780" s="2"/>
      <c r="E780" s="2"/>
      <c r="F780" s="2"/>
      <c r="G780" s="2"/>
      <c r="H780" s="2"/>
      <c r="I780" s="2"/>
      <c r="J780" s="2"/>
      <c r="K780" s="183"/>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row>
    <row r="781" spans="1:87" ht="14.25" customHeight="1" x14ac:dyDescent="0.25">
      <c r="A781" s="2"/>
      <c r="B781" s="2"/>
      <c r="C781" s="2"/>
      <c r="D781" s="2"/>
      <c r="E781" s="2"/>
      <c r="F781" s="2"/>
      <c r="G781" s="2"/>
      <c r="H781" s="2"/>
      <c r="I781" s="2"/>
      <c r="J781" s="2"/>
      <c r="K781" s="183"/>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row>
    <row r="782" spans="1:87" ht="14.25" customHeight="1" x14ac:dyDescent="0.25">
      <c r="A782" s="2"/>
      <c r="B782" s="2"/>
      <c r="C782" s="2"/>
      <c r="D782" s="2"/>
      <c r="E782" s="2"/>
      <c r="F782" s="2"/>
      <c r="G782" s="2"/>
      <c r="H782" s="2"/>
      <c r="I782" s="2"/>
      <c r="J782" s="2"/>
      <c r="K782" s="183"/>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row>
    <row r="783" spans="1:87" ht="14.25" customHeight="1" x14ac:dyDescent="0.25">
      <c r="A783" s="2"/>
      <c r="B783" s="2"/>
      <c r="C783" s="2"/>
      <c r="D783" s="2"/>
      <c r="E783" s="2"/>
      <c r="F783" s="2"/>
      <c r="G783" s="2"/>
      <c r="H783" s="2"/>
      <c r="I783" s="2"/>
      <c r="J783" s="2"/>
      <c r="K783" s="183"/>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row>
    <row r="784" spans="1:87" ht="14.25" customHeight="1" x14ac:dyDescent="0.25">
      <c r="A784" s="2"/>
      <c r="B784" s="2"/>
      <c r="C784" s="2"/>
      <c r="D784" s="2"/>
      <c r="E784" s="2"/>
      <c r="F784" s="2"/>
      <c r="G784" s="2"/>
      <c r="H784" s="2"/>
      <c r="I784" s="2"/>
      <c r="J784" s="2"/>
      <c r="K784" s="183"/>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row>
    <row r="785" spans="1:87" ht="14.25" customHeight="1" x14ac:dyDescent="0.25">
      <c r="A785" s="2"/>
      <c r="B785" s="2"/>
      <c r="C785" s="2"/>
      <c r="D785" s="2"/>
      <c r="E785" s="2"/>
      <c r="F785" s="2"/>
      <c r="G785" s="2"/>
      <c r="H785" s="2"/>
      <c r="I785" s="2"/>
      <c r="J785" s="2"/>
      <c r="K785" s="183"/>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row>
    <row r="786" spans="1:87" ht="14.25" customHeight="1" x14ac:dyDescent="0.25">
      <c r="A786" s="2"/>
      <c r="B786" s="2"/>
      <c r="C786" s="2"/>
      <c r="D786" s="2"/>
      <c r="E786" s="2"/>
      <c r="F786" s="2"/>
      <c r="G786" s="2"/>
      <c r="H786" s="2"/>
      <c r="I786" s="2"/>
      <c r="J786" s="2"/>
      <c r="K786" s="183"/>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row>
    <row r="787" spans="1:87" ht="14.25" customHeight="1" x14ac:dyDescent="0.25">
      <c r="A787" s="2"/>
      <c r="B787" s="2"/>
      <c r="C787" s="2"/>
      <c r="D787" s="2"/>
      <c r="E787" s="2"/>
      <c r="F787" s="2"/>
      <c r="G787" s="2"/>
      <c r="H787" s="2"/>
      <c r="I787" s="2"/>
      <c r="J787" s="2"/>
      <c r="K787" s="183"/>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row>
    <row r="788" spans="1:87" ht="14.25" customHeight="1" x14ac:dyDescent="0.25">
      <c r="A788" s="2"/>
      <c r="B788" s="2"/>
      <c r="C788" s="2"/>
      <c r="D788" s="2"/>
      <c r="E788" s="2"/>
      <c r="F788" s="2"/>
      <c r="G788" s="2"/>
      <c r="H788" s="2"/>
      <c r="I788" s="2"/>
      <c r="J788" s="2"/>
      <c r="K788" s="183"/>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row>
    <row r="789" spans="1:87" ht="14.25" customHeight="1" x14ac:dyDescent="0.25">
      <c r="A789" s="2"/>
      <c r="B789" s="2"/>
      <c r="C789" s="2"/>
      <c r="D789" s="2"/>
      <c r="E789" s="2"/>
      <c r="F789" s="2"/>
      <c r="G789" s="2"/>
      <c r="H789" s="2"/>
      <c r="I789" s="2"/>
      <c r="J789" s="2"/>
      <c r="K789" s="183"/>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row>
    <row r="790" spans="1:87" ht="14.25" customHeight="1" x14ac:dyDescent="0.25">
      <c r="A790" s="2"/>
      <c r="B790" s="2"/>
      <c r="C790" s="2"/>
      <c r="D790" s="2"/>
      <c r="E790" s="2"/>
      <c r="F790" s="2"/>
      <c r="G790" s="2"/>
      <c r="H790" s="2"/>
      <c r="I790" s="2"/>
      <c r="J790" s="2"/>
      <c r="K790" s="183"/>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row>
    <row r="791" spans="1:87" ht="14.25" customHeight="1" x14ac:dyDescent="0.25">
      <c r="A791" s="2"/>
      <c r="B791" s="2"/>
      <c r="C791" s="2"/>
      <c r="D791" s="2"/>
      <c r="E791" s="2"/>
      <c r="F791" s="2"/>
      <c r="G791" s="2"/>
      <c r="H791" s="2"/>
      <c r="I791" s="2"/>
      <c r="J791" s="2"/>
      <c r="K791" s="183"/>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row>
    <row r="792" spans="1:87" ht="14.25" customHeight="1" x14ac:dyDescent="0.25">
      <c r="A792" s="2"/>
      <c r="B792" s="2"/>
      <c r="C792" s="2"/>
      <c r="D792" s="2"/>
      <c r="E792" s="2"/>
      <c r="F792" s="2"/>
      <c r="G792" s="2"/>
      <c r="H792" s="2"/>
      <c r="I792" s="2"/>
      <c r="J792" s="2"/>
      <c r="K792" s="183"/>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row>
    <row r="793" spans="1:87" ht="14.25" customHeight="1" x14ac:dyDescent="0.25">
      <c r="A793" s="2"/>
      <c r="B793" s="2"/>
      <c r="C793" s="2"/>
      <c r="D793" s="2"/>
      <c r="E793" s="2"/>
      <c r="F793" s="2"/>
      <c r="G793" s="2"/>
      <c r="H793" s="2"/>
      <c r="I793" s="2"/>
      <c r="J793" s="2"/>
      <c r="K793" s="183"/>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row>
    <row r="794" spans="1:87" ht="14.25" customHeight="1" x14ac:dyDescent="0.25">
      <c r="A794" s="2"/>
      <c r="B794" s="2"/>
      <c r="C794" s="2"/>
      <c r="D794" s="2"/>
      <c r="E794" s="2"/>
      <c r="F794" s="2"/>
      <c r="G794" s="2"/>
      <c r="H794" s="2"/>
      <c r="I794" s="2"/>
      <c r="J794" s="2"/>
      <c r="K794" s="183"/>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row>
    <row r="795" spans="1:87" ht="14.25" customHeight="1" x14ac:dyDescent="0.25">
      <c r="A795" s="2"/>
      <c r="B795" s="2"/>
      <c r="C795" s="2"/>
      <c r="D795" s="2"/>
      <c r="E795" s="2"/>
      <c r="F795" s="2"/>
      <c r="G795" s="2"/>
      <c r="H795" s="2"/>
      <c r="I795" s="2"/>
      <c r="J795" s="2"/>
      <c r="K795" s="183"/>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row>
    <row r="796" spans="1:87" ht="14.25" customHeight="1" x14ac:dyDescent="0.25">
      <c r="A796" s="2"/>
      <c r="B796" s="2"/>
      <c r="C796" s="2"/>
      <c r="D796" s="2"/>
      <c r="E796" s="2"/>
      <c r="F796" s="2"/>
      <c r="G796" s="2"/>
      <c r="H796" s="2"/>
      <c r="I796" s="2"/>
      <c r="J796" s="2"/>
      <c r="K796" s="183"/>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row>
    <row r="797" spans="1:87" ht="14.25" customHeight="1" x14ac:dyDescent="0.25">
      <c r="A797" s="2"/>
      <c r="B797" s="2"/>
      <c r="C797" s="2"/>
      <c r="D797" s="2"/>
      <c r="E797" s="2"/>
      <c r="F797" s="2"/>
      <c r="G797" s="2"/>
      <c r="H797" s="2"/>
      <c r="I797" s="2"/>
      <c r="J797" s="2"/>
      <c r="K797" s="183"/>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row>
    <row r="798" spans="1:87" ht="14.25" customHeight="1" x14ac:dyDescent="0.25">
      <c r="A798" s="2"/>
      <c r="B798" s="2"/>
      <c r="C798" s="2"/>
      <c r="D798" s="2"/>
      <c r="E798" s="2"/>
      <c r="F798" s="2"/>
      <c r="G798" s="2"/>
      <c r="H798" s="2"/>
      <c r="I798" s="2"/>
      <c r="J798" s="2"/>
      <c r="K798" s="183"/>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row>
    <row r="799" spans="1:87" ht="14.25" customHeight="1" x14ac:dyDescent="0.25">
      <c r="A799" s="2"/>
      <c r="B799" s="2"/>
      <c r="C799" s="2"/>
      <c r="D799" s="2"/>
      <c r="E799" s="2"/>
      <c r="F799" s="2"/>
      <c r="G799" s="2"/>
      <c r="H799" s="2"/>
      <c r="I799" s="2"/>
      <c r="J799" s="2"/>
      <c r="K799" s="183"/>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row>
    <row r="800" spans="1:87" ht="14.25" customHeight="1" x14ac:dyDescent="0.25">
      <c r="A800" s="2"/>
      <c r="B800" s="2"/>
      <c r="C800" s="2"/>
      <c r="D800" s="2"/>
      <c r="E800" s="2"/>
      <c r="F800" s="2"/>
      <c r="G800" s="2"/>
      <c r="H800" s="2"/>
      <c r="I800" s="2"/>
      <c r="J800" s="2"/>
      <c r="K800" s="183"/>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row>
    <row r="801" spans="1:87" ht="14.25" customHeight="1" x14ac:dyDescent="0.25">
      <c r="A801" s="2"/>
      <c r="B801" s="2"/>
      <c r="C801" s="2"/>
      <c r="D801" s="2"/>
      <c r="E801" s="2"/>
      <c r="F801" s="2"/>
      <c r="G801" s="2"/>
      <c r="H801" s="2"/>
      <c r="I801" s="2"/>
      <c r="J801" s="2"/>
      <c r="K801" s="183"/>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row>
    <row r="802" spans="1:87" ht="14.25" customHeight="1" x14ac:dyDescent="0.25">
      <c r="A802" s="2"/>
      <c r="B802" s="2"/>
      <c r="C802" s="2"/>
      <c r="D802" s="2"/>
      <c r="E802" s="2"/>
      <c r="F802" s="2"/>
      <c r="G802" s="2"/>
      <c r="H802" s="2"/>
      <c r="I802" s="2"/>
      <c r="J802" s="2"/>
      <c r="K802" s="183"/>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row>
    <row r="803" spans="1:87" ht="14.25" customHeight="1" x14ac:dyDescent="0.25">
      <c r="A803" s="2"/>
      <c r="B803" s="2"/>
      <c r="C803" s="2"/>
      <c r="D803" s="2"/>
      <c r="E803" s="2"/>
      <c r="F803" s="2"/>
      <c r="G803" s="2"/>
      <c r="H803" s="2"/>
      <c r="I803" s="2"/>
      <c r="J803" s="2"/>
      <c r="K803" s="183"/>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row>
    <row r="804" spans="1:87" ht="14.25" customHeight="1" x14ac:dyDescent="0.25">
      <c r="A804" s="2"/>
      <c r="B804" s="2"/>
      <c r="C804" s="2"/>
      <c r="D804" s="2"/>
      <c r="E804" s="2"/>
      <c r="F804" s="2"/>
      <c r="G804" s="2"/>
      <c r="H804" s="2"/>
      <c r="I804" s="2"/>
      <c r="J804" s="2"/>
      <c r="K804" s="183"/>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row>
    <row r="805" spans="1:87" ht="14.25" customHeight="1" x14ac:dyDescent="0.25">
      <c r="A805" s="2"/>
      <c r="B805" s="2"/>
      <c r="C805" s="2"/>
      <c r="D805" s="2"/>
      <c r="E805" s="2"/>
      <c r="F805" s="2"/>
      <c r="G805" s="2"/>
      <c r="H805" s="2"/>
      <c r="I805" s="2"/>
      <c r="J805" s="2"/>
      <c r="K805" s="183"/>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row>
    <row r="806" spans="1:87" ht="14.25" customHeight="1" x14ac:dyDescent="0.25">
      <c r="A806" s="2"/>
      <c r="B806" s="2"/>
      <c r="C806" s="2"/>
      <c r="D806" s="2"/>
      <c r="E806" s="2"/>
      <c r="F806" s="2"/>
      <c r="G806" s="2"/>
      <c r="H806" s="2"/>
      <c r="I806" s="2"/>
      <c r="J806" s="2"/>
      <c r="K806" s="183"/>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row>
    <row r="807" spans="1:87" ht="14.25" customHeight="1" x14ac:dyDescent="0.25">
      <c r="A807" s="2"/>
      <c r="B807" s="2"/>
      <c r="C807" s="2"/>
      <c r="D807" s="2"/>
      <c r="E807" s="2"/>
      <c r="F807" s="2"/>
      <c r="G807" s="2"/>
      <c r="H807" s="2"/>
      <c r="I807" s="2"/>
      <c r="J807" s="2"/>
      <c r="K807" s="183"/>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row>
    <row r="808" spans="1:87" ht="14.25" customHeight="1" x14ac:dyDescent="0.25">
      <c r="A808" s="2"/>
      <c r="B808" s="2"/>
      <c r="C808" s="2"/>
      <c r="D808" s="2"/>
      <c r="E808" s="2"/>
      <c r="F808" s="2"/>
      <c r="G808" s="2"/>
      <c r="H808" s="2"/>
      <c r="I808" s="2"/>
      <c r="J808" s="2"/>
      <c r="K808" s="183"/>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row>
    <row r="809" spans="1:87" ht="14.25" customHeight="1" x14ac:dyDescent="0.25">
      <c r="A809" s="2"/>
      <c r="B809" s="2"/>
      <c r="C809" s="2"/>
      <c r="D809" s="2"/>
      <c r="E809" s="2"/>
      <c r="F809" s="2"/>
      <c r="G809" s="2"/>
      <c r="H809" s="2"/>
      <c r="I809" s="2"/>
      <c r="J809" s="2"/>
      <c r="K809" s="183"/>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row>
    <row r="810" spans="1:87" ht="14.25" customHeight="1" x14ac:dyDescent="0.25">
      <c r="A810" s="2"/>
      <c r="B810" s="2"/>
      <c r="C810" s="2"/>
      <c r="D810" s="2"/>
      <c r="E810" s="2"/>
      <c r="F810" s="2"/>
      <c r="G810" s="2"/>
      <c r="H810" s="2"/>
      <c r="I810" s="2"/>
      <c r="J810" s="2"/>
      <c r="K810" s="183"/>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row>
    <row r="811" spans="1:87" ht="14.25" customHeight="1" x14ac:dyDescent="0.25">
      <c r="A811" s="2"/>
      <c r="B811" s="2"/>
      <c r="C811" s="2"/>
      <c r="D811" s="2"/>
      <c r="E811" s="2"/>
      <c r="F811" s="2"/>
      <c r="G811" s="2"/>
      <c r="H811" s="2"/>
      <c r="I811" s="2"/>
      <c r="J811" s="2"/>
      <c r="K811" s="183"/>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row>
    <row r="812" spans="1:87" ht="14.25" customHeight="1" x14ac:dyDescent="0.25">
      <c r="A812" s="2"/>
      <c r="B812" s="2"/>
      <c r="C812" s="2"/>
      <c r="D812" s="2"/>
      <c r="E812" s="2"/>
      <c r="F812" s="2"/>
      <c r="G812" s="2"/>
      <c r="H812" s="2"/>
      <c r="I812" s="2"/>
      <c r="J812" s="2"/>
      <c r="K812" s="183"/>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row>
    <row r="813" spans="1:87" ht="14.25" customHeight="1" x14ac:dyDescent="0.25">
      <c r="A813" s="2"/>
      <c r="B813" s="2"/>
      <c r="C813" s="2"/>
      <c r="D813" s="2"/>
      <c r="E813" s="2"/>
      <c r="F813" s="2"/>
      <c r="G813" s="2"/>
      <c r="H813" s="2"/>
      <c r="I813" s="2"/>
      <c r="J813" s="2"/>
      <c r="K813" s="183"/>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row>
    <row r="814" spans="1:87" ht="14.25" customHeight="1" x14ac:dyDescent="0.25">
      <c r="A814" s="2"/>
      <c r="B814" s="2"/>
      <c r="C814" s="2"/>
      <c r="D814" s="2"/>
      <c r="E814" s="2"/>
      <c r="F814" s="2"/>
      <c r="G814" s="2"/>
      <c r="H814" s="2"/>
      <c r="I814" s="2"/>
      <c r="J814" s="2"/>
      <c r="K814" s="183"/>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row>
    <row r="815" spans="1:87" ht="14.25" customHeight="1" x14ac:dyDescent="0.25">
      <c r="A815" s="2"/>
      <c r="B815" s="2"/>
      <c r="C815" s="2"/>
      <c r="D815" s="2"/>
      <c r="E815" s="2"/>
      <c r="F815" s="2"/>
      <c r="G815" s="2"/>
      <c r="H815" s="2"/>
      <c r="I815" s="2"/>
      <c r="J815" s="2"/>
      <c r="K815" s="183"/>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row>
    <row r="816" spans="1:87" ht="14.25" customHeight="1" x14ac:dyDescent="0.25">
      <c r="A816" s="2"/>
      <c r="B816" s="2"/>
      <c r="C816" s="2"/>
      <c r="D816" s="2"/>
      <c r="E816" s="2"/>
      <c r="F816" s="2"/>
      <c r="G816" s="2"/>
      <c r="H816" s="2"/>
      <c r="I816" s="2"/>
      <c r="J816" s="2"/>
      <c r="K816" s="183"/>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row>
    <row r="817" spans="1:87" ht="14.25" customHeight="1" x14ac:dyDescent="0.25">
      <c r="A817" s="2"/>
      <c r="B817" s="2"/>
      <c r="C817" s="2"/>
      <c r="D817" s="2"/>
      <c r="E817" s="2"/>
      <c r="F817" s="2"/>
      <c r="G817" s="2"/>
      <c r="H817" s="2"/>
      <c r="I817" s="2"/>
      <c r="J817" s="2"/>
      <c r="K817" s="183"/>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row>
    <row r="818" spans="1:87" ht="14.25" customHeight="1" x14ac:dyDescent="0.25">
      <c r="A818" s="2"/>
      <c r="B818" s="2"/>
      <c r="C818" s="2"/>
      <c r="D818" s="2"/>
      <c r="E818" s="2"/>
      <c r="F818" s="2"/>
      <c r="G818" s="2"/>
      <c r="H818" s="2"/>
      <c r="I818" s="2"/>
      <c r="J818" s="2"/>
      <c r="K818" s="183"/>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row>
    <row r="819" spans="1:87" ht="14.25" customHeight="1" x14ac:dyDescent="0.25">
      <c r="A819" s="2"/>
      <c r="B819" s="2"/>
      <c r="C819" s="2"/>
      <c r="D819" s="2"/>
      <c r="E819" s="2"/>
      <c r="F819" s="2"/>
      <c r="G819" s="2"/>
      <c r="H819" s="2"/>
      <c r="I819" s="2"/>
      <c r="J819" s="2"/>
      <c r="K819" s="183"/>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row>
    <row r="820" spans="1:87" ht="14.25" customHeight="1" x14ac:dyDescent="0.25">
      <c r="A820" s="2"/>
      <c r="B820" s="2"/>
      <c r="C820" s="2"/>
      <c r="D820" s="2"/>
      <c r="E820" s="2"/>
      <c r="F820" s="2"/>
      <c r="G820" s="2"/>
      <c r="H820" s="2"/>
      <c r="I820" s="2"/>
      <c r="J820" s="2"/>
      <c r="K820" s="183"/>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row>
    <row r="821" spans="1:87" ht="14.25" customHeight="1" x14ac:dyDescent="0.25">
      <c r="A821" s="2"/>
      <c r="B821" s="2"/>
      <c r="C821" s="2"/>
      <c r="D821" s="2"/>
      <c r="E821" s="2"/>
      <c r="F821" s="2"/>
      <c r="G821" s="2"/>
      <c r="H821" s="2"/>
      <c r="I821" s="2"/>
      <c r="J821" s="2"/>
      <c r="K821" s="183"/>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row>
    <row r="822" spans="1:87" ht="14.25" customHeight="1" x14ac:dyDescent="0.25">
      <c r="A822" s="2"/>
      <c r="B822" s="2"/>
      <c r="C822" s="2"/>
      <c r="D822" s="2"/>
      <c r="E822" s="2"/>
      <c r="F822" s="2"/>
      <c r="G822" s="2"/>
      <c r="H822" s="2"/>
      <c r="I822" s="2"/>
      <c r="J822" s="2"/>
      <c r="K822" s="183"/>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row>
    <row r="823" spans="1:87" ht="14.25" customHeight="1" x14ac:dyDescent="0.25">
      <c r="A823" s="2"/>
      <c r="B823" s="2"/>
      <c r="C823" s="2"/>
      <c r="D823" s="2"/>
      <c r="E823" s="2"/>
      <c r="F823" s="2"/>
      <c r="G823" s="2"/>
      <c r="H823" s="2"/>
      <c r="I823" s="2"/>
      <c r="J823" s="2"/>
      <c r="K823" s="183"/>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row>
    <row r="824" spans="1:87" ht="14.25" customHeight="1" x14ac:dyDescent="0.25">
      <c r="A824" s="2"/>
      <c r="B824" s="2"/>
      <c r="C824" s="2"/>
      <c r="D824" s="2"/>
      <c r="E824" s="2"/>
      <c r="F824" s="2"/>
      <c r="G824" s="2"/>
      <c r="H824" s="2"/>
      <c r="I824" s="2"/>
      <c r="J824" s="2"/>
      <c r="K824" s="183"/>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row>
    <row r="825" spans="1:87" ht="14.25" customHeight="1" x14ac:dyDescent="0.25">
      <c r="A825" s="2"/>
      <c r="B825" s="2"/>
      <c r="C825" s="2"/>
      <c r="D825" s="2"/>
      <c r="E825" s="2"/>
      <c r="F825" s="2"/>
      <c r="G825" s="2"/>
      <c r="H825" s="2"/>
      <c r="I825" s="2"/>
      <c r="J825" s="2"/>
      <c r="K825" s="183"/>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row>
    <row r="826" spans="1:87" ht="14.25" customHeight="1" x14ac:dyDescent="0.25">
      <c r="A826" s="2"/>
      <c r="B826" s="2"/>
      <c r="C826" s="2"/>
      <c r="D826" s="2"/>
      <c r="E826" s="2"/>
      <c r="F826" s="2"/>
      <c r="G826" s="2"/>
      <c r="H826" s="2"/>
      <c r="I826" s="2"/>
      <c r="J826" s="2"/>
      <c r="K826" s="183"/>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row>
    <row r="827" spans="1:87" ht="14.25" customHeight="1" x14ac:dyDescent="0.25">
      <c r="A827" s="2"/>
      <c r="B827" s="2"/>
      <c r="C827" s="2"/>
      <c r="D827" s="2"/>
      <c r="E827" s="2"/>
      <c r="F827" s="2"/>
      <c r="G827" s="2"/>
      <c r="H827" s="2"/>
      <c r="I827" s="2"/>
      <c r="J827" s="2"/>
      <c r="K827" s="183"/>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row>
    <row r="828" spans="1:87" ht="14.25" customHeight="1" x14ac:dyDescent="0.25">
      <c r="A828" s="2"/>
      <c r="B828" s="2"/>
      <c r="C828" s="2"/>
      <c r="D828" s="2"/>
      <c r="E828" s="2"/>
      <c r="F828" s="2"/>
      <c r="G828" s="2"/>
      <c r="H828" s="2"/>
      <c r="I828" s="2"/>
      <c r="J828" s="2"/>
      <c r="K828" s="183"/>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row>
    <row r="829" spans="1:87" ht="14.25" customHeight="1" x14ac:dyDescent="0.25">
      <c r="A829" s="2"/>
      <c r="B829" s="2"/>
      <c r="C829" s="2"/>
      <c r="D829" s="2"/>
      <c r="E829" s="2"/>
      <c r="F829" s="2"/>
      <c r="G829" s="2"/>
      <c r="H829" s="2"/>
      <c r="I829" s="2"/>
      <c r="J829" s="2"/>
      <c r="K829" s="183"/>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row>
    <row r="830" spans="1:87" ht="14.25" customHeight="1" x14ac:dyDescent="0.25">
      <c r="A830" s="2"/>
      <c r="B830" s="2"/>
      <c r="C830" s="2"/>
      <c r="D830" s="2"/>
      <c r="E830" s="2"/>
      <c r="F830" s="2"/>
      <c r="G830" s="2"/>
      <c r="H830" s="2"/>
      <c r="I830" s="2"/>
      <c r="J830" s="2"/>
      <c r="K830" s="183"/>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row>
    <row r="831" spans="1:87" ht="14.25" customHeight="1" x14ac:dyDescent="0.25">
      <c r="A831" s="2"/>
      <c r="B831" s="2"/>
      <c r="C831" s="2"/>
      <c r="D831" s="2"/>
      <c r="E831" s="2"/>
      <c r="F831" s="2"/>
      <c r="G831" s="2"/>
      <c r="H831" s="2"/>
      <c r="I831" s="2"/>
      <c r="J831" s="2"/>
      <c r="K831" s="183"/>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row>
    <row r="832" spans="1:87" ht="14.25" customHeight="1" x14ac:dyDescent="0.25">
      <c r="A832" s="2"/>
      <c r="B832" s="2"/>
      <c r="C832" s="2"/>
      <c r="D832" s="2"/>
      <c r="E832" s="2"/>
      <c r="F832" s="2"/>
      <c r="G832" s="2"/>
      <c r="H832" s="2"/>
      <c r="I832" s="2"/>
      <c r="J832" s="2"/>
      <c r="K832" s="183"/>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row>
    <row r="833" spans="1:87" ht="14.25" customHeight="1" x14ac:dyDescent="0.25">
      <c r="A833" s="2"/>
      <c r="B833" s="2"/>
      <c r="C833" s="2"/>
      <c r="D833" s="2"/>
      <c r="E833" s="2"/>
      <c r="F833" s="2"/>
      <c r="G833" s="2"/>
      <c r="H833" s="2"/>
      <c r="I833" s="2"/>
      <c r="J833" s="2"/>
      <c r="K833" s="183"/>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row>
    <row r="834" spans="1:87" ht="14.25" customHeight="1" x14ac:dyDescent="0.25">
      <c r="A834" s="2"/>
      <c r="B834" s="2"/>
      <c r="C834" s="2"/>
      <c r="D834" s="2"/>
      <c r="E834" s="2"/>
      <c r="F834" s="2"/>
      <c r="G834" s="2"/>
      <c r="H834" s="2"/>
      <c r="I834" s="2"/>
      <c r="J834" s="2"/>
      <c r="K834" s="183"/>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row>
    <row r="835" spans="1:87" ht="14.25" customHeight="1" x14ac:dyDescent="0.25">
      <c r="A835" s="2"/>
      <c r="B835" s="2"/>
      <c r="C835" s="2"/>
      <c r="D835" s="2"/>
      <c r="E835" s="2"/>
      <c r="F835" s="2"/>
      <c r="G835" s="2"/>
      <c r="H835" s="2"/>
      <c r="I835" s="2"/>
      <c r="J835" s="2"/>
      <c r="K835" s="183"/>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row>
    <row r="836" spans="1:87" ht="14.25" customHeight="1" x14ac:dyDescent="0.25">
      <c r="A836" s="2"/>
      <c r="B836" s="2"/>
      <c r="C836" s="2"/>
      <c r="D836" s="2"/>
      <c r="E836" s="2"/>
      <c r="F836" s="2"/>
      <c r="G836" s="2"/>
      <c r="H836" s="2"/>
      <c r="I836" s="2"/>
      <c r="J836" s="2"/>
      <c r="K836" s="183"/>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row>
    <row r="837" spans="1:87" ht="14.25" customHeight="1" x14ac:dyDescent="0.25">
      <c r="A837" s="2"/>
      <c r="B837" s="2"/>
      <c r="C837" s="2"/>
      <c r="D837" s="2"/>
      <c r="E837" s="2"/>
      <c r="F837" s="2"/>
      <c r="G837" s="2"/>
      <c r="H837" s="2"/>
      <c r="I837" s="2"/>
      <c r="J837" s="2"/>
      <c r="K837" s="183"/>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row>
    <row r="838" spans="1:87" ht="14.25" customHeight="1" x14ac:dyDescent="0.25">
      <c r="A838" s="2"/>
      <c r="B838" s="2"/>
      <c r="C838" s="2"/>
      <c r="D838" s="2"/>
      <c r="E838" s="2"/>
      <c r="F838" s="2"/>
      <c r="G838" s="2"/>
      <c r="H838" s="2"/>
      <c r="I838" s="2"/>
      <c r="J838" s="2"/>
      <c r="K838" s="183"/>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row>
    <row r="839" spans="1:87" ht="14.25" customHeight="1" x14ac:dyDescent="0.25">
      <c r="A839" s="2"/>
      <c r="B839" s="2"/>
      <c r="C839" s="2"/>
      <c r="D839" s="2"/>
      <c r="E839" s="2"/>
      <c r="F839" s="2"/>
      <c r="G839" s="2"/>
      <c r="H839" s="2"/>
      <c r="I839" s="2"/>
      <c r="J839" s="2"/>
      <c r="K839" s="183"/>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row>
    <row r="840" spans="1:87" ht="14.25" customHeight="1" x14ac:dyDescent="0.25">
      <c r="A840" s="2"/>
      <c r="B840" s="2"/>
      <c r="C840" s="2"/>
      <c r="D840" s="2"/>
      <c r="E840" s="2"/>
      <c r="F840" s="2"/>
      <c r="G840" s="2"/>
      <c r="H840" s="2"/>
      <c r="I840" s="2"/>
      <c r="J840" s="2"/>
      <c r="K840" s="183"/>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row>
    <row r="841" spans="1:87" ht="14.25" customHeight="1" x14ac:dyDescent="0.25">
      <c r="A841" s="2"/>
      <c r="B841" s="2"/>
      <c r="C841" s="2"/>
      <c r="D841" s="2"/>
      <c r="E841" s="2"/>
      <c r="F841" s="2"/>
      <c r="G841" s="2"/>
      <c r="H841" s="2"/>
      <c r="I841" s="2"/>
      <c r="J841" s="2"/>
      <c r="K841" s="183"/>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row>
    <row r="842" spans="1:87" ht="14.25" customHeight="1" x14ac:dyDescent="0.25">
      <c r="A842" s="2"/>
      <c r="B842" s="2"/>
      <c r="C842" s="2"/>
      <c r="D842" s="2"/>
      <c r="E842" s="2"/>
      <c r="F842" s="2"/>
      <c r="G842" s="2"/>
      <c r="H842" s="2"/>
      <c r="I842" s="2"/>
      <c r="J842" s="2"/>
      <c r="K842" s="183"/>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row>
    <row r="843" spans="1:87" ht="14.25" customHeight="1" x14ac:dyDescent="0.25">
      <c r="A843" s="2"/>
      <c r="B843" s="2"/>
      <c r="C843" s="2"/>
      <c r="D843" s="2"/>
      <c r="E843" s="2"/>
      <c r="F843" s="2"/>
      <c r="G843" s="2"/>
      <c r="H843" s="2"/>
      <c r="I843" s="2"/>
      <c r="J843" s="2"/>
      <c r="K843" s="183"/>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row>
    <row r="844" spans="1:87" ht="14.25" customHeight="1" x14ac:dyDescent="0.25">
      <c r="A844" s="2"/>
      <c r="B844" s="2"/>
      <c r="C844" s="2"/>
      <c r="D844" s="2"/>
      <c r="E844" s="2"/>
      <c r="F844" s="2"/>
      <c r="G844" s="2"/>
      <c r="H844" s="2"/>
      <c r="I844" s="2"/>
      <c r="J844" s="2"/>
      <c r="K844" s="183"/>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row>
    <row r="845" spans="1:87" ht="14.25" customHeight="1" x14ac:dyDescent="0.25">
      <c r="A845" s="2"/>
      <c r="B845" s="2"/>
      <c r="C845" s="2"/>
      <c r="D845" s="2"/>
      <c r="E845" s="2"/>
      <c r="F845" s="2"/>
      <c r="G845" s="2"/>
      <c r="H845" s="2"/>
      <c r="I845" s="2"/>
      <c r="J845" s="2"/>
      <c r="K845" s="183"/>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row>
    <row r="846" spans="1:87" ht="14.25" customHeight="1" x14ac:dyDescent="0.25">
      <c r="A846" s="2"/>
      <c r="B846" s="2"/>
      <c r="C846" s="2"/>
      <c r="D846" s="2"/>
      <c r="E846" s="2"/>
      <c r="F846" s="2"/>
      <c r="G846" s="2"/>
      <c r="H846" s="2"/>
      <c r="I846" s="2"/>
      <c r="J846" s="2"/>
      <c r="K846" s="183"/>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row>
    <row r="847" spans="1:87" ht="14.25" customHeight="1" x14ac:dyDescent="0.25">
      <c r="A847" s="2"/>
      <c r="B847" s="2"/>
      <c r="C847" s="2"/>
      <c r="D847" s="2"/>
      <c r="E847" s="2"/>
      <c r="F847" s="2"/>
      <c r="G847" s="2"/>
      <c r="H847" s="2"/>
      <c r="I847" s="2"/>
      <c r="J847" s="2"/>
      <c r="K847" s="183"/>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row>
    <row r="848" spans="1:87" ht="14.25" customHeight="1" x14ac:dyDescent="0.25">
      <c r="A848" s="2"/>
      <c r="B848" s="2"/>
      <c r="C848" s="2"/>
      <c r="D848" s="2"/>
      <c r="E848" s="2"/>
      <c r="F848" s="2"/>
      <c r="G848" s="2"/>
      <c r="H848" s="2"/>
      <c r="I848" s="2"/>
      <c r="J848" s="2"/>
      <c r="K848" s="183"/>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row>
    <row r="849" spans="1:87" ht="14.25" customHeight="1" x14ac:dyDescent="0.25">
      <c r="A849" s="2"/>
      <c r="B849" s="2"/>
      <c r="C849" s="2"/>
      <c r="D849" s="2"/>
      <c r="E849" s="2"/>
      <c r="F849" s="2"/>
      <c r="G849" s="2"/>
      <c r="H849" s="2"/>
      <c r="I849" s="2"/>
      <c r="J849" s="2"/>
      <c r="K849" s="183"/>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row>
    <row r="850" spans="1:87" ht="14.25" customHeight="1" x14ac:dyDescent="0.25">
      <c r="A850" s="2"/>
      <c r="B850" s="2"/>
      <c r="C850" s="2"/>
      <c r="D850" s="2"/>
      <c r="E850" s="2"/>
      <c r="F850" s="2"/>
      <c r="G850" s="2"/>
      <c r="H850" s="2"/>
      <c r="I850" s="2"/>
      <c r="J850" s="2"/>
      <c r="K850" s="183"/>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row>
    <row r="851" spans="1:87" ht="14.25" customHeight="1" x14ac:dyDescent="0.25">
      <c r="A851" s="2"/>
      <c r="B851" s="2"/>
      <c r="C851" s="2"/>
      <c r="D851" s="2"/>
      <c r="E851" s="2"/>
      <c r="F851" s="2"/>
      <c r="G851" s="2"/>
      <c r="H851" s="2"/>
      <c r="I851" s="2"/>
      <c r="J851" s="2"/>
      <c r="K851" s="183"/>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row>
    <row r="852" spans="1:87" ht="14.25" customHeight="1" x14ac:dyDescent="0.25">
      <c r="A852" s="2"/>
      <c r="B852" s="2"/>
      <c r="C852" s="2"/>
      <c r="D852" s="2"/>
      <c r="E852" s="2"/>
      <c r="F852" s="2"/>
      <c r="G852" s="2"/>
      <c r="H852" s="2"/>
      <c r="I852" s="2"/>
      <c r="J852" s="2"/>
      <c r="K852" s="183"/>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row>
    <row r="853" spans="1:87" ht="14.25" customHeight="1" x14ac:dyDescent="0.25">
      <c r="A853" s="2"/>
      <c r="B853" s="2"/>
      <c r="C853" s="2"/>
      <c r="D853" s="2"/>
      <c r="E853" s="2"/>
      <c r="F853" s="2"/>
      <c r="G853" s="2"/>
      <c r="H853" s="2"/>
      <c r="I853" s="2"/>
      <c r="J853" s="2"/>
      <c r="K853" s="183"/>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row>
    <row r="854" spans="1:87" ht="14.25" customHeight="1" x14ac:dyDescent="0.25">
      <c r="A854" s="2"/>
      <c r="B854" s="2"/>
      <c r="C854" s="2"/>
      <c r="D854" s="2"/>
      <c r="E854" s="2"/>
      <c r="F854" s="2"/>
      <c r="G854" s="2"/>
      <c r="H854" s="2"/>
      <c r="I854" s="2"/>
      <c r="J854" s="2"/>
      <c r="K854" s="183"/>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row>
    <row r="855" spans="1:87" ht="14.25" customHeight="1" x14ac:dyDescent="0.25">
      <c r="A855" s="2"/>
      <c r="B855" s="2"/>
      <c r="C855" s="2"/>
      <c r="D855" s="2"/>
      <c r="E855" s="2"/>
      <c r="F855" s="2"/>
      <c r="G855" s="2"/>
      <c r="H855" s="2"/>
      <c r="I855" s="2"/>
      <c r="J855" s="2"/>
      <c r="K855" s="183"/>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row>
    <row r="856" spans="1:87" ht="14.25" customHeight="1" x14ac:dyDescent="0.25">
      <c r="A856" s="2"/>
      <c r="B856" s="2"/>
      <c r="C856" s="2"/>
      <c r="D856" s="2"/>
      <c r="E856" s="2"/>
      <c r="F856" s="2"/>
      <c r="G856" s="2"/>
      <c r="H856" s="2"/>
      <c r="I856" s="2"/>
      <c r="J856" s="2"/>
      <c r="K856" s="183"/>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row>
    <row r="857" spans="1:87" ht="14.25" customHeight="1" x14ac:dyDescent="0.25">
      <c r="A857" s="2"/>
      <c r="B857" s="2"/>
      <c r="C857" s="2"/>
      <c r="D857" s="2"/>
      <c r="E857" s="2"/>
      <c r="F857" s="2"/>
      <c r="G857" s="2"/>
      <c r="H857" s="2"/>
      <c r="I857" s="2"/>
      <c r="J857" s="2"/>
      <c r="K857" s="183"/>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row>
    <row r="858" spans="1:87" ht="14.25" customHeight="1" x14ac:dyDescent="0.25">
      <c r="A858" s="2"/>
      <c r="B858" s="2"/>
      <c r="C858" s="2"/>
      <c r="D858" s="2"/>
      <c r="E858" s="2"/>
      <c r="F858" s="2"/>
      <c r="G858" s="2"/>
      <c r="H858" s="2"/>
      <c r="I858" s="2"/>
      <c r="J858" s="2"/>
      <c r="K858" s="183"/>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row>
    <row r="859" spans="1:87" ht="14.25" customHeight="1" x14ac:dyDescent="0.25">
      <c r="A859" s="2"/>
      <c r="B859" s="2"/>
      <c r="C859" s="2"/>
      <c r="D859" s="2"/>
      <c r="E859" s="2"/>
      <c r="F859" s="2"/>
      <c r="G859" s="2"/>
      <c r="H859" s="2"/>
      <c r="I859" s="2"/>
      <c r="J859" s="2"/>
      <c r="K859" s="183"/>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row>
    <row r="860" spans="1:87" ht="14.25" customHeight="1" x14ac:dyDescent="0.25">
      <c r="A860" s="2"/>
      <c r="B860" s="2"/>
      <c r="C860" s="2"/>
      <c r="D860" s="2"/>
      <c r="E860" s="2"/>
      <c r="F860" s="2"/>
      <c r="G860" s="2"/>
      <c r="H860" s="2"/>
      <c r="I860" s="2"/>
      <c r="J860" s="2"/>
      <c r="K860" s="183"/>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row>
    <row r="861" spans="1:87" ht="14.25" customHeight="1" x14ac:dyDescent="0.25">
      <c r="A861" s="2"/>
      <c r="B861" s="2"/>
      <c r="C861" s="2"/>
      <c r="D861" s="2"/>
      <c r="E861" s="2"/>
      <c r="F861" s="2"/>
      <c r="G861" s="2"/>
      <c r="H861" s="2"/>
      <c r="I861" s="2"/>
      <c r="J861" s="2"/>
      <c r="K861" s="183"/>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row>
    <row r="862" spans="1:87" ht="14.25" customHeight="1" x14ac:dyDescent="0.25">
      <c r="A862" s="2"/>
      <c r="B862" s="2"/>
      <c r="C862" s="2"/>
      <c r="D862" s="2"/>
      <c r="E862" s="2"/>
      <c r="F862" s="2"/>
      <c r="G862" s="2"/>
      <c r="H862" s="2"/>
      <c r="I862" s="2"/>
      <c r="J862" s="2"/>
      <c r="K862" s="183"/>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row>
    <row r="863" spans="1:87" ht="14.25" customHeight="1" x14ac:dyDescent="0.25">
      <c r="A863" s="2"/>
      <c r="B863" s="2"/>
      <c r="C863" s="2"/>
      <c r="D863" s="2"/>
      <c r="E863" s="2"/>
      <c r="F863" s="2"/>
      <c r="G863" s="2"/>
      <c r="H863" s="2"/>
      <c r="I863" s="2"/>
      <c r="J863" s="2"/>
      <c r="K863" s="183"/>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row>
    <row r="864" spans="1:87" ht="14.25" customHeight="1" x14ac:dyDescent="0.25">
      <c r="A864" s="2"/>
      <c r="B864" s="2"/>
      <c r="C864" s="2"/>
      <c r="D864" s="2"/>
      <c r="E864" s="2"/>
      <c r="F864" s="2"/>
      <c r="G864" s="2"/>
      <c r="H864" s="2"/>
      <c r="I864" s="2"/>
      <c r="J864" s="2"/>
      <c r="K864" s="183"/>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row>
    <row r="865" spans="1:87" ht="14.25" customHeight="1" x14ac:dyDescent="0.25">
      <c r="A865" s="2"/>
      <c r="B865" s="2"/>
      <c r="C865" s="2"/>
      <c r="D865" s="2"/>
      <c r="E865" s="2"/>
      <c r="F865" s="2"/>
      <c r="G865" s="2"/>
      <c r="H865" s="2"/>
      <c r="I865" s="2"/>
      <c r="J865" s="2"/>
      <c r="K865" s="183"/>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row>
    <row r="866" spans="1:87" ht="14.25" customHeight="1" x14ac:dyDescent="0.25">
      <c r="A866" s="2"/>
      <c r="B866" s="2"/>
      <c r="C866" s="2"/>
      <c r="D866" s="2"/>
      <c r="E866" s="2"/>
      <c r="F866" s="2"/>
      <c r="G866" s="2"/>
      <c r="H866" s="2"/>
      <c r="I866" s="2"/>
      <c r="J866" s="2"/>
      <c r="K866" s="183"/>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row>
    <row r="867" spans="1:87" ht="14.25" customHeight="1" x14ac:dyDescent="0.25">
      <c r="A867" s="2"/>
      <c r="B867" s="2"/>
      <c r="C867" s="2"/>
      <c r="D867" s="2"/>
      <c r="E867" s="2"/>
      <c r="F867" s="2"/>
      <c r="G867" s="2"/>
      <c r="H867" s="2"/>
      <c r="I867" s="2"/>
      <c r="J867" s="2"/>
      <c r="K867" s="183"/>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row>
    <row r="868" spans="1:87" ht="14.25" customHeight="1" x14ac:dyDescent="0.25">
      <c r="A868" s="2"/>
      <c r="B868" s="2"/>
      <c r="C868" s="2"/>
      <c r="D868" s="2"/>
      <c r="E868" s="2"/>
      <c r="F868" s="2"/>
      <c r="G868" s="2"/>
      <c r="H868" s="2"/>
      <c r="I868" s="2"/>
      <c r="J868" s="2"/>
      <c r="K868" s="183"/>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row>
    <row r="869" spans="1:87" ht="14.25" customHeight="1" x14ac:dyDescent="0.25">
      <c r="A869" s="2"/>
      <c r="B869" s="2"/>
      <c r="C869" s="2"/>
      <c r="D869" s="2"/>
      <c r="E869" s="2"/>
      <c r="F869" s="2"/>
      <c r="G869" s="2"/>
      <c r="H869" s="2"/>
      <c r="I869" s="2"/>
      <c r="J869" s="2"/>
      <c r="K869" s="183"/>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row>
    <row r="870" spans="1:87" ht="14.25" customHeight="1" x14ac:dyDescent="0.25">
      <c r="A870" s="2"/>
      <c r="B870" s="2"/>
      <c r="C870" s="2"/>
      <c r="D870" s="2"/>
      <c r="E870" s="2"/>
      <c r="F870" s="2"/>
      <c r="G870" s="2"/>
      <c r="H870" s="2"/>
      <c r="I870" s="2"/>
      <c r="J870" s="2"/>
      <c r="K870" s="183"/>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row>
    <row r="871" spans="1:87" ht="14.25" customHeight="1" x14ac:dyDescent="0.25">
      <c r="A871" s="2"/>
      <c r="B871" s="2"/>
      <c r="C871" s="2"/>
      <c r="D871" s="2"/>
      <c r="E871" s="2"/>
      <c r="F871" s="2"/>
      <c r="G871" s="2"/>
      <c r="H871" s="2"/>
      <c r="I871" s="2"/>
      <c r="J871" s="2"/>
      <c r="K871" s="183"/>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row>
    <row r="872" spans="1:87" ht="14.25" customHeight="1" x14ac:dyDescent="0.25">
      <c r="A872" s="2"/>
      <c r="B872" s="2"/>
      <c r="C872" s="2"/>
      <c r="D872" s="2"/>
      <c r="E872" s="2"/>
      <c r="F872" s="2"/>
      <c r="G872" s="2"/>
      <c r="H872" s="2"/>
      <c r="I872" s="2"/>
      <c r="J872" s="2"/>
      <c r="K872" s="183"/>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row>
    <row r="873" spans="1:87" ht="14.25" customHeight="1" x14ac:dyDescent="0.25">
      <c r="A873" s="2"/>
      <c r="B873" s="2"/>
      <c r="C873" s="2"/>
      <c r="D873" s="2"/>
      <c r="E873" s="2"/>
      <c r="F873" s="2"/>
      <c r="G873" s="2"/>
      <c r="H873" s="2"/>
      <c r="I873" s="2"/>
      <c r="J873" s="2"/>
      <c r="K873" s="183"/>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row>
    <row r="874" spans="1:87" ht="14.25" customHeight="1" x14ac:dyDescent="0.25">
      <c r="A874" s="2"/>
      <c r="B874" s="2"/>
      <c r="C874" s="2"/>
      <c r="D874" s="2"/>
      <c r="E874" s="2"/>
      <c r="F874" s="2"/>
      <c r="G874" s="2"/>
      <c r="H874" s="2"/>
      <c r="I874" s="2"/>
      <c r="J874" s="2"/>
      <c r="K874" s="183"/>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row>
    <row r="875" spans="1:87" ht="14.25" customHeight="1" x14ac:dyDescent="0.25">
      <c r="A875" s="2"/>
      <c r="B875" s="2"/>
      <c r="C875" s="2"/>
      <c r="D875" s="2"/>
      <c r="E875" s="2"/>
      <c r="F875" s="2"/>
      <c r="G875" s="2"/>
      <c r="H875" s="2"/>
      <c r="I875" s="2"/>
      <c r="J875" s="2"/>
      <c r="K875" s="183"/>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row>
    <row r="876" spans="1:87" ht="14.25" customHeight="1" x14ac:dyDescent="0.25">
      <c r="A876" s="2"/>
      <c r="B876" s="2"/>
      <c r="C876" s="2"/>
      <c r="D876" s="2"/>
      <c r="E876" s="2"/>
      <c r="F876" s="2"/>
      <c r="G876" s="2"/>
      <c r="H876" s="2"/>
      <c r="I876" s="2"/>
      <c r="J876" s="2"/>
      <c r="K876" s="183"/>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row>
    <row r="877" spans="1:87" ht="14.25" customHeight="1" x14ac:dyDescent="0.25">
      <c r="A877" s="2"/>
      <c r="B877" s="2"/>
      <c r="C877" s="2"/>
      <c r="D877" s="2"/>
      <c r="E877" s="2"/>
      <c r="F877" s="2"/>
      <c r="G877" s="2"/>
      <c r="H877" s="2"/>
      <c r="I877" s="2"/>
      <c r="J877" s="2"/>
      <c r="K877" s="183"/>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row>
    <row r="878" spans="1:87" ht="14.25" customHeight="1" x14ac:dyDescent="0.25">
      <c r="A878" s="2"/>
      <c r="B878" s="2"/>
      <c r="C878" s="2"/>
      <c r="D878" s="2"/>
      <c r="E878" s="2"/>
      <c r="F878" s="2"/>
      <c r="G878" s="2"/>
      <c r="H878" s="2"/>
      <c r="I878" s="2"/>
      <c r="J878" s="2"/>
      <c r="K878" s="183"/>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row>
    <row r="879" spans="1:87" ht="14.25" customHeight="1" x14ac:dyDescent="0.25">
      <c r="A879" s="2"/>
      <c r="B879" s="2"/>
      <c r="C879" s="2"/>
      <c r="D879" s="2"/>
      <c r="E879" s="2"/>
      <c r="F879" s="2"/>
      <c r="G879" s="2"/>
      <c r="H879" s="2"/>
      <c r="I879" s="2"/>
      <c r="J879" s="2"/>
      <c r="K879" s="183"/>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row>
    <row r="880" spans="1:87" ht="14.25" customHeight="1" x14ac:dyDescent="0.25">
      <c r="A880" s="2"/>
      <c r="B880" s="2"/>
      <c r="C880" s="2"/>
      <c r="D880" s="2"/>
      <c r="E880" s="2"/>
      <c r="F880" s="2"/>
      <c r="G880" s="2"/>
      <c r="H880" s="2"/>
      <c r="I880" s="2"/>
      <c r="J880" s="2"/>
      <c r="K880" s="183"/>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row>
    <row r="881" spans="1:87" ht="14.25" customHeight="1" x14ac:dyDescent="0.25">
      <c r="A881" s="2"/>
      <c r="B881" s="2"/>
      <c r="C881" s="2"/>
      <c r="D881" s="2"/>
      <c r="E881" s="2"/>
      <c r="F881" s="2"/>
      <c r="G881" s="2"/>
      <c r="H881" s="2"/>
      <c r="I881" s="2"/>
      <c r="J881" s="2"/>
      <c r="K881" s="183"/>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row>
    <row r="882" spans="1:87" ht="14.25" customHeight="1" x14ac:dyDescent="0.25">
      <c r="A882" s="2"/>
      <c r="B882" s="2"/>
      <c r="C882" s="2"/>
      <c r="D882" s="2"/>
      <c r="E882" s="2"/>
      <c r="F882" s="2"/>
      <c r="G882" s="2"/>
      <c r="H882" s="2"/>
      <c r="I882" s="2"/>
      <c r="J882" s="2"/>
      <c r="K882" s="183"/>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row>
    <row r="883" spans="1:87" ht="14.25" customHeight="1" x14ac:dyDescent="0.25">
      <c r="A883" s="2"/>
      <c r="B883" s="2"/>
      <c r="C883" s="2"/>
      <c r="D883" s="2"/>
      <c r="E883" s="2"/>
      <c r="F883" s="2"/>
      <c r="G883" s="2"/>
      <c r="H883" s="2"/>
      <c r="I883" s="2"/>
      <c r="J883" s="2"/>
      <c r="K883" s="183"/>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row>
    <row r="884" spans="1:87" ht="14.25" customHeight="1" x14ac:dyDescent="0.25">
      <c r="A884" s="2"/>
      <c r="B884" s="2"/>
      <c r="C884" s="2"/>
      <c r="D884" s="2"/>
      <c r="E884" s="2"/>
      <c r="F884" s="2"/>
      <c r="G884" s="2"/>
      <c r="H884" s="2"/>
      <c r="I884" s="2"/>
      <c r="J884" s="2"/>
      <c r="K884" s="183"/>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row>
    <row r="885" spans="1:87" ht="14.25" customHeight="1" x14ac:dyDescent="0.25">
      <c r="A885" s="2"/>
      <c r="B885" s="2"/>
      <c r="C885" s="2"/>
      <c r="D885" s="2"/>
      <c r="E885" s="2"/>
      <c r="F885" s="2"/>
      <c r="G885" s="2"/>
      <c r="H885" s="2"/>
      <c r="I885" s="2"/>
      <c r="J885" s="2"/>
      <c r="K885" s="183"/>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row>
    <row r="886" spans="1:87" ht="14.25" customHeight="1" x14ac:dyDescent="0.25">
      <c r="A886" s="2"/>
      <c r="B886" s="2"/>
      <c r="C886" s="2"/>
      <c r="D886" s="2"/>
      <c r="E886" s="2"/>
      <c r="F886" s="2"/>
      <c r="G886" s="2"/>
      <c r="H886" s="2"/>
      <c r="I886" s="2"/>
      <c r="J886" s="2"/>
      <c r="K886" s="183"/>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row>
    <row r="887" spans="1:87" ht="14.25" customHeight="1" x14ac:dyDescent="0.25">
      <c r="A887" s="2"/>
      <c r="B887" s="2"/>
      <c r="C887" s="2"/>
      <c r="D887" s="2"/>
      <c r="E887" s="2"/>
      <c r="F887" s="2"/>
      <c r="G887" s="2"/>
      <c r="H887" s="2"/>
      <c r="I887" s="2"/>
      <c r="J887" s="2"/>
      <c r="K887" s="183"/>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row>
    <row r="888" spans="1:87" ht="14.25" customHeight="1" x14ac:dyDescent="0.25">
      <c r="A888" s="2"/>
      <c r="B888" s="2"/>
      <c r="C888" s="2"/>
      <c r="D888" s="2"/>
      <c r="E888" s="2"/>
      <c r="F888" s="2"/>
      <c r="G888" s="2"/>
      <c r="H888" s="2"/>
      <c r="I888" s="2"/>
      <c r="J888" s="2"/>
      <c r="K888" s="183"/>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row>
    <row r="889" spans="1:87" ht="14.25" customHeight="1" x14ac:dyDescent="0.25">
      <c r="A889" s="2"/>
      <c r="B889" s="2"/>
      <c r="C889" s="2"/>
      <c r="D889" s="2"/>
      <c r="E889" s="2"/>
      <c r="F889" s="2"/>
      <c r="G889" s="2"/>
      <c r="H889" s="2"/>
      <c r="I889" s="2"/>
      <c r="J889" s="2"/>
      <c r="K889" s="183"/>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row>
    <row r="890" spans="1:87" ht="14.25" customHeight="1" x14ac:dyDescent="0.25">
      <c r="A890" s="2"/>
      <c r="B890" s="2"/>
      <c r="C890" s="2"/>
      <c r="D890" s="2"/>
      <c r="E890" s="2"/>
      <c r="F890" s="2"/>
      <c r="G890" s="2"/>
      <c r="H890" s="2"/>
      <c r="I890" s="2"/>
      <c r="J890" s="2"/>
      <c r="K890" s="183"/>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row>
    <row r="891" spans="1:87" ht="14.25" customHeight="1" x14ac:dyDescent="0.25">
      <c r="A891" s="2"/>
      <c r="B891" s="2"/>
      <c r="C891" s="2"/>
      <c r="D891" s="2"/>
      <c r="E891" s="2"/>
      <c r="F891" s="2"/>
      <c r="G891" s="2"/>
      <c r="H891" s="2"/>
      <c r="I891" s="2"/>
      <c r="J891" s="2"/>
      <c r="K891" s="183"/>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row>
    <row r="892" spans="1:87" ht="14.25" customHeight="1" x14ac:dyDescent="0.25">
      <c r="A892" s="2"/>
      <c r="B892" s="2"/>
      <c r="C892" s="2"/>
      <c r="D892" s="2"/>
      <c r="E892" s="2"/>
      <c r="F892" s="2"/>
      <c r="G892" s="2"/>
      <c r="H892" s="2"/>
      <c r="I892" s="2"/>
      <c r="J892" s="2"/>
      <c r="K892" s="183"/>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row>
    <row r="893" spans="1:87" ht="14.25" customHeight="1" x14ac:dyDescent="0.25">
      <c r="A893" s="2"/>
      <c r="B893" s="2"/>
      <c r="C893" s="2"/>
      <c r="D893" s="2"/>
      <c r="E893" s="2"/>
      <c r="F893" s="2"/>
      <c r="G893" s="2"/>
      <c r="H893" s="2"/>
      <c r="I893" s="2"/>
      <c r="J893" s="2"/>
      <c r="K893" s="183"/>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row>
    <row r="894" spans="1:87" ht="14.25" customHeight="1" x14ac:dyDescent="0.25">
      <c r="A894" s="2"/>
      <c r="B894" s="2"/>
      <c r="C894" s="2"/>
      <c r="D894" s="2"/>
      <c r="E894" s="2"/>
      <c r="F894" s="2"/>
      <c r="G894" s="2"/>
      <c r="H894" s="2"/>
      <c r="I894" s="2"/>
      <c r="J894" s="2"/>
      <c r="K894" s="183"/>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row>
    <row r="895" spans="1:87" ht="14.25" customHeight="1" x14ac:dyDescent="0.25">
      <c r="A895" s="2"/>
      <c r="B895" s="2"/>
      <c r="C895" s="2"/>
      <c r="D895" s="2"/>
      <c r="E895" s="2"/>
      <c r="F895" s="2"/>
      <c r="G895" s="2"/>
      <c r="H895" s="2"/>
      <c r="I895" s="2"/>
      <c r="J895" s="2"/>
      <c r="K895" s="183"/>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row>
    <row r="896" spans="1:87" ht="14.25" customHeight="1" x14ac:dyDescent="0.25">
      <c r="A896" s="2"/>
      <c r="B896" s="2"/>
      <c r="C896" s="2"/>
      <c r="D896" s="2"/>
      <c r="E896" s="2"/>
      <c r="F896" s="2"/>
      <c r="G896" s="2"/>
      <c r="H896" s="2"/>
      <c r="I896" s="2"/>
      <c r="J896" s="2"/>
      <c r="K896" s="183"/>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row>
    <row r="897" spans="1:87" ht="14.25" customHeight="1" x14ac:dyDescent="0.25">
      <c r="A897" s="2"/>
      <c r="B897" s="2"/>
      <c r="C897" s="2"/>
      <c r="D897" s="2"/>
      <c r="E897" s="2"/>
      <c r="F897" s="2"/>
      <c r="G897" s="2"/>
      <c r="H897" s="2"/>
      <c r="I897" s="2"/>
      <c r="J897" s="2"/>
      <c r="K897" s="183"/>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row>
    <row r="898" spans="1:87" ht="14.25" customHeight="1" x14ac:dyDescent="0.25">
      <c r="A898" s="2"/>
      <c r="B898" s="2"/>
      <c r="C898" s="2"/>
      <c r="D898" s="2"/>
      <c r="E898" s="2"/>
      <c r="F898" s="2"/>
      <c r="G898" s="2"/>
      <c r="H898" s="2"/>
      <c r="I898" s="2"/>
      <c r="J898" s="2"/>
      <c r="K898" s="183"/>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row>
    <row r="899" spans="1:87" ht="14.25" customHeight="1" x14ac:dyDescent="0.25">
      <c r="A899" s="2"/>
      <c r="B899" s="2"/>
      <c r="C899" s="2"/>
      <c r="D899" s="2"/>
      <c r="E899" s="2"/>
      <c r="F899" s="2"/>
      <c r="G899" s="2"/>
      <c r="H899" s="2"/>
      <c r="I899" s="2"/>
      <c r="J899" s="2"/>
      <c r="K899" s="183"/>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row>
    <row r="900" spans="1:87" ht="14.25" customHeight="1" x14ac:dyDescent="0.25">
      <c r="A900" s="2"/>
      <c r="B900" s="2"/>
      <c r="C900" s="2"/>
      <c r="D900" s="2"/>
      <c r="E900" s="2"/>
      <c r="F900" s="2"/>
      <c r="G900" s="2"/>
      <c r="H900" s="2"/>
      <c r="I900" s="2"/>
      <c r="J900" s="2"/>
      <c r="K900" s="183"/>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row>
    <row r="901" spans="1:87" ht="14.25" customHeight="1" x14ac:dyDescent="0.25">
      <c r="A901" s="2"/>
      <c r="B901" s="2"/>
      <c r="C901" s="2"/>
      <c r="D901" s="2"/>
      <c r="E901" s="2"/>
      <c r="F901" s="2"/>
      <c r="G901" s="2"/>
      <c r="H901" s="2"/>
      <c r="I901" s="2"/>
      <c r="J901" s="2"/>
      <c r="K901" s="183"/>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row>
    <row r="902" spans="1:87" ht="14.25" customHeight="1" x14ac:dyDescent="0.25">
      <c r="A902" s="2"/>
      <c r="B902" s="2"/>
      <c r="C902" s="2"/>
      <c r="D902" s="2"/>
      <c r="E902" s="2"/>
      <c r="F902" s="2"/>
      <c r="G902" s="2"/>
      <c r="H902" s="2"/>
      <c r="I902" s="2"/>
      <c r="J902" s="2"/>
      <c r="K902" s="183"/>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row>
    <row r="903" spans="1:87" ht="14.25" customHeight="1" x14ac:dyDescent="0.25">
      <c r="A903" s="2"/>
      <c r="B903" s="2"/>
      <c r="C903" s="2"/>
      <c r="D903" s="2"/>
      <c r="E903" s="2"/>
      <c r="F903" s="2"/>
      <c r="G903" s="2"/>
      <c r="H903" s="2"/>
      <c r="I903" s="2"/>
      <c r="J903" s="2"/>
      <c r="K903" s="183"/>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row>
    <row r="904" spans="1:87" ht="14.25" customHeight="1" x14ac:dyDescent="0.25">
      <c r="A904" s="2"/>
      <c r="B904" s="2"/>
      <c r="C904" s="2"/>
      <c r="D904" s="2"/>
      <c r="E904" s="2"/>
      <c r="F904" s="2"/>
      <c r="G904" s="2"/>
      <c r="H904" s="2"/>
      <c r="I904" s="2"/>
      <c r="J904" s="2"/>
      <c r="K904" s="183"/>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row>
    <row r="905" spans="1:87" ht="14.25" customHeight="1" x14ac:dyDescent="0.25">
      <c r="A905" s="2"/>
      <c r="B905" s="2"/>
      <c r="C905" s="2"/>
      <c r="D905" s="2"/>
      <c r="E905" s="2"/>
      <c r="F905" s="2"/>
      <c r="G905" s="2"/>
      <c r="H905" s="2"/>
      <c r="I905" s="2"/>
      <c r="J905" s="2"/>
      <c r="K905" s="183"/>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row>
    <row r="906" spans="1:87" ht="14.25" customHeight="1" x14ac:dyDescent="0.25">
      <c r="A906" s="2"/>
      <c r="B906" s="2"/>
      <c r="C906" s="2"/>
      <c r="D906" s="2"/>
      <c r="E906" s="2"/>
      <c r="F906" s="2"/>
      <c r="G906" s="2"/>
      <c r="H906" s="2"/>
      <c r="I906" s="2"/>
      <c r="J906" s="2"/>
      <c r="K906" s="183"/>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row>
    <row r="907" spans="1:87" ht="14.25" customHeight="1" x14ac:dyDescent="0.25">
      <c r="A907" s="2"/>
      <c r="B907" s="2"/>
      <c r="C907" s="2"/>
      <c r="D907" s="2"/>
      <c r="E907" s="2"/>
      <c r="F907" s="2"/>
      <c r="G907" s="2"/>
      <c r="H907" s="2"/>
      <c r="I907" s="2"/>
      <c r="J907" s="2"/>
      <c r="K907" s="183"/>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row>
    <row r="908" spans="1:87" ht="14.25" customHeight="1" x14ac:dyDescent="0.25">
      <c r="A908" s="2"/>
      <c r="B908" s="2"/>
      <c r="C908" s="2"/>
      <c r="D908" s="2"/>
      <c r="E908" s="2"/>
      <c r="F908" s="2"/>
      <c r="G908" s="2"/>
      <c r="H908" s="2"/>
      <c r="I908" s="2"/>
      <c r="J908" s="2"/>
      <c r="K908" s="183"/>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row>
    <row r="909" spans="1:87" ht="14.25" customHeight="1" x14ac:dyDescent="0.25">
      <c r="A909" s="2"/>
      <c r="B909" s="2"/>
      <c r="C909" s="2"/>
      <c r="D909" s="2"/>
      <c r="E909" s="2"/>
      <c r="F909" s="2"/>
      <c r="G909" s="2"/>
      <c r="H909" s="2"/>
      <c r="I909" s="2"/>
      <c r="J909" s="2"/>
      <c r="K909" s="183"/>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row>
    <row r="910" spans="1:87" ht="14.25" customHeight="1" x14ac:dyDescent="0.25">
      <c r="A910" s="2"/>
      <c r="B910" s="2"/>
      <c r="C910" s="2"/>
      <c r="D910" s="2"/>
      <c r="E910" s="2"/>
      <c r="F910" s="2"/>
      <c r="G910" s="2"/>
      <c r="H910" s="2"/>
      <c r="I910" s="2"/>
      <c r="J910" s="2"/>
      <c r="K910" s="183"/>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row>
    <row r="911" spans="1:87" ht="14.25" customHeight="1" x14ac:dyDescent="0.25">
      <c r="A911" s="2"/>
      <c r="B911" s="2"/>
      <c r="C911" s="2"/>
      <c r="D911" s="2"/>
      <c r="E911" s="2"/>
      <c r="F911" s="2"/>
      <c r="G911" s="2"/>
      <c r="H911" s="2"/>
      <c r="I911" s="2"/>
      <c r="J911" s="2"/>
      <c r="K911" s="183"/>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row>
    <row r="912" spans="1:87" ht="14.25" customHeight="1" x14ac:dyDescent="0.25">
      <c r="A912" s="2"/>
      <c r="B912" s="2"/>
      <c r="C912" s="2"/>
      <c r="D912" s="2"/>
      <c r="E912" s="2"/>
      <c r="F912" s="2"/>
      <c r="G912" s="2"/>
      <c r="H912" s="2"/>
      <c r="I912" s="2"/>
      <c r="J912" s="2"/>
      <c r="K912" s="183"/>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row>
    <row r="913" spans="1:87" ht="14.25" customHeight="1" x14ac:dyDescent="0.25">
      <c r="A913" s="2"/>
      <c r="B913" s="2"/>
      <c r="C913" s="2"/>
      <c r="D913" s="2"/>
      <c r="E913" s="2"/>
      <c r="F913" s="2"/>
      <c r="G913" s="2"/>
      <c r="H913" s="2"/>
      <c r="I913" s="2"/>
      <c r="J913" s="2"/>
      <c r="K913" s="183"/>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row>
    <row r="914" spans="1:87" ht="14.25" customHeight="1" x14ac:dyDescent="0.25">
      <c r="A914" s="2"/>
      <c r="B914" s="2"/>
      <c r="C914" s="2"/>
      <c r="D914" s="2"/>
      <c r="E914" s="2"/>
      <c r="F914" s="2"/>
      <c r="G914" s="2"/>
      <c r="H914" s="2"/>
      <c r="I914" s="2"/>
      <c r="J914" s="2"/>
      <c r="K914" s="183"/>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row>
    <row r="915" spans="1:87" ht="14.25" customHeight="1" x14ac:dyDescent="0.25">
      <c r="A915" s="2"/>
      <c r="B915" s="2"/>
      <c r="C915" s="2"/>
      <c r="D915" s="2"/>
      <c r="E915" s="2"/>
      <c r="F915" s="2"/>
      <c r="G915" s="2"/>
      <c r="H915" s="2"/>
      <c r="I915" s="2"/>
      <c r="J915" s="2"/>
      <c r="K915" s="183"/>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row>
    <row r="916" spans="1:87" ht="14.25" customHeight="1" x14ac:dyDescent="0.25">
      <c r="A916" s="2"/>
      <c r="B916" s="2"/>
      <c r="C916" s="2"/>
      <c r="D916" s="2"/>
      <c r="E916" s="2"/>
      <c r="F916" s="2"/>
      <c r="G916" s="2"/>
      <c r="H916" s="2"/>
      <c r="I916" s="2"/>
      <c r="J916" s="2"/>
      <c r="K916" s="183"/>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row>
    <row r="917" spans="1:87" ht="14.25" customHeight="1" x14ac:dyDescent="0.25">
      <c r="A917" s="2"/>
      <c r="B917" s="2"/>
      <c r="C917" s="2"/>
      <c r="D917" s="2"/>
      <c r="E917" s="2"/>
      <c r="F917" s="2"/>
      <c r="G917" s="2"/>
      <c r="H917" s="2"/>
      <c r="I917" s="2"/>
      <c r="J917" s="2"/>
      <c r="K917" s="183"/>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row>
    <row r="918" spans="1:87" ht="14.25" customHeight="1" x14ac:dyDescent="0.25">
      <c r="A918" s="2"/>
      <c r="B918" s="2"/>
      <c r="C918" s="2"/>
      <c r="D918" s="2"/>
      <c r="E918" s="2"/>
      <c r="F918" s="2"/>
      <c r="G918" s="2"/>
      <c r="H918" s="2"/>
      <c r="I918" s="2"/>
      <c r="J918" s="2"/>
      <c r="K918" s="183"/>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row>
    <row r="919" spans="1:87" ht="14.25" customHeight="1" x14ac:dyDescent="0.25">
      <c r="A919" s="2"/>
      <c r="B919" s="2"/>
      <c r="C919" s="2"/>
      <c r="D919" s="2"/>
      <c r="E919" s="2"/>
      <c r="F919" s="2"/>
      <c r="G919" s="2"/>
      <c r="H919" s="2"/>
      <c r="I919" s="2"/>
      <c r="J919" s="2"/>
      <c r="K919" s="183"/>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row>
    <row r="920" spans="1:87" ht="14.25" customHeight="1" x14ac:dyDescent="0.25">
      <c r="A920" s="2"/>
      <c r="B920" s="2"/>
      <c r="C920" s="2"/>
      <c r="D920" s="2"/>
      <c r="E920" s="2"/>
      <c r="F920" s="2"/>
      <c r="G920" s="2"/>
      <c r="H920" s="2"/>
      <c r="I920" s="2"/>
      <c r="J920" s="2"/>
      <c r="K920" s="183"/>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row>
    <row r="921" spans="1:87" ht="14.25" customHeight="1" x14ac:dyDescent="0.25">
      <c r="A921" s="2"/>
      <c r="B921" s="2"/>
      <c r="C921" s="2"/>
      <c r="D921" s="2"/>
      <c r="E921" s="2"/>
      <c r="F921" s="2"/>
      <c r="G921" s="2"/>
      <c r="H921" s="2"/>
      <c r="I921" s="2"/>
      <c r="J921" s="2"/>
      <c r="K921" s="183"/>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row>
    <row r="922" spans="1:87" ht="14.25" customHeight="1" x14ac:dyDescent="0.25">
      <c r="A922" s="2"/>
      <c r="B922" s="2"/>
      <c r="C922" s="2"/>
      <c r="D922" s="2"/>
      <c r="E922" s="2"/>
      <c r="F922" s="2"/>
      <c r="G922" s="2"/>
      <c r="H922" s="2"/>
      <c r="I922" s="2"/>
      <c r="J922" s="2"/>
      <c r="K922" s="183"/>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row>
    <row r="923" spans="1:87" ht="14.25" customHeight="1" x14ac:dyDescent="0.25">
      <c r="A923" s="2"/>
      <c r="B923" s="2"/>
      <c r="C923" s="2"/>
      <c r="D923" s="2"/>
      <c r="E923" s="2"/>
      <c r="F923" s="2"/>
      <c r="G923" s="2"/>
      <c r="H923" s="2"/>
      <c r="I923" s="2"/>
      <c r="J923" s="2"/>
      <c r="K923" s="183"/>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row>
    <row r="924" spans="1:87" ht="14.25" customHeight="1" x14ac:dyDescent="0.25">
      <c r="A924" s="2"/>
      <c r="B924" s="2"/>
      <c r="C924" s="2"/>
      <c r="D924" s="2"/>
      <c r="E924" s="2"/>
      <c r="F924" s="2"/>
      <c r="G924" s="2"/>
      <c r="H924" s="2"/>
      <c r="I924" s="2"/>
      <c r="J924" s="2"/>
      <c r="K924" s="183"/>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row>
    <row r="925" spans="1:87" ht="14.25" customHeight="1" x14ac:dyDescent="0.25">
      <c r="A925" s="2"/>
      <c r="B925" s="2"/>
      <c r="C925" s="2"/>
      <c r="D925" s="2"/>
      <c r="E925" s="2"/>
      <c r="F925" s="2"/>
      <c r="G925" s="2"/>
      <c r="H925" s="2"/>
      <c r="I925" s="2"/>
      <c r="J925" s="2"/>
      <c r="K925" s="183"/>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row>
    <row r="926" spans="1:87" ht="14.25" customHeight="1" x14ac:dyDescent="0.25">
      <c r="A926" s="2"/>
      <c r="B926" s="2"/>
      <c r="C926" s="2"/>
      <c r="D926" s="2"/>
      <c r="E926" s="2"/>
      <c r="F926" s="2"/>
      <c r="G926" s="2"/>
      <c r="H926" s="2"/>
      <c r="I926" s="2"/>
      <c r="J926" s="2"/>
      <c r="K926" s="183"/>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row>
    <row r="927" spans="1:87" ht="14.25" customHeight="1" x14ac:dyDescent="0.25">
      <c r="A927" s="2"/>
      <c r="B927" s="2"/>
      <c r="C927" s="2"/>
      <c r="D927" s="2"/>
      <c r="E927" s="2"/>
      <c r="F927" s="2"/>
      <c r="G927" s="2"/>
      <c r="H927" s="2"/>
      <c r="I927" s="2"/>
      <c r="J927" s="2"/>
      <c r="K927" s="183"/>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row>
    <row r="928" spans="1:87" ht="14.25" customHeight="1" x14ac:dyDescent="0.25">
      <c r="A928" s="2"/>
      <c r="B928" s="2"/>
      <c r="C928" s="2"/>
      <c r="D928" s="2"/>
      <c r="E928" s="2"/>
      <c r="F928" s="2"/>
      <c r="G928" s="2"/>
      <c r="H928" s="2"/>
      <c r="I928" s="2"/>
      <c r="J928" s="2"/>
      <c r="K928" s="183"/>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row>
    <row r="929" spans="1:87" ht="14.25" customHeight="1" x14ac:dyDescent="0.25">
      <c r="A929" s="2"/>
      <c r="B929" s="2"/>
      <c r="C929" s="2"/>
      <c r="D929" s="2"/>
      <c r="E929" s="2"/>
      <c r="F929" s="2"/>
      <c r="G929" s="2"/>
      <c r="H929" s="2"/>
      <c r="I929" s="2"/>
      <c r="J929" s="2"/>
      <c r="K929" s="183"/>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row>
    <row r="930" spans="1:87" ht="14.25" customHeight="1" x14ac:dyDescent="0.25">
      <c r="A930" s="2"/>
      <c r="B930" s="2"/>
      <c r="C930" s="2"/>
      <c r="D930" s="2"/>
      <c r="E930" s="2"/>
      <c r="F930" s="2"/>
      <c r="G930" s="2"/>
      <c r="H930" s="2"/>
      <c r="I930" s="2"/>
      <c r="J930" s="2"/>
      <c r="K930" s="183"/>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row>
    <row r="931" spans="1:87" ht="14.25" customHeight="1" x14ac:dyDescent="0.25">
      <c r="A931" s="2"/>
      <c r="B931" s="2"/>
      <c r="C931" s="2"/>
      <c r="D931" s="2"/>
      <c r="E931" s="2"/>
      <c r="F931" s="2"/>
      <c r="G931" s="2"/>
      <c r="H931" s="2"/>
      <c r="I931" s="2"/>
      <c r="J931" s="2"/>
      <c r="K931" s="183"/>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row>
    <row r="932" spans="1:87" ht="14.25" customHeight="1" x14ac:dyDescent="0.25">
      <c r="A932" s="2"/>
      <c r="B932" s="2"/>
      <c r="C932" s="2"/>
      <c r="D932" s="2"/>
      <c r="E932" s="2"/>
      <c r="F932" s="2"/>
      <c r="G932" s="2"/>
      <c r="H932" s="2"/>
      <c r="I932" s="2"/>
      <c r="J932" s="2"/>
      <c r="K932" s="183"/>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row>
    <row r="933" spans="1:87" ht="14.25" customHeight="1" x14ac:dyDescent="0.25">
      <c r="A933" s="2"/>
      <c r="B933" s="2"/>
      <c r="C933" s="2"/>
      <c r="D933" s="2"/>
      <c r="E933" s="2"/>
      <c r="F933" s="2"/>
      <c r="G933" s="2"/>
      <c r="H933" s="2"/>
      <c r="I933" s="2"/>
      <c r="J933" s="2"/>
      <c r="K933" s="183"/>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row>
    <row r="934" spans="1:87" ht="14.25" customHeight="1" x14ac:dyDescent="0.25">
      <c r="A934" s="2"/>
      <c r="B934" s="2"/>
      <c r="C934" s="2"/>
      <c r="D934" s="2"/>
      <c r="E934" s="2"/>
      <c r="F934" s="2"/>
      <c r="G934" s="2"/>
      <c r="H934" s="2"/>
      <c r="I934" s="2"/>
      <c r="J934" s="2"/>
      <c r="K934" s="183"/>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row>
    <row r="935" spans="1:87" ht="14.25" customHeight="1" x14ac:dyDescent="0.25">
      <c r="A935" s="2"/>
      <c r="B935" s="2"/>
      <c r="C935" s="2"/>
      <c r="D935" s="2"/>
      <c r="E935" s="2"/>
      <c r="F935" s="2"/>
      <c r="G935" s="2"/>
      <c r="H935" s="2"/>
      <c r="I935" s="2"/>
      <c r="J935" s="2"/>
      <c r="K935" s="183"/>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row>
    <row r="936" spans="1:87" ht="14.25" customHeight="1" x14ac:dyDescent="0.25">
      <c r="A936" s="2"/>
      <c r="B936" s="2"/>
      <c r="C936" s="2"/>
      <c r="D936" s="2"/>
      <c r="E936" s="2"/>
      <c r="F936" s="2"/>
      <c r="G936" s="2"/>
      <c r="H936" s="2"/>
      <c r="I936" s="2"/>
      <c r="J936" s="2"/>
      <c r="K936" s="183"/>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row>
    <row r="937" spans="1:87" ht="14.25" customHeight="1" x14ac:dyDescent="0.25">
      <c r="A937" s="2"/>
      <c r="B937" s="2"/>
      <c r="C937" s="2"/>
      <c r="D937" s="2"/>
      <c r="E937" s="2"/>
      <c r="F937" s="2"/>
      <c r="G937" s="2"/>
      <c r="H937" s="2"/>
      <c r="I937" s="2"/>
      <c r="J937" s="2"/>
      <c r="K937" s="183"/>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row>
    <row r="938" spans="1:87" ht="14.25" customHeight="1" x14ac:dyDescent="0.25">
      <c r="A938" s="2"/>
      <c r="B938" s="2"/>
      <c r="C938" s="2"/>
      <c r="D938" s="2"/>
      <c r="E938" s="2"/>
      <c r="F938" s="2"/>
      <c r="G938" s="2"/>
      <c r="H938" s="2"/>
      <c r="I938" s="2"/>
      <c r="J938" s="2"/>
      <c r="K938" s="183"/>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row>
    <row r="939" spans="1:87" ht="14.25" customHeight="1" x14ac:dyDescent="0.25">
      <c r="A939" s="2"/>
      <c r="B939" s="2"/>
      <c r="C939" s="2"/>
      <c r="D939" s="2"/>
      <c r="E939" s="2"/>
      <c r="F939" s="2"/>
      <c r="G939" s="2"/>
      <c r="H939" s="2"/>
      <c r="I939" s="2"/>
      <c r="J939" s="2"/>
      <c r="K939" s="183"/>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row>
    <row r="940" spans="1:87" ht="14.25" customHeight="1" x14ac:dyDescent="0.25">
      <c r="A940" s="2"/>
      <c r="B940" s="2"/>
      <c r="C940" s="2"/>
      <c r="D940" s="2"/>
      <c r="E940" s="2"/>
      <c r="F940" s="2"/>
      <c r="G940" s="2"/>
      <c r="H940" s="2"/>
      <c r="I940" s="2"/>
      <c r="J940" s="2"/>
      <c r="K940" s="183"/>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row>
    <row r="941" spans="1:87" ht="14.25" customHeight="1" x14ac:dyDescent="0.25">
      <c r="A941" s="2"/>
      <c r="B941" s="2"/>
      <c r="C941" s="2"/>
      <c r="D941" s="2"/>
      <c r="E941" s="2"/>
      <c r="F941" s="2"/>
      <c r="G941" s="2"/>
      <c r="H941" s="2"/>
      <c r="I941" s="2"/>
      <c r="J941" s="2"/>
      <c r="K941" s="183"/>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row>
    <row r="942" spans="1:87" ht="14.25" customHeight="1" x14ac:dyDescent="0.25">
      <c r="A942" s="2"/>
      <c r="B942" s="2"/>
      <c r="C942" s="2"/>
      <c r="D942" s="2"/>
      <c r="E942" s="2"/>
      <c r="F942" s="2"/>
      <c r="G942" s="2"/>
      <c r="H942" s="2"/>
      <c r="I942" s="2"/>
      <c r="J942" s="2"/>
      <c r="K942" s="183"/>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row>
    <row r="943" spans="1:87" ht="14.25" customHeight="1" x14ac:dyDescent="0.25">
      <c r="A943" s="2"/>
      <c r="B943" s="2"/>
      <c r="C943" s="2"/>
      <c r="D943" s="2"/>
      <c r="E943" s="2"/>
      <c r="F943" s="2"/>
      <c r="G943" s="2"/>
      <c r="H943" s="2"/>
      <c r="I943" s="2"/>
      <c r="J943" s="2"/>
      <c r="K943" s="183"/>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row>
    <row r="944" spans="1:87" ht="14.25" customHeight="1" x14ac:dyDescent="0.25">
      <c r="A944" s="2"/>
      <c r="B944" s="2"/>
      <c r="C944" s="2"/>
      <c r="D944" s="2"/>
      <c r="E944" s="2"/>
      <c r="F944" s="2"/>
      <c r="G944" s="2"/>
      <c r="H944" s="2"/>
      <c r="I944" s="2"/>
      <c r="J944" s="2"/>
      <c r="K944" s="183"/>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row>
    <row r="945" spans="1:87" ht="14.25" customHeight="1" x14ac:dyDescent="0.25">
      <c r="A945" s="2"/>
      <c r="B945" s="2"/>
      <c r="C945" s="2"/>
      <c r="D945" s="2"/>
      <c r="E945" s="2"/>
      <c r="F945" s="2"/>
      <c r="G945" s="2"/>
      <c r="H945" s="2"/>
      <c r="I945" s="2"/>
      <c r="J945" s="2"/>
      <c r="K945" s="183"/>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row>
    <row r="946" spans="1:87" ht="14.25" customHeight="1" x14ac:dyDescent="0.25">
      <c r="A946" s="2"/>
      <c r="B946" s="2"/>
      <c r="C946" s="2"/>
      <c r="D946" s="2"/>
      <c r="E946" s="2"/>
      <c r="F946" s="2"/>
      <c r="G946" s="2"/>
      <c r="H946" s="2"/>
      <c r="I946" s="2"/>
      <c r="J946" s="2"/>
      <c r="K946" s="183"/>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row>
    <row r="947" spans="1:87" ht="14.25" customHeight="1" x14ac:dyDescent="0.25">
      <c r="A947" s="2"/>
      <c r="B947" s="2"/>
      <c r="C947" s="2"/>
      <c r="D947" s="2"/>
      <c r="E947" s="2"/>
      <c r="F947" s="2"/>
      <c r="G947" s="2"/>
      <c r="H947" s="2"/>
      <c r="I947" s="2"/>
      <c r="J947" s="2"/>
      <c r="K947" s="183"/>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row>
    <row r="948" spans="1:87" ht="14.25" customHeight="1" x14ac:dyDescent="0.25">
      <c r="A948" s="2"/>
      <c r="B948" s="2"/>
      <c r="C948" s="2"/>
      <c r="D948" s="2"/>
      <c r="E948" s="2"/>
      <c r="F948" s="2"/>
      <c r="G948" s="2"/>
      <c r="H948" s="2"/>
      <c r="I948" s="2"/>
      <c r="J948" s="2"/>
      <c r="K948" s="183"/>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row>
    <row r="949" spans="1:87" ht="14.25" customHeight="1" x14ac:dyDescent="0.25">
      <c r="A949" s="2"/>
      <c r="B949" s="2"/>
      <c r="C949" s="2"/>
      <c r="D949" s="2"/>
      <c r="E949" s="2"/>
      <c r="F949" s="2"/>
      <c r="G949" s="2"/>
      <c r="H949" s="2"/>
      <c r="I949" s="2"/>
      <c r="J949" s="2"/>
      <c r="K949" s="183"/>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row>
    <row r="950" spans="1:87" ht="14.25" customHeight="1" x14ac:dyDescent="0.25">
      <c r="A950" s="2"/>
      <c r="B950" s="2"/>
      <c r="C950" s="2"/>
      <c r="D950" s="2"/>
      <c r="E950" s="2"/>
      <c r="F950" s="2"/>
      <c r="G950" s="2"/>
      <c r="H950" s="2"/>
      <c r="I950" s="2"/>
      <c r="J950" s="2"/>
      <c r="K950" s="183"/>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row>
    <row r="951" spans="1:87" ht="14.25" customHeight="1" x14ac:dyDescent="0.25">
      <c r="A951" s="2"/>
      <c r="B951" s="2"/>
      <c r="C951" s="2"/>
      <c r="D951" s="2"/>
      <c r="E951" s="2"/>
      <c r="F951" s="2"/>
      <c r="G951" s="2"/>
      <c r="H951" s="2"/>
      <c r="I951" s="2"/>
      <c r="J951" s="2"/>
      <c r="K951" s="183"/>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row>
    <row r="952" spans="1:87" ht="14.25" customHeight="1" x14ac:dyDescent="0.25">
      <c r="A952" s="2"/>
      <c r="B952" s="2"/>
      <c r="C952" s="2"/>
      <c r="D952" s="2"/>
      <c r="E952" s="2"/>
      <c r="F952" s="2"/>
      <c r="G952" s="2"/>
      <c r="H952" s="2"/>
      <c r="I952" s="2"/>
      <c r="J952" s="2"/>
      <c r="K952" s="183"/>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row>
    <row r="953" spans="1:87" ht="14.25" customHeight="1" x14ac:dyDescent="0.25">
      <c r="A953" s="2"/>
      <c r="B953" s="2"/>
      <c r="C953" s="2"/>
      <c r="D953" s="2"/>
      <c r="E953" s="2"/>
      <c r="F953" s="2"/>
      <c r="G953" s="2"/>
      <c r="H953" s="2"/>
      <c r="I953" s="2"/>
      <c r="J953" s="2"/>
      <c r="K953" s="183"/>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row>
    <row r="954" spans="1:87" ht="14.25" customHeight="1" x14ac:dyDescent="0.25">
      <c r="A954" s="2"/>
      <c r="B954" s="2"/>
      <c r="C954" s="2"/>
      <c r="D954" s="2"/>
      <c r="E954" s="2"/>
      <c r="F954" s="2"/>
      <c r="G954" s="2"/>
      <c r="H954" s="2"/>
      <c r="I954" s="2"/>
      <c r="J954" s="2"/>
      <c r="K954" s="183"/>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row>
    <row r="955" spans="1:87" ht="14.25" customHeight="1" x14ac:dyDescent="0.25">
      <c r="A955" s="2"/>
      <c r="B955" s="2"/>
      <c r="C955" s="2"/>
      <c r="D955" s="2"/>
      <c r="E955" s="2"/>
      <c r="F955" s="2"/>
      <c r="G955" s="2"/>
      <c r="H955" s="2"/>
      <c r="I955" s="2"/>
      <c r="J955" s="2"/>
      <c r="K955" s="183"/>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row>
    <row r="956" spans="1:87" ht="14.25" customHeight="1" x14ac:dyDescent="0.25">
      <c r="A956" s="2"/>
      <c r="B956" s="2"/>
      <c r="C956" s="2"/>
      <c r="D956" s="2"/>
      <c r="E956" s="2"/>
      <c r="F956" s="2"/>
      <c r="G956" s="2"/>
      <c r="H956" s="2"/>
      <c r="I956" s="2"/>
      <c r="J956" s="2"/>
      <c r="K956" s="183"/>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row>
    <row r="957" spans="1:87" ht="14.25" customHeight="1" x14ac:dyDescent="0.25">
      <c r="A957" s="2"/>
      <c r="B957" s="2"/>
      <c r="C957" s="2"/>
      <c r="D957" s="2"/>
      <c r="E957" s="2"/>
      <c r="F957" s="2"/>
      <c r="G957" s="2"/>
      <c r="H957" s="2"/>
      <c r="I957" s="2"/>
      <c r="J957" s="2"/>
      <c r="K957" s="183"/>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row>
    <row r="958" spans="1:87" ht="14.25" customHeight="1" x14ac:dyDescent="0.25">
      <c r="A958" s="2"/>
      <c r="B958" s="2"/>
      <c r="C958" s="2"/>
      <c r="D958" s="2"/>
      <c r="E958" s="2"/>
      <c r="F958" s="2"/>
      <c r="G958" s="2"/>
      <c r="H958" s="2"/>
      <c r="I958" s="2"/>
      <c r="J958" s="2"/>
      <c r="K958" s="183"/>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row>
    <row r="959" spans="1:87" ht="14.25" customHeight="1" x14ac:dyDescent="0.25">
      <c r="A959" s="2"/>
      <c r="B959" s="2"/>
      <c r="C959" s="2"/>
      <c r="D959" s="2"/>
      <c r="E959" s="2"/>
      <c r="F959" s="2"/>
      <c r="G959" s="2"/>
      <c r="H959" s="2"/>
      <c r="I959" s="2"/>
      <c r="J959" s="2"/>
      <c r="K959" s="183"/>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row>
    <row r="960" spans="1:87" ht="14.25" customHeight="1" x14ac:dyDescent="0.25">
      <c r="A960" s="2"/>
      <c r="B960" s="2"/>
      <c r="C960" s="2"/>
      <c r="D960" s="2"/>
      <c r="E960" s="2"/>
      <c r="F960" s="2"/>
      <c r="G960" s="2"/>
      <c r="H960" s="2"/>
      <c r="I960" s="2"/>
      <c r="J960" s="2"/>
      <c r="K960" s="183"/>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row>
    <row r="961" spans="1:87" ht="14.25" customHeight="1" x14ac:dyDescent="0.25">
      <c r="A961" s="2"/>
      <c r="B961" s="2"/>
      <c r="C961" s="2"/>
      <c r="D961" s="2"/>
      <c r="E961" s="2"/>
      <c r="F961" s="2"/>
      <c r="G961" s="2"/>
      <c r="H961" s="2"/>
      <c r="I961" s="2"/>
      <c r="J961" s="2"/>
      <c r="K961" s="183"/>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row>
    <row r="962" spans="1:87" ht="14.25" customHeight="1" x14ac:dyDescent="0.25">
      <c r="A962" s="2"/>
      <c r="B962" s="2"/>
      <c r="C962" s="2"/>
      <c r="D962" s="2"/>
      <c r="E962" s="2"/>
      <c r="F962" s="2"/>
      <c r="G962" s="2"/>
      <c r="H962" s="2"/>
      <c r="I962" s="2"/>
      <c r="J962" s="2"/>
      <c r="K962" s="183"/>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row>
    <row r="963" spans="1:87" ht="14.25" customHeight="1" x14ac:dyDescent="0.25">
      <c r="A963" s="2"/>
      <c r="B963" s="2"/>
      <c r="C963" s="2"/>
      <c r="D963" s="2"/>
      <c r="E963" s="2"/>
      <c r="F963" s="2"/>
      <c r="G963" s="2"/>
      <c r="H963" s="2"/>
      <c r="I963" s="2"/>
      <c r="J963" s="2"/>
      <c r="K963" s="183"/>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row>
    <row r="964" spans="1:87" ht="14.25" customHeight="1" x14ac:dyDescent="0.25">
      <c r="A964" s="2"/>
      <c r="B964" s="2"/>
      <c r="C964" s="2"/>
      <c r="D964" s="2"/>
      <c r="E964" s="2"/>
      <c r="F964" s="2"/>
      <c r="G964" s="2"/>
      <c r="H964" s="2"/>
      <c r="I964" s="2"/>
      <c r="J964" s="2"/>
      <c r="K964" s="183"/>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row>
    <row r="965" spans="1:87" ht="14.25" customHeight="1" x14ac:dyDescent="0.25">
      <c r="A965" s="2"/>
      <c r="B965" s="2"/>
      <c r="C965" s="2"/>
      <c r="D965" s="2"/>
      <c r="E965" s="2"/>
      <c r="F965" s="2"/>
      <c r="G965" s="2"/>
      <c r="H965" s="2"/>
      <c r="I965" s="2"/>
      <c r="J965" s="2"/>
      <c r="K965" s="183"/>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row>
    <row r="966" spans="1:87" ht="14.25" customHeight="1" x14ac:dyDescent="0.25">
      <c r="A966" s="2"/>
      <c r="B966" s="2"/>
      <c r="C966" s="2"/>
      <c r="D966" s="2"/>
      <c r="E966" s="2"/>
      <c r="F966" s="2"/>
      <c r="G966" s="2"/>
      <c r="H966" s="2"/>
      <c r="I966" s="2"/>
      <c r="J966" s="2"/>
      <c r="K966" s="183"/>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row>
    <row r="967" spans="1:87" ht="14.25" customHeight="1" x14ac:dyDescent="0.25">
      <c r="A967" s="2"/>
      <c r="B967" s="2"/>
      <c r="C967" s="2"/>
      <c r="D967" s="2"/>
      <c r="E967" s="2"/>
      <c r="F967" s="2"/>
      <c r="G967" s="2"/>
      <c r="H967" s="2"/>
      <c r="I967" s="2"/>
      <c r="J967" s="2"/>
      <c r="K967" s="183"/>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row>
    <row r="968" spans="1:87" ht="14.25" customHeight="1" x14ac:dyDescent="0.25">
      <c r="A968" s="2"/>
      <c r="B968" s="2"/>
      <c r="C968" s="2"/>
      <c r="D968" s="2"/>
      <c r="E968" s="2"/>
      <c r="F968" s="2"/>
      <c r="G968" s="2"/>
      <c r="H968" s="2"/>
      <c r="I968" s="2"/>
      <c r="J968" s="2"/>
      <c r="K968" s="183"/>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row>
    <row r="969" spans="1:87" ht="14.25" customHeight="1" x14ac:dyDescent="0.25">
      <c r="A969" s="2"/>
      <c r="B969" s="2"/>
      <c r="C969" s="2"/>
      <c r="D969" s="2"/>
      <c r="E969" s="2"/>
      <c r="F969" s="2"/>
      <c r="G969" s="2"/>
      <c r="H969" s="2"/>
      <c r="I969" s="2"/>
      <c r="J969" s="2"/>
      <c r="K969" s="183"/>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row>
    <row r="970" spans="1:87" ht="14.25" customHeight="1" x14ac:dyDescent="0.25">
      <c r="A970" s="2"/>
      <c r="B970" s="2"/>
      <c r="C970" s="2"/>
      <c r="D970" s="2"/>
      <c r="E970" s="2"/>
      <c r="F970" s="2"/>
      <c r="G970" s="2"/>
      <c r="H970" s="2"/>
      <c r="I970" s="2"/>
      <c r="J970" s="2"/>
      <c r="K970" s="183"/>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row>
    <row r="971" spans="1:87" ht="14.25" customHeight="1" x14ac:dyDescent="0.25">
      <c r="A971" s="2"/>
      <c r="B971" s="2"/>
      <c r="C971" s="2"/>
      <c r="D971" s="2"/>
      <c r="E971" s="2"/>
      <c r="F971" s="2"/>
      <c r="G971" s="2"/>
      <c r="H971" s="2"/>
      <c r="I971" s="2"/>
      <c r="J971" s="2"/>
      <c r="K971" s="183"/>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row>
    <row r="972" spans="1:87" ht="14.25" customHeight="1" x14ac:dyDescent="0.25">
      <c r="A972" s="2"/>
      <c r="B972" s="2"/>
      <c r="C972" s="2"/>
      <c r="D972" s="2"/>
      <c r="E972" s="2"/>
      <c r="F972" s="2"/>
      <c r="G972" s="2"/>
      <c r="H972" s="2"/>
      <c r="I972" s="2"/>
      <c r="J972" s="2"/>
      <c r="K972" s="183"/>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row>
    <row r="973" spans="1:87" ht="14.25" customHeight="1" x14ac:dyDescent="0.25">
      <c r="A973" s="2"/>
      <c r="B973" s="2"/>
      <c r="C973" s="2"/>
      <c r="D973" s="2"/>
      <c r="E973" s="2"/>
      <c r="F973" s="2"/>
      <c r="G973" s="2"/>
      <c r="H973" s="2"/>
      <c r="I973" s="2"/>
      <c r="J973" s="2"/>
      <c r="K973" s="183"/>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row>
    <row r="974" spans="1:87" ht="14.25" customHeight="1" x14ac:dyDescent="0.25">
      <c r="A974" s="2"/>
      <c r="B974" s="2"/>
      <c r="C974" s="2"/>
      <c r="D974" s="2"/>
      <c r="E974" s="2"/>
      <c r="F974" s="2"/>
      <c r="G974" s="2"/>
      <c r="H974" s="2"/>
      <c r="I974" s="2"/>
      <c r="J974" s="2"/>
      <c r="K974" s="183"/>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row>
    <row r="975" spans="1:87" ht="14.25" customHeight="1" x14ac:dyDescent="0.25">
      <c r="A975" s="2"/>
      <c r="B975" s="2"/>
      <c r="C975" s="2"/>
      <c r="D975" s="2"/>
      <c r="E975" s="2"/>
      <c r="F975" s="2"/>
      <c r="G975" s="2"/>
      <c r="H975" s="2"/>
      <c r="I975" s="2"/>
      <c r="J975" s="2"/>
      <c r="K975" s="183"/>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row>
    <row r="976" spans="1:87" ht="14.25" customHeight="1" x14ac:dyDescent="0.25">
      <c r="A976" s="2"/>
      <c r="B976" s="2"/>
      <c r="C976" s="2"/>
      <c r="D976" s="2"/>
      <c r="E976" s="2"/>
      <c r="F976" s="2"/>
      <c r="G976" s="2"/>
      <c r="H976" s="2"/>
      <c r="I976" s="2"/>
      <c r="J976" s="2"/>
      <c r="K976" s="183"/>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row>
    <row r="977" spans="1:87" ht="14.25" customHeight="1" x14ac:dyDescent="0.25">
      <c r="A977" s="2"/>
      <c r="B977" s="2"/>
      <c r="C977" s="2"/>
      <c r="D977" s="2"/>
      <c r="E977" s="2"/>
      <c r="F977" s="2"/>
      <c r="G977" s="2"/>
      <c r="H977" s="2"/>
      <c r="I977" s="2"/>
      <c r="J977" s="2"/>
      <c r="K977" s="183"/>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row>
    <row r="978" spans="1:87" ht="14.25" customHeight="1" x14ac:dyDescent="0.25">
      <c r="A978" s="2"/>
      <c r="B978" s="2"/>
      <c r="C978" s="2"/>
      <c r="D978" s="2"/>
      <c r="E978" s="2"/>
      <c r="F978" s="2"/>
      <c r="G978" s="2"/>
      <c r="H978" s="2"/>
      <c r="I978" s="2"/>
      <c r="J978" s="2"/>
      <c r="K978" s="183"/>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row>
    <row r="979" spans="1:87" ht="14.25" customHeight="1" x14ac:dyDescent="0.25">
      <c r="A979" s="2"/>
      <c r="B979" s="2"/>
      <c r="C979" s="2"/>
      <c r="D979" s="2"/>
      <c r="E979" s="2"/>
      <c r="F979" s="2"/>
      <c r="G979" s="2"/>
      <c r="H979" s="2"/>
      <c r="I979" s="2"/>
      <c r="J979" s="2"/>
      <c r="K979" s="183"/>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row>
    <row r="980" spans="1:87" ht="14.25" customHeight="1" x14ac:dyDescent="0.25">
      <c r="A980" s="2"/>
      <c r="B980" s="2"/>
      <c r="C980" s="2"/>
      <c r="D980" s="2"/>
      <c r="E980" s="2"/>
      <c r="F980" s="2"/>
      <c r="G980" s="2"/>
      <c r="H980" s="2"/>
      <c r="I980" s="2"/>
      <c r="J980" s="2"/>
      <c r="K980" s="183"/>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row>
    <row r="981" spans="1:87" ht="14.25" customHeight="1" x14ac:dyDescent="0.25">
      <c r="A981" s="2"/>
      <c r="B981" s="2"/>
      <c r="C981" s="2"/>
      <c r="D981" s="2"/>
      <c r="E981" s="2"/>
      <c r="F981" s="2"/>
      <c r="G981" s="2"/>
      <c r="H981" s="2"/>
      <c r="I981" s="2"/>
      <c r="J981" s="2"/>
      <c r="K981" s="183"/>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row>
    <row r="982" spans="1:87" ht="14.25" customHeight="1" x14ac:dyDescent="0.25">
      <c r="A982" s="2"/>
      <c r="B982" s="2"/>
      <c r="C982" s="2"/>
      <c r="D982" s="2"/>
      <c r="E982" s="2"/>
      <c r="F982" s="2"/>
      <c r="G982" s="2"/>
      <c r="H982" s="2"/>
      <c r="I982" s="2"/>
      <c r="J982" s="2"/>
      <c r="K982" s="183"/>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row>
    <row r="983" spans="1:87" ht="14.25" customHeight="1" x14ac:dyDescent="0.25">
      <c r="A983" s="2"/>
      <c r="B983" s="2"/>
      <c r="C983" s="2"/>
      <c r="D983" s="2"/>
      <c r="E983" s="2"/>
      <c r="F983" s="2"/>
      <c r="G983" s="2"/>
      <c r="H983" s="2"/>
      <c r="I983" s="2"/>
      <c r="J983" s="2"/>
      <c r="K983" s="183"/>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row>
    <row r="984" spans="1:87" ht="14.25" customHeight="1" x14ac:dyDescent="0.25">
      <c r="A984" s="2"/>
      <c r="B984" s="2"/>
      <c r="C984" s="2"/>
      <c r="D984" s="2"/>
      <c r="E984" s="2"/>
      <c r="F984" s="2"/>
      <c r="G984" s="2"/>
      <c r="H984" s="2"/>
      <c r="I984" s="2"/>
      <c r="J984" s="2"/>
      <c r="K984" s="183"/>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row>
    <row r="985" spans="1:87" ht="14.25" customHeight="1" x14ac:dyDescent="0.25">
      <c r="A985" s="2"/>
      <c r="B985" s="2"/>
      <c r="C985" s="2"/>
      <c r="D985" s="2"/>
      <c r="E985" s="2"/>
      <c r="F985" s="2"/>
      <c r="G985" s="2"/>
      <c r="H985" s="2"/>
      <c r="I985" s="2"/>
      <c r="J985" s="2"/>
      <c r="K985" s="183"/>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row>
    <row r="986" spans="1:87" ht="14.25" customHeight="1" x14ac:dyDescent="0.25">
      <c r="A986" s="2"/>
      <c r="B986" s="2"/>
      <c r="C986" s="2"/>
      <c r="D986" s="2"/>
      <c r="E986" s="2"/>
      <c r="F986" s="2"/>
      <c r="G986" s="2"/>
      <c r="H986" s="2"/>
      <c r="I986" s="2"/>
      <c r="J986" s="2"/>
      <c r="K986" s="183"/>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row>
    <row r="987" spans="1:87" ht="14.25" customHeight="1" x14ac:dyDescent="0.25">
      <c r="A987" s="2"/>
      <c r="B987" s="2"/>
      <c r="C987" s="2"/>
      <c r="D987" s="2"/>
      <c r="E987" s="2"/>
      <c r="F987" s="2"/>
      <c r="G987" s="2"/>
      <c r="H987" s="2"/>
      <c r="I987" s="2"/>
      <c r="J987" s="2"/>
      <c r="K987" s="183"/>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row>
    <row r="988" spans="1:87" ht="14.25" customHeight="1" x14ac:dyDescent="0.25">
      <c r="A988" s="2"/>
      <c r="B988" s="2"/>
      <c r="C988" s="2"/>
      <c r="D988" s="2"/>
      <c r="E988" s="2"/>
      <c r="F988" s="2"/>
      <c r="G988" s="2"/>
      <c r="H988" s="2"/>
      <c r="I988" s="2"/>
      <c r="J988" s="2"/>
      <c r="K988" s="183"/>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row>
    <row r="989" spans="1:87" ht="14.25" customHeight="1" x14ac:dyDescent="0.25">
      <c r="A989" s="2"/>
      <c r="B989" s="2"/>
      <c r="C989" s="2"/>
      <c r="D989" s="2"/>
      <c r="E989" s="2"/>
      <c r="F989" s="2"/>
      <c r="G989" s="2"/>
      <c r="H989" s="2"/>
      <c r="I989" s="2"/>
      <c r="J989" s="2"/>
      <c r="K989" s="183"/>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row>
    <row r="990" spans="1:87" ht="14.25" customHeight="1" x14ac:dyDescent="0.25">
      <c r="A990" s="2"/>
      <c r="B990" s="2"/>
      <c r="C990" s="2"/>
      <c r="D990" s="2"/>
      <c r="E990" s="2"/>
      <c r="F990" s="2"/>
      <c r="G990" s="2"/>
      <c r="H990" s="2"/>
      <c r="I990" s="2"/>
      <c r="J990" s="2"/>
      <c r="K990" s="183"/>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row>
    <row r="991" spans="1:87" ht="14.25" customHeight="1" x14ac:dyDescent="0.25">
      <c r="A991" s="2"/>
      <c r="B991" s="2"/>
      <c r="C991" s="2"/>
      <c r="D991" s="2"/>
      <c r="E991" s="2"/>
      <c r="F991" s="2"/>
      <c r="G991" s="2"/>
      <c r="H991" s="2"/>
      <c r="I991" s="2"/>
      <c r="J991" s="2"/>
      <c r="K991" s="183"/>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row>
    <row r="992" spans="1:87" ht="14.25" customHeight="1" x14ac:dyDescent="0.25">
      <c r="A992" s="2"/>
      <c r="B992" s="2"/>
      <c r="C992" s="2"/>
      <c r="D992" s="2"/>
      <c r="E992" s="2"/>
      <c r="F992" s="2"/>
      <c r="G992" s="2"/>
      <c r="H992" s="2"/>
      <c r="I992" s="2"/>
      <c r="J992" s="2"/>
      <c r="K992" s="183"/>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row>
    <row r="993" spans="1:87" ht="14.25" customHeight="1" x14ac:dyDescent="0.25">
      <c r="A993" s="2"/>
      <c r="B993" s="2"/>
      <c r="C993" s="2"/>
      <c r="D993" s="2"/>
      <c r="E993" s="2"/>
      <c r="F993" s="2"/>
      <c r="G993" s="2"/>
      <c r="H993" s="2"/>
      <c r="I993" s="2"/>
      <c r="J993" s="2"/>
      <c r="K993" s="183"/>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row>
    <row r="994" spans="1:87" ht="14.25" customHeight="1" x14ac:dyDescent="0.25">
      <c r="A994" s="2"/>
      <c r="B994" s="2"/>
      <c r="C994" s="2"/>
      <c r="D994" s="2"/>
      <c r="E994" s="2"/>
      <c r="F994" s="2"/>
      <c r="G994" s="2"/>
      <c r="H994" s="2"/>
      <c r="I994" s="2"/>
      <c r="J994" s="2"/>
      <c r="K994" s="183"/>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row>
    <row r="995" spans="1:87" ht="14.25" customHeight="1" x14ac:dyDescent="0.25">
      <c r="A995" s="2"/>
      <c r="B995" s="2"/>
      <c r="C995" s="2"/>
      <c r="D995" s="2"/>
      <c r="E995" s="2"/>
      <c r="F995" s="2"/>
      <c r="G995" s="2"/>
      <c r="H995" s="2"/>
      <c r="I995" s="2"/>
      <c r="J995" s="2"/>
      <c r="K995" s="183"/>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row>
    <row r="996" spans="1:87" ht="14.25" customHeight="1" x14ac:dyDescent="0.25">
      <c r="A996" s="2"/>
      <c r="B996" s="2"/>
      <c r="C996" s="2"/>
      <c r="D996" s="2"/>
      <c r="E996" s="2"/>
      <c r="F996" s="2"/>
      <c r="G996" s="2"/>
      <c r="H996" s="2"/>
      <c r="I996" s="2"/>
      <c r="J996" s="2"/>
      <c r="K996" s="183"/>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row>
    <row r="997" spans="1:87" ht="14.25" customHeight="1" x14ac:dyDescent="0.25">
      <c r="A997" s="2"/>
      <c r="B997" s="2"/>
      <c r="C997" s="2"/>
      <c r="D997" s="2"/>
      <c r="E997" s="2"/>
      <c r="F997" s="2"/>
      <c r="G997" s="2"/>
      <c r="H997" s="2"/>
      <c r="I997" s="2"/>
      <c r="J997" s="2"/>
      <c r="K997" s="183"/>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row>
    <row r="998" spans="1:87" ht="14.25" customHeight="1" x14ac:dyDescent="0.25">
      <c r="A998" s="2"/>
      <c r="B998" s="2"/>
      <c r="C998" s="2"/>
      <c r="D998" s="2"/>
      <c r="E998" s="2"/>
      <c r="F998" s="2"/>
      <c r="G998" s="2"/>
      <c r="H998" s="2"/>
      <c r="I998" s="2"/>
      <c r="J998" s="2"/>
      <c r="K998" s="183"/>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row>
    <row r="999" spans="1:87" ht="14.25" customHeight="1" x14ac:dyDescent="0.25">
      <c r="A999" s="2"/>
      <c r="B999" s="2"/>
      <c r="C999" s="2"/>
      <c r="D999" s="2"/>
      <c r="E999" s="2"/>
      <c r="F999" s="2"/>
      <c r="G999" s="2"/>
      <c r="H999" s="2"/>
      <c r="I999" s="2"/>
      <c r="J999" s="2"/>
      <c r="K999" s="183"/>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row>
    <row r="1000" spans="1:87" ht="14.25" customHeight="1" x14ac:dyDescent="0.25">
      <c r="A1000" s="2"/>
      <c r="B1000" s="2"/>
      <c r="C1000" s="2"/>
      <c r="D1000" s="2"/>
      <c r="E1000" s="2"/>
      <c r="F1000" s="2"/>
      <c r="G1000" s="2"/>
      <c r="H1000" s="2"/>
      <c r="I1000" s="2"/>
      <c r="J1000" s="2"/>
      <c r="K1000" s="183"/>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row>
  </sheetData>
  <mergeCells count="15">
    <mergeCell ref="BR5:BW5"/>
    <mergeCell ref="BX5:CC5"/>
    <mergeCell ref="CD5:CI5"/>
    <mergeCell ref="L4:AI4"/>
    <mergeCell ref="AL4:BI4"/>
    <mergeCell ref="BL4:CI4"/>
    <mergeCell ref="L5:Q5"/>
    <mergeCell ref="R5:W5"/>
    <mergeCell ref="X5:AC5"/>
    <mergeCell ref="AD5:AI5"/>
    <mergeCell ref="AL5:AQ5"/>
    <mergeCell ref="AR5:AW5"/>
    <mergeCell ref="AX5:BC5"/>
    <mergeCell ref="BD5:BI5"/>
    <mergeCell ref="BL5:BQ5"/>
  </mergeCells>
  <pageMargins left="0.7" right="0.7" top="0.75" bottom="0.75" header="0" footer="0"/>
  <pageSetup orientation="portrait"/>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F7F7F"/>
  </sheetPr>
  <dimension ref="A1:AD1001"/>
  <sheetViews>
    <sheetView showGridLines="0" zoomScale="80" zoomScaleNormal="80" workbookViewId="0">
      <pane ySplit="2" topLeftCell="A3" activePane="bottomLeft" state="frozen"/>
      <selection pane="bottomLeft"/>
    </sheetView>
  </sheetViews>
  <sheetFormatPr defaultColWidth="14.42578125" defaultRowHeight="15" customHeight="1" outlineLevelRow="1" x14ac:dyDescent="0.25"/>
  <cols>
    <col min="1" max="2" width="1.7109375" customWidth="1"/>
    <col min="3" max="3" width="12.42578125" customWidth="1"/>
    <col min="4" max="4" width="10.5703125" customWidth="1"/>
    <col min="5" max="5" width="12.85546875" customWidth="1"/>
    <col min="6" max="15" width="10.5703125" customWidth="1"/>
    <col min="16" max="16" width="12.42578125" customWidth="1"/>
    <col min="17" max="18" width="10.5703125" customWidth="1"/>
    <col min="19" max="19" width="1.7109375" customWidth="1"/>
    <col min="20" max="25" width="10.5703125" customWidth="1"/>
    <col min="26" max="30" width="8.7109375" customWidth="1"/>
  </cols>
  <sheetData>
    <row r="1" spans="1:30" ht="13.5" customHeight="1" x14ac:dyDescent="0.35">
      <c r="A1" s="4"/>
      <c r="B1" s="4"/>
      <c r="C1" s="5" t="str">
        <f ca="1">Company_Name&amp;" - "&amp;MID(CELL("filename",A1),FIND("]",CELL("filename",A1))+1,255)&amp;": "&amp;Case_Scenario&amp;" Case"</f>
        <v>American Express Company - Charts: Base Case</v>
      </c>
      <c r="D1" s="4"/>
      <c r="E1" s="4"/>
      <c r="F1" s="4"/>
      <c r="G1" s="4"/>
      <c r="H1" s="4"/>
      <c r="I1" s="4"/>
      <c r="J1" s="4"/>
      <c r="K1" s="4"/>
      <c r="L1" s="4"/>
      <c r="M1" s="4"/>
      <c r="N1" s="4"/>
      <c r="O1" s="4"/>
      <c r="P1" s="4"/>
      <c r="Q1" s="4"/>
      <c r="R1" s="4"/>
      <c r="S1" s="4"/>
      <c r="T1" s="4"/>
      <c r="U1" s="4"/>
      <c r="V1" s="4"/>
      <c r="W1" s="4"/>
      <c r="X1" s="4"/>
      <c r="Y1" s="4"/>
      <c r="Z1" s="4"/>
      <c r="AA1" s="4"/>
      <c r="AB1" s="4"/>
      <c r="AC1" s="4"/>
      <c r="AD1" s="4"/>
    </row>
    <row r="2" spans="1:30" ht="13.5" customHeight="1" x14ac:dyDescent="0.25">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c r="AA2" s="2"/>
      <c r="AB2" s="2"/>
      <c r="AC2" s="2"/>
      <c r="AD2" s="2"/>
    </row>
    <row r="3" spans="1:30" ht="13.5" customHeight="1" x14ac:dyDescent="0.25">
      <c r="A3" s="3"/>
      <c r="B3" s="9"/>
      <c r="C3" s="9"/>
      <c r="D3" s="9"/>
      <c r="E3" s="9"/>
      <c r="F3" s="9"/>
      <c r="G3" s="9"/>
      <c r="H3" s="9"/>
      <c r="I3" s="9"/>
      <c r="J3" s="9"/>
      <c r="K3" s="9"/>
      <c r="L3" s="9"/>
      <c r="M3" s="9"/>
      <c r="N3" s="9"/>
      <c r="O3" s="9"/>
      <c r="P3" s="9"/>
      <c r="Q3" s="9"/>
      <c r="R3" s="9"/>
      <c r="S3" s="9"/>
      <c r="T3" s="9"/>
      <c r="U3" s="9"/>
      <c r="V3" s="9"/>
      <c r="W3" s="9"/>
      <c r="X3" s="9"/>
      <c r="Y3" s="9"/>
      <c r="Z3" s="9"/>
      <c r="AA3" s="9"/>
      <c r="AB3" s="9"/>
      <c r="AC3" s="9"/>
      <c r="AD3" s="9"/>
    </row>
    <row r="4" spans="1:30" ht="13.5" customHeight="1" x14ac:dyDescent="0.25">
      <c r="A4" s="10"/>
      <c r="B4" s="9"/>
      <c r="C4" s="76" t="s">
        <v>779</v>
      </c>
      <c r="D4" s="78"/>
      <c r="E4" s="78"/>
      <c r="F4" s="78"/>
      <c r="G4" s="78"/>
      <c r="H4" s="78"/>
      <c r="I4" s="78"/>
      <c r="J4" s="9"/>
      <c r="K4" s="9"/>
      <c r="L4" s="9"/>
      <c r="M4" s="9"/>
      <c r="N4" s="9"/>
      <c r="O4" s="9"/>
      <c r="P4" s="9"/>
      <c r="Q4" s="9"/>
      <c r="R4" s="9"/>
      <c r="S4" s="9"/>
      <c r="T4" s="9"/>
      <c r="U4" s="9"/>
      <c r="V4" s="9"/>
      <c r="W4" s="9"/>
      <c r="X4" s="9"/>
      <c r="Y4" s="9"/>
      <c r="Z4" s="9"/>
      <c r="AA4" s="9"/>
      <c r="AB4" s="9"/>
      <c r="AC4" s="9"/>
      <c r="AD4" s="9"/>
    </row>
    <row r="5" spans="1:30" ht="13.5" customHeight="1" x14ac:dyDescent="0.25">
      <c r="A5" s="10"/>
      <c r="B5" s="9"/>
      <c r="C5" s="143"/>
      <c r="D5" s="143"/>
      <c r="E5" s="143"/>
      <c r="F5" s="143"/>
      <c r="G5" s="143"/>
      <c r="H5" s="143"/>
      <c r="I5" s="143"/>
      <c r="J5" s="9"/>
      <c r="K5" s="9"/>
      <c r="L5" s="9"/>
      <c r="M5" s="9"/>
      <c r="N5" s="9"/>
      <c r="O5" s="9"/>
      <c r="P5" s="9"/>
      <c r="Q5" s="9"/>
      <c r="R5" s="9"/>
      <c r="S5" s="9"/>
      <c r="T5" s="9"/>
      <c r="U5" s="9"/>
      <c r="V5" s="9"/>
      <c r="W5" s="9"/>
      <c r="X5" s="9"/>
      <c r="Y5" s="9"/>
      <c r="Z5" s="9"/>
      <c r="AA5" s="9"/>
      <c r="AB5" s="9"/>
      <c r="AC5" s="9"/>
      <c r="AD5" s="9"/>
    </row>
    <row r="6" spans="1:30" ht="13.5" customHeight="1" x14ac:dyDescent="0.25">
      <c r="A6" s="10"/>
      <c r="B6" s="9"/>
      <c r="C6" s="137"/>
      <c r="D6" s="759">
        <f>Summary!T$6</f>
        <v>2023</v>
      </c>
      <c r="E6" s="759">
        <f>Summary!U$6</f>
        <v>2024</v>
      </c>
      <c r="F6" s="759">
        <f>Summary!V$6</f>
        <v>2025</v>
      </c>
      <c r="G6" s="759" t="str">
        <f>Summary!W$6</f>
        <v>2026e</v>
      </c>
      <c r="H6" s="759" t="str">
        <f>Summary!X$6</f>
        <v>2027e</v>
      </c>
      <c r="I6" s="760" t="str">
        <f>Summary!Y$6</f>
        <v>2028e</v>
      </c>
      <c r="J6" s="9"/>
      <c r="K6" s="761"/>
      <c r="L6" s="9"/>
      <c r="M6" s="9"/>
      <c r="N6" s="9"/>
      <c r="O6" s="9"/>
      <c r="P6" s="9"/>
      <c r="Q6" s="9"/>
      <c r="R6" s="9"/>
      <c r="S6" s="9"/>
      <c r="T6" s="9"/>
      <c r="U6" s="9"/>
      <c r="V6" s="9"/>
      <c r="W6" s="9"/>
      <c r="X6" s="9"/>
      <c r="Y6" s="9"/>
      <c r="Z6" s="9"/>
      <c r="AA6" s="9"/>
      <c r="AB6" s="9"/>
      <c r="AC6" s="9"/>
      <c r="AD6" s="9"/>
    </row>
    <row r="7" spans="1:30" ht="13.5" customHeight="1" x14ac:dyDescent="0.25">
      <c r="A7" s="10"/>
      <c r="B7" s="9"/>
      <c r="C7" s="762" t="s">
        <v>266</v>
      </c>
      <c r="D7" s="763">
        <f>Summary!T16</f>
        <v>0.15606258535716405</v>
      </c>
      <c r="E7" s="763">
        <f>Summary!U16</f>
        <v>0.17378471988248137</v>
      </c>
      <c r="F7" s="763">
        <f>Summary!V16</f>
        <v>0.1714452605545406</v>
      </c>
      <c r="G7" s="763">
        <f>Summary!W16</f>
        <v>0.18275347626959298</v>
      </c>
      <c r="H7" s="763">
        <f>Summary!X16</f>
        <v>0.20392927922726287</v>
      </c>
      <c r="I7" s="763">
        <f>Summary!Y16</f>
        <v>0.21747604978061744</v>
      </c>
      <c r="J7" s="9"/>
      <c r="K7" s="9"/>
      <c r="L7" s="9"/>
      <c r="M7" s="9"/>
      <c r="N7" s="9"/>
      <c r="O7" s="9"/>
      <c r="P7" s="9"/>
      <c r="Q7" s="9"/>
      <c r="R7" s="9"/>
      <c r="S7" s="9"/>
      <c r="T7" s="9"/>
      <c r="U7" s="9"/>
      <c r="V7" s="9"/>
      <c r="W7" s="9"/>
      <c r="X7" s="9"/>
      <c r="Y7" s="9"/>
      <c r="Z7" s="764"/>
      <c r="AA7" s="9"/>
      <c r="AB7" s="9"/>
      <c r="AC7" s="9"/>
      <c r="AD7" s="9"/>
    </row>
    <row r="8" spans="1:30" ht="13.5" customHeight="1" x14ac:dyDescent="0.25">
      <c r="A8" s="10"/>
      <c r="B8" s="9"/>
      <c r="C8" s="762" t="s">
        <v>277</v>
      </c>
      <c r="D8" s="763">
        <f>Summary!T28</f>
        <v>0.18057122498663974</v>
      </c>
      <c r="E8" s="763">
        <f>Summary!U28</f>
        <v>0.19637201654964218</v>
      </c>
      <c r="F8" s="763">
        <f>Summary!V28</f>
        <v>0.1935299454407616</v>
      </c>
      <c r="G8" s="763">
        <f>Summary!W28</f>
        <v>0.2075671293475092</v>
      </c>
      <c r="H8" s="763">
        <f>Summary!X28</f>
        <v>0.22765646392338629</v>
      </c>
      <c r="I8" s="763">
        <f>Summary!Y28</f>
        <v>0.23995514965794679</v>
      </c>
      <c r="J8" s="9"/>
      <c r="K8" s="9"/>
      <c r="L8" s="9"/>
      <c r="M8" s="9"/>
      <c r="N8" s="9"/>
      <c r="O8" s="9"/>
      <c r="P8" s="9"/>
      <c r="Q8" s="9"/>
      <c r="R8" s="9"/>
      <c r="S8" s="9"/>
      <c r="T8" s="9"/>
      <c r="U8" s="9"/>
      <c r="V8" s="9"/>
      <c r="W8" s="9"/>
      <c r="X8" s="9"/>
      <c r="Y8" s="9"/>
      <c r="Z8" s="9"/>
      <c r="AA8" s="9"/>
      <c r="AB8" s="9"/>
      <c r="AC8" s="9"/>
      <c r="AD8" s="9"/>
    </row>
    <row r="9" spans="1:30" ht="13.5" customHeight="1" x14ac:dyDescent="0.25">
      <c r="A9" s="10"/>
      <c r="B9" s="9"/>
      <c r="C9" s="765" t="s">
        <v>780</v>
      </c>
      <c r="D9" s="766">
        <f>Summary!T20</f>
        <v>0.12430972032539635</v>
      </c>
      <c r="E9" s="766">
        <f>Summary!U20</f>
        <v>0.13650759423727443</v>
      </c>
      <c r="F9" s="766">
        <f>Summary!V20</f>
        <v>0.13463330971999551</v>
      </c>
      <c r="G9" s="766">
        <f>Summary!W20</f>
        <v>0.14366117591039704</v>
      </c>
      <c r="H9" s="766">
        <f>Summary!X20</f>
        <v>0.16008448419340138</v>
      </c>
      <c r="I9" s="766">
        <f>Summary!Y20</f>
        <v>0.17050122302800405</v>
      </c>
      <c r="J9" s="9"/>
      <c r="K9" s="9"/>
      <c r="L9" s="9"/>
      <c r="M9" s="9"/>
      <c r="N9" s="9"/>
      <c r="O9" s="9"/>
      <c r="P9" s="9"/>
      <c r="Q9" s="9"/>
      <c r="R9" s="9"/>
      <c r="S9" s="9"/>
      <c r="T9" s="9"/>
      <c r="U9" s="9"/>
      <c r="V9" s="9"/>
      <c r="W9" s="9"/>
      <c r="X9" s="9"/>
      <c r="Y9" s="9"/>
      <c r="Z9" s="9"/>
      <c r="AA9" s="9"/>
      <c r="AB9" s="9"/>
      <c r="AC9" s="9"/>
      <c r="AD9" s="9"/>
    </row>
    <row r="10" spans="1:30" ht="13.5" customHeight="1" x14ac:dyDescent="0.25">
      <c r="A10" s="10"/>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row>
    <row r="11" spans="1:30" ht="13.5" customHeight="1" x14ac:dyDescent="0.25">
      <c r="A11" s="10"/>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row>
    <row r="12" spans="1:30" ht="13.5" customHeight="1" x14ac:dyDescent="0.25">
      <c r="A12" s="10"/>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row>
    <row r="13" spans="1:30" ht="13.5" customHeight="1" x14ac:dyDescent="0.25">
      <c r="A13" s="10"/>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row>
    <row r="14" spans="1:30" ht="13.5" customHeight="1" x14ac:dyDescent="0.25">
      <c r="A14" s="10"/>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row>
    <row r="15" spans="1:30" ht="13.5" customHeight="1" x14ac:dyDescent="0.25">
      <c r="A15" s="10"/>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row>
    <row r="16" spans="1:30" ht="13.5" customHeight="1" x14ac:dyDescent="0.25">
      <c r="A16" s="10"/>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row>
    <row r="17" spans="1:30" ht="13.5" customHeight="1" x14ac:dyDescent="0.25">
      <c r="A17" s="10"/>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row>
    <row r="18" spans="1:30" ht="13.5" customHeight="1" x14ac:dyDescent="0.25">
      <c r="A18" s="10"/>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row>
    <row r="19" spans="1:30" ht="13.5" customHeight="1" x14ac:dyDescent="0.25">
      <c r="A19" s="10"/>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row>
    <row r="20" spans="1:30" ht="13.5" customHeight="1" x14ac:dyDescent="0.25">
      <c r="A20" s="10"/>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row>
    <row r="21" spans="1:30" ht="13.5" customHeight="1" x14ac:dyDescent="0.25">
      <c r="A21" s="10"/>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row>
    <row r="22" spans="1:30" ht="13.5" customHeight="1" x14ac:dyDescent="0.25">
      <c r="A22" s="10"/>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row>
    <row r="23" spans="1:30" ht="13.5" customHeight="1" x14ac:dyDescent="0.25">
      <c r="A23" s="10"/>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row>
    <row r="24" spans="1:30" ht="13.5" customHeight="1" x14ac:dyDescent="0.25">
      <c r="A24" s="10"/>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row>
    <row r="25" spans="1:30" ht="13.5" customHeight="1" x14ac:dyDescent="0.25">
      <c r="A25" s="10" t="s">
        <v>0</v>
      </c>
      <c r="B25" s="9"/>
      <c r="C25" s="76" t="str">
        <f>Ticker&amp;" - Financial Analysis"</f>
        <v>AXP - Financial Analysis</v>
      </c>
      <c r="D25" s="78"/>
      <c r="E25" s="78"/>
      <c r="F25" s="78"/>
      <c r="G25" s="78"/>
      <c r="H25" s="78"/>
      <c r="I25" s="78"/>
      <c r="J25" s="78"/>
      <c r="K25" s="78"/>
      <c r="L25" s="78"/>
      <c r="M25" s="78"/>
      <c r="N25" s="78"/>
      <c r="O25" s="78"/>
      <c r="P25" s="78"/>
      <c r="Q25" s="78"/>
      <c r="R25" s="9"/>
      <c r="S25" s="9"/>
      <c r="T25" s="9"/>
      <c r="U25" s="9"/>
      <c r="V25" s="9"/>
      <c r="W25" s="9"/>
      <c r="X25" s="9"/>
      <c r="Y25" s="9"/>
      <c r="Z25" s="9"/>
      <c r="AA25" s="9"/>
      <c r="AB25" s="9"/>
      <c r="AC25" s="9"/>
      <c r="AD25" s="9"/>
    </row>
    <row r="26" spans="1:30" ht="13.5" customHeight="1" x14ac:dyDescent="0.25">
      <c r="A26" s="10"/>
      <c r="B26" s="9"/>
      <c r="C26" s="143"/>
      <c r="D26" s="143"/>
      <c r="E26" s="143"/>
      <c r="F26" s="143"/>
      <c r="G26" s="143"/>
      <c r="H26" s="143"/>
      <c r="I26" s="143"/>
      <c r="J26" s="9"/>
      <c r="K26" s="9"/>
      <c r="L26" s="9"/>
      <c r="M26" s="9"/>
      <c r="N26" s="9"/>
      <c r="O26" s="9"/>
      <c r="P26" s="9"/>
      <c r="Q26" s="9"/>
      <c r="R26" s="9"/>
      <c r="S26" s="9"/>
      <c r="T26" s="9"/>
      <c r="U26" s="9"/>
      <c r="V26" s="9"/>
      <c r="W26" s="9"/>
      <c r="X26" s="9"/>
      <c r="Y26" s="9"/>
      <c r="Z26" s="9"/>
      <c r="AA26" s="9"/>
      <c r="AB26" s="9"/>
      <c r="AC26" s="9"/>
      <c r="AD26" s="9"/>
    </row>
    <row r="27" spans="1:30" ht="13.5" customHeight="1" x14ac:dyDescent="0.25">
      <c r="A27" s="10"/>
      <c r="B27" s="9"/>
      <c r="C27" s="143"/>
      <c r="D27" s="143"/>
      <c r="E27" s="143"/>
      <c r="F27" s="143"/>
      <c r="G27" s="143"/>
      <c r="H27" s="143"/>
      <c r="I27" s="143"/>
      <c r="J27" s="9"/>
      <c r="K27" s="9"/>
      <c r="L27" s="9"/>
      <c r="M27" s="9"/>
      <c r="N27" s="9"/>
      <c r="O27" s="9"/>
      <c r="P27" s="9"/>
      <c r="Q27" s="9"/>
      <c r="R27" s="9"/>
      <c r="S27" s="9"/>
      <c r="T27" s="9"/>
      <c r="U27" s="9"/>
      <c r="V27" s="9"/>
      <c r="W27" s="9"/>
      <c r="X27" s="9"/>
      <c r="Y27" s="9"/>
      <c r="Z27" s="9"/>
      <c r="AA27" s="9"/>
      <c r="AB27" s="9"/>
      <c r="AC27" s="9"/>
      <c r="AD27" s="9"/>
    </row>
    <row r="28" spans="1:30" ht="13.5" customHeight="1" x14ac:dyDescent="0.25">
      <c r="A28" s="10"/>
      <c r="B28" s="9"/>
      <c r="C28" s="76" t="str">
        <f>'Revenue Build'!$C$33</f>
        <v>Discount Revenue</v>
      </c>
      <c r="D28" s="76"/>
      <c r="E28" s="76"/>
      <c r="F28" s="76"/>
      <c r="G28" s="76"/>
      <c r="H28" s="76"/>
      <c r="I28" s="76"/>
      <c r="J28" s="9"/>
      <c r="K28" s="76" t="str">
        <f>'Revenue Build'!$C$30</f>
        <v>Total Company Revenue</v>
      </c>
      <c r="L28" s="76"/>
      <c r="M28" s="76"/>
      <c r="N28" s="76"/>
      <c r="O28" s="76"/>
      <c r="P28" s="76"/>
      <c r="Q28" s="76"/>
      <c r="R28" s="9"/>
      <c r="S28" s="9"/>
      <c r="T28" s="9"/>
      <c r="U28" s="9"/>
      <c r="V28" s="9"/>
      <c r="W28" s="9"/>
      <c r="X28" s="9"/>
      <c r="Y28" s="9"/>
      <c r="Z28" s="9"/>
      <c r="AA28" s="9"/>
      <c r="AB28" s="9"/>
      <c r="AC28" s="9"/>
      <c r="AD28" s="9"/>
    </row>
    <row r="29" spans="1:30" ht="13.5" customHeight="1" x14ac:dyDescent="0.25">
      <c r="A29" s="10"/>
      <c r="B29" s="9"/>
      <c r="C29" s="143"/>
      <c r="D29" s="143"/>
      <c r="E29" s="143"/>
      <c r="F29" s="143"/>
      <c r="G29" s="143"/>
      <c r="H29" s="143"/>
      <c r="I29" s="143"/>
      <c r="J29" s="9"/>
      <c r="K29" s="9"/>
      <c r="L29" s="9"/>
      <c r="M29" s="9"/>
      <c r="N29" s="9"/>
      <c r="O29" s="9"/>
      <c r="P29" s="9"/>
      <c r="Q29" s="9"/>
      <c r="R29" s="9"/>
      <c r="S29" s="9"/>
      <c r="T29" s="9"/>
      <c r="U29" s="9"/>
      <c r="V29" s="9"/>
      <c r="W29" s="9"/>
      <c r="X29" s="9"/>
      <c r="Y29" s="9"/>
      <c r="Z29" s="9"/>
      <c r="AA29" s="9"/>
      <c r="AB29" s="9"/>
      <c r="AC29" s="9"/>
      <c r="AD29" s="9"/>
    </row>
    <row r="30" spans="1:30" ht="13.5" customHeight="1" x14ac:dyDescent="0.25">
      <c r="A30" s="10"/>
      <c r="B30" s="9"/>
      <c r="C30" s="137"/>
      <c r="D30" s="759">
        <f t="shared" ref="D30:I30" si="0">D6</f>
        <v>2023</v>
      </c>
      <c r="E30" s="759">
        <f t="shared" si="0"/>
        <v>2024</v>
      </c>
      <c r="F30" s="759">
        <f t="shared" si="0"/>
        <v>2025</v>
      </c>
      <c r="G30" s="759" t="str">
        <f t="shared" si="0"/>
        <v>2026e</v>
      </c>
      <c r="H30" s="759" t="str">
        <f t="shared" si="0"/>
        <v>2027e</v>
      </c>
      <c r="I30" s="760" t="str">
        <f t="shared" si="0"/>
        <v>2028e</v>
      </c>
      <c r="J30" s="9"/>
      <c r="K30" s="137"/>
      <c r="L30" s="759">
        <f t="shared" ref="L30:Q30" si="1">D30</f>
        <v>2023</v>
      </c>
      <c r="M30" s="759">
        <f t="shared" si="1"/>
        <v>2024</v>
      </c>
      <c r="N30" s="759">
        <f t="shared" si="1"/>
        <v>2025</v>
      </c>
      <c r="O30" s="759" t="str">
        <f t="shared" si="1"/>
        <v>2026e</v>
      </c>
      <c r="P30" s="759" t="str">
        <f t="shared" si="1"/>
        <v>2027e</v>
      </c>
      <c r="Q30" s="760" t="str">
        <f t="shared" si="1"/>
        <v>2028e</v>
      </c>
      <c r="R30" s="9"/>
      <c r="S30" s="9"/>
      <c r="T30" s="9"/>
      <c r="U30" s="9"/>
      <c r="V30" s="9"/>
      <c r="W30" s="9"/>
      <c r="X30" s="9"/>
      <c r="Y30" s="9"/>
      <c r="Z30" s="9"/>
      <c r="AA30" s="9"/>
      <c r="AB30" s="9"/>
      <c r="AC30" s="9"/>
      <c r="AD30" s="9"/>
    </row>
    <row r="31" spans="1:30" ht="13.5" customHeight="1" x14ac:dyDescent="0.25">
      <c r="A31" s="10"/>
      <c r="B31" s="9"/>
      <c r="C31" s="767" t="str">
        <f>C28</f>
        <v>Discount Revenue</v>
      </c>
      <c r="D31" s="742">
        <f t="array" ref="D31">INDEX(Revenue_Data_Summary,MATCH($C31,'Revenue Build'!$C$28:$C$47,0),MATCH(Charts!D$30,'Revenue Build'!$C$28:$AG$28,0))</f>
        <v>33416</v>
      </c>
      <c r="E31" s="742">
        <f t="array" ref="E31">INDEX(Revenue_Data_Summary,MATCH($C31,'Revenue Build'!$C$28:$C$47,0),MATCH(Charts!E$30,'Revenue Build'!$C$28:$AG$28,0))</f>
        <v>35192</v>
      </c>
      <c r="F31" s="742">
        <f t="array" ref="F31">INDEX(Revenue_Data_Summary,MATCH($C31,'Revenue Build'!$C$28:$C$47,0),MATCH(Charts!F$30,'Revenue Build'!$C$28:$AG$28,0))</f>
        <v>37401</v>
      </c>
      <c r="G31" s="742">
        <f t="array" ref="G31">INDEX(Revenue_Data_Summary,MATCH($C31,'Revenue Build'!$C$28:$C$47,0),MATCH(Charts!G$30,'Revenue Build'!$C$28:$AG$28,0))</f>
        <v>40625.509444000003</v>
      </c>
      <c r="H31" s="742">
        <f t="array" ref="H31">INDEX(Revenue_Data_Summary,MATCH($C31,'Revenue Build'!$C$28:$C$47,0),MATCH(Charts!H$30,'Revenue Build'!$C$28:$AG$28,0))</f>
        <v>46099.205549314429</v>
      </c>
      <c r="I31" s="742">
        <f t="array" ref="I31">INDEX(Revenue_Data_Summary,MATCH($C31,'Revenue Build'!$C$28:$C$47,0),MATCH(Charts!I$30,'Revenue Build'!$C$28:$AG$28,0))</f>
        <v>49326.149937766444</v>
      </c>
      <c r="J31" s="9"/>
      <c r="K31" s="767" t="str">
        <f>K28</f>
        <v>Total Company Revenue</v>
      </c>
      <c r="L31" s="742">
        <f t="array" ref="L31">INDEX(Revenue_Data_Summary,MATCH($K31,'Revenue Build'!$C$28:$C$47,0),MATCH(Charts!L$30,'Revenue Build'!$C$28:$AG$28,0))</f>
        <v>67364</v>
      </c>
      <c r="M31" s="742">
        <f t="array" ref="M31">INDEX(Revenue_Data_Summary,MATCH($K31,'Revenue Build'!$C$28:$C$47,0),MATCH(Charts!M$30,'Revenue Build'!$C$28:$AG$28,0))</f>
        <v>74201</v>
      </c>
      <c r="N31" s="742">
        <f t="array" ref="N31">INDEX(Revenue_Data_Summary,MATCH($K31,'Revenue Build'!$C$28:$C$47,0),MATCH(Charts!N$30,'Revenue Build'!$C$28:$AG$28,0))</f>
        <v>80463</v>
      </c>
      <c r="O31" s="742">
        <f t="array" ref="O31">INDEX(Revenue_Data_Summary,MATCH($K31,'Revenue Build'!$C$28:$C$47,0),MATCH(Charts!O$30,'Revenue Build'!$C$28:$AG$28,0))</f>
        <v>88057.04232919999</v>
      </c>
      <c r="P31" s="742">
        <f t="array" ref="P31">INDEX(Revenue_Data_Summary,MATCH($K31,'Revenue Build'!$C$28:$C$47,0),MATCH(Charts!P$30,'Revenue Build'!$C$28:$AG$28,0))</f>
        <v>97549.503798841877</v>
      </c>
      <c r="Q31" s="742">
        <f t="array" ref="Q31">INDEX(Revenue_Data_Summary,MATCH($K31,'Revenue Build'!$C$28:$C$47,0),MATCH(Charts!Q$30,'Revenue Build'!$C$28:$AG$28,0))</f>
        <v>104638.90724681984</v>
      </c>
      <c r="R31" s="9"/>
      <c r="S31" s="9"/>
      <c r="T31" s="9"/>
      <c r="U31" s="9"/>
      <c r="V31" s="9"/>
      <c r="W31" s="9"/>
      <c r="X31" s="9"/>
      <c r="Y31" s="9"/>
      <c r="Z31" s="9"/>
      <c r="AA31" s="9"/>
      <c r="AB31" s="9"/>
      <c r="AC31" s="9"/>
      <c r="AD31" s="9"/>
    </row>
    <row r="32" spans="1:30" ht="13.5" customHeight="1" x14ac:dyDescent="0.25">
      <c r="A32" s="10"/>
      <c r="B32" s="9"/>
      <c r="C32" s="765" t="s">
        <v>781</v>
      </c>
      <c r="D32" s="768">
        <v>0</v>
      </c>
      <c r="E32" s="769">
        <f t="shared" ref="E32:I32" si="2">E31/D31-1</f>
        <v>5.3148192482643131E-2</v>
      </c>
      <c r="F32" s="769">
        <f t="shared" si="2"/>
        <v>6.2769947715389796E-2</v>
      </c>
      <c r="G32" s="769">
        <f t="shared" si="2"/>
        <v>8.6214524852276764E-2</v>
      </c>
      <c r="H32" s="769">
        <f t="shared" si="2"/>
        <v>0.13473544529600567</v>
      </c>
      <c r="I32" s="769">
        <f t="shared" si="2"/>
        <v>7.0000000000000062E-2</v>
      </c>
      <c r="J32" s="9"/>
      <c r="K32" s="765" t="s">
        <v>781</v>
      </c>
      <c r="L32" s="768">
        <v>0</v>
      </c>
      <c r="M32" s="769">
        <f t="shared" ref="M32:Q32" si="3">M31/L31-1</f>
        <v>0.10149337925301349</v>
      </c>
      <c r="N32" s="769">
        <f t="shared" si="3"/>
        <v>8.4392393633508922E-2</v>
      </c>
      <c r="O32" s="769">
        <f t="shared" si="3"/>
        <v>9.4379308864944056E-2</v>
      </c>
      <c r="P32" s="769">
        <f t="shared" si="3"/>
        <v>0.10779900412910148</v>
      </c>
      <c r="Q32" s="769">
        <f t="shared" si="3"/>
        <v>7.2674930900695545E-2</v>
      </c>
      <c r="R32" s="9"/>
      <c r="S32" s="9"/>
      <c r="T32" s="9"/>
      <c r="U32" s="9"/>
      <c r="V32" s="9"/>
      <c r="W32" s="9"/>
      <c r="X32" s="9"/>
      <c r="Y32" s="9"/>
      <c r="Z32" s="9"/>
      <c r="AA32" s="9"/>
      <c r="AB32" s="9"/>
      <c r="AC32" s="9"/>
      <c r="AD32" s="9"/>
    </row>
    <row r="33" spans="1:30" ht="13.5" customHeight="1" x14ac:dyDescent="0.25">
      <c r="A33" s="10"/>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spans="1:30" ht="13.5" customHeight="1" x14ac:dyDescent="0.25">
      <c r="A34" s="10"/>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row>
    <row r="35" spans="1:30" ht="13.5" customHeight="1" x14ac:dyDescent="0.25">
      <c r="A35" s="10"/>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3.5" customHeight="1" x14ac:dyDescent="0.25">
      <c r="A36" s="10"/>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row>
    <row r="37" spans="1:30" ht="13.5" customHeight="1" x14ac:dyDescent="0.25">
      <c r="A37" s="10"/>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row>
    <row r="38" spans="1:30" ht="13.5" customHeight="1" x14ac:dyDescent="0.25">
      <c r="A38" s="10"/>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row>
    <row r="39" spans="1:30" ht="13.5" customHeight="1" x14ac:dyDescent="0.25">
      <c r="A39" s="10"/>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row>
    <row r="40" spans="1:30" ht="13.5" customHeight="1" x14ac:dyDescent="0.25">
      <c r="A40" s="10"/>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row>
    <row r="41" spans="1:30" ht="13.5" customHeight="1" x14ac:dyDescent="0.25">
      <c r="A41" s="10"/>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row>
    <row r="42" spans="1:30" ht="13.5" customHeight="1" x14ac:dyDescent="0.25">
      <c r="A42" s="10"/>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spans="1:30" ht="13.5" customHeight="1" x14ac:dyDescent="0.25">
      <c r="A43" s="10"/>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spans="1:30" ht="13.5" customHeight="1" x14ac:dyDescent="0.25">
      <c r="A44" s="10"/>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spans="1:30" ht="13.5" customHeight="1" x14ac:dyDescent="0.25">
      <c r="A45" s="10"/>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3.5" customHeight="1" x14ac:dyDescent="0.25">
      <c r="A46" s="10"/>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row>
    <row r="47" spans="1:30" ht="13.5" customHeight="1" x14ac:dyDescent="0.25">
      <c r="A47" s="10"/>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row>
    <row r="48" spans="1:30" ht="13.5" hidden="1" customHeight="1" outlineLevel="1" x14ac:dyDescent="0.25">
      <c r="A48" s="10"/>
      <c r="B48" s="9"/>
      <c r="C48" s="76" t="str">
        <f>'Revenue Build'!$C$41</f>
        <v>Net Card Fees Revenue</v>
      </c>
      <c r="D48" s="76"/>
      <c r="E48" s="76"/>
      <c r="F48" s="76"/>
      <c r="G48" s="76"/>
      <c r="H48" s="76"/>
      <c r="I48" s="76"/>
      <c r="J48" s="9"/>
      <c r="K48" s="76" t="e">
        <f>'Revenue Build'!#REF!</f>
        <v>#REF!</v>
      </c>
      <c r="L48" s="76"/>
      <c r="M48" s="76"/>
      <c r="N48" s="76"/>
      <c r="O48" s="76"/>
      <c r="P48" s="76"/>
      <c r="Q48" s="76"/>
      <c r="R48" s="9"/>
      <c r="S48" s="9"/>
      <c r="T48" s="9"/>
      <c r="U48" s="9"/>
      <c r="V48" s="9"/>
      <c r="W48" s="9"/>
      <c r="X48" s="9"/>
      <c r="Y48" s="9"/>
      <c r="Z48" s="9"/>
      <c r="AA48" s="9"/>
      <c r="AB48" s="9"/>
      <c r="AC48" s="9"/>
      <c r="AD48" s="9"/>
    </row>
    <row r="49" spans="1:30" ht="13.5" hidden="1" customHeight="1" outlineLevel="1" x14ac:dyDescent="0.25">
      <c r="A49" s="10"/>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3.5" hidden="1" customHeight="1" outlineLevel="1" x14ac:dyDescent="0.25">
      <c r="A50" s="10"/>
      <c r="B50" s="9"/>
      <c r="C50" s="137"/>
      <c r="D50" s="759">
        <f t="shared" ref="D50:I50" si="4">D30</f>
        <v>2023</v>
      </c>
      <c r="E50" s="759">
        <f t="shared" si="4"/>
        <v>2024</v>
      </c>
      <c r="F50" s="759">
        <f t="shared" si="4"/>
        <v>2025</v>
      </c>
      <c r="G50" s="759" t="str">
        <f t="shared" si="4"/>
        <v>2026e</v>
      </c>
      <c r="H50" s="759" t="str">
        <f t="shared" si="4"/>
        <v>2027e</v>
      </c>
      <c r="I50" s="760" t="str">
        <f t="shared" si="4"/>
        <v>2028e</v>
      </c>
      <c r="J50" s="9"/>
      <c r="K50" s="137"/>
      <c r="L50" s="759">
        <f t="shared" ref="L50:Q50" si="5">L30</f>
        <v>2023</v>
      </c>
      <c r="M50" s="759">
        <f t="shared" si="5"/>
        <v>2024</v>
      </c>
      <c r="N50" s="759">
        <f t="shared" si="5"/>
        <v>2025</v>
      </c>
      <c r="O50" s="759" t="str">
        <f t="shared" si="5"/>
        <v>2026e</v>
      </c>
      <c r="P50" s="759" t="str">
        <f t="shared" si="5"/>
        <v>2027e</v>
      </c>
      <c r="Q50" s="760" t="str">
        <f t="shared" si="5"/>
        <v>2028e</v>
      </c>
      <c r="R50" s="9"/>
      <c r="S50" s="9"/>
      <c r="T50" s="9"/>
      <c r="U50" s="9"/>
      <c r="V50" s="9"/>
      <c r="W50" s="9"/>
      <c r="X50" s="9"/>
      <c r="Y50" s="9"/>
      <c r="Z50" s="9"/>
      <c r="AA50" s="9"/>
      <c r="AB50" s="9"/>
      <c r="AC50" s="9"/>
      <c r="AD50" s="9"/>
    </row>
    <row r="51" spans="1:30" ht="13.5" hidden="1" customHeight="1" outlineLevel="1" x14ac:dyDescent="0.25">
      <c r="A51" s="10"/>
      <c r="B51" s="9"/>
      <c r="C51" s="767" t="str">
        <f>C48</f>
        <v>Net Card Fees Revenue</v>
      </c>
      <c r="D51" s="742">
        <f t="array" ref="D51">INDEX(Revenue_Data_Summary,MATCH($C51,'Revenue Build'!$C$28:$C$47,0),MATCH(Charts!D$50,'Revenue Build'!$C$28:$AG$28,0))</f>
        <v>7255</v>
      </c>
      <c r="E51" s="742">
        <f t="array" ref="E51">INDEX(Revenue_Data_Summary,MATCH($C51,'Revenue Build'!$C$28:$C$47,0),MATCH(Charts!E$50,'Revenue Build'!$C$28:$AG$28,0))</f>
        <v>8449</v>
      </c>
      <c r="F51" s="742">
        <f t="array" ref="F51">INDEX(Revenue_Data_Summary,MATCH($C51,'Revenue Build'!$C$28:$C$47,0),MATCH(Charts!F$50,'Revenue Build'!$C$28:$AG$28,0))</f>
        <v>9993</v>
      </c>
      <c r="G51" s="742">
        <f t="array" ref="G51">INDEX(Revenue_Data_Summary,MATCH($C51,'Revenue Build'!$C$28:$C$47,0),MATCH(Charts!G$50,'Revenue Build'!$C$28:$AG$28,0))</f>
        <v>11891.8048</v>
      </c>
      <c r="H51" s="742">
        <f t="array" ref="H51">INDEX(Revenue_Data_Summary,MATCH($C51,'Revenue Build'!$C$28:$C$47,0),MATCH(Charts!H$50,'Revenue Build'!$C$28:$AG$28,0))</f>
        <v>13891.172171014658</v>
      </c>
      <c r="I51" s="742">
        <f t="array" ref="I51">INDEX(Revenue_Data_Summary,MATCH($C51,'Revenue Build'!$C$28:$C$47,0),MATCH(Charts!I$50,'Revenue Build'!$C$28:$AG$28,0))</f>
        <v>15835.936274956712</v>
      </c>
      <c r="J51" s="9"/>
      <c r="K51" s="767" t="e">
        <f>K48</f>
        <v>#REF!</v>
      </c>
      <c r="L51" s="742" t="e">
        <f t="array" ref="L51">INDEX(Revenue_Data_Summary,MATCH($K51,'Revenue Build'!$C$28:$C$47,0),MATCH(Charts!L$50,'Revenue Build'!$C$28:$AG$28,0))</f>
        <v>#REF!</v>
      </c>
      <c r="M51" s="742" t="e">
        <f t="array" ref="M51">INDEX(Revenue_Data_Summary,MATCH($K51,'Revenue Build'!$C$28:$C$47,0),MATCH(Charts!M$50,'Revenue Build'!$C$28:$AG$28,0))</f>
        <v>#REF!</v>
      </c>
      <c r="N51" s="742" t="e">
        <f t="array" ref="N51">INDEX(Revenue_Data_Summary,MATCH($K51,'Revenue Build'!$C$28:$C$47,0),MATCH(Charts!N$50,'Revenue Build'!$C$28:$AG$28,0))</f>
        <v>#REF!</v>
      </c>
      <c r="O51" s="742" t="e">
        <f t="array" ref="O51">INDEX(Revenue_Data_Summary,MATCH($K51,'Revenue Build'!$C$28:$C$47,0),MATCH(Charts!O$50,'Revenue Build'!$C$28:$AG$28,0))</f>
        <v>#REF!</v>
      </c>
      <c r="P51" s="742" t="e">
        <f t="array" ref="P51">INDEX(Revenue_Data_Summary,MATCH($K51,'Revenue Build'!$C$28:$C$47,0),MATCH(Charts!P$50,'Revenue Build'!$C$28:$AG$28,0))</f>
        <v>#REF!</v>
      </c>
      <c r="Q51" s="742" t="e">
        <f t="array" ref="Q51">INDEX(Revenue_Data_Summary,MATCH($K51,'Revenue Build'!$C$28:$C$47,0),MATCH(Charts!Q$50,'Revenue Build'!$C$28:$AG$28,0))</f>
        <v>#REF!</v>
      </c>
      <c r="R51" s="9"/>
      <c r="S51" s="9"/>
      <c r="T51" s="9"/>
      <c r="U51" s="9"/>
      <c r="V51" s="9"/>
      <c r="W51" s="9"/>
      <c r="X51" s="9"/>
      <c r="Y51" s="9"/>
      <c r="Z51" s="9"/>
      <c r="AA51" s="9"/>
      <c r="AB51" s="9"/>
      <c r="AC51" s="9"/>
      <c r="AD51" s="9"/>
    </row>
    <row r="52" spans="1:30" ht="13.5" hidden="1" customHeight="1" outlineLevel="1" x14ac:dyDescent="0.25">
      <c r="A52" s="10"/>
      <c r="B52" s="9"/>
      <c r="C52" s="765" t="s">
        <v>781</v>
      </c>
      <c r="D52" s="768">
        <v>0</v>
      </c>
      <c r="E52" s="769">
        <f t="shared" ref="E52:I52" si="6">E51/D51-1</f>
        <v>0.16457615437629225</v>
      </c>
      <c r="F52" s="769">
        <f t="shared" si="6"/>
        <v>0.1827435199431886</v>
      </c>
      <c r="G52" s="769">
        <f t="shared" si="6"/>
        <v>0.19001348944260976</v>
      </c>
      <c r="H52" s="769">
        <f t="shared" si="6"/>
        <v>0.16812985115721513</v>
      </c>
      <c r="I52" s="769">
        <f t="shared" si="6"/>
        <v>0.14000000000000012</v>
      </c>
      <c r="J52" s="9"/>
      <c r="K52" s="765" t="s">
        <v>781</v>
      </c>
      <c r="L52" s="768">
        <v>0</v>
      </c>
      <c r="M52" s="769">
        <v>0</v>
      </c>
      <c r="N52" s="769" t="e">
        <f t="shared" ref="N52:Q52" si="7">N51/M51-1</f>
        <v>#REF!</v>
      </c>
      <c r="O52" s="769" t="e">
        <f t="shared" si="7"/>
        <v>#REF!</v>
      </c>
      <c r="P52" s="769" t="e">
        <f t="shared" si="7"/>
        <v>#REF!</v>
      </c>
      <c r="Q52" s="769" t="e">
        <f t="shared" si="7"/>
        <v>#REF!</v>
      </c>
      <c r="R52" s="9"/>
      <c r="S52" s="9"/>
      <c r="T52" s="9"/>
      <c r="U52" s="9"/>
      <c r="V52" s="9"/>
      <c r="W52" s="9"/>
      <c r="X52" s="9"/>
      <c r="Y52" s="9"/>
      <c r="Z52" s="9"/>
      <c r="AA52" s="9"/>
      <c r="AB52" s="9"/>
      <c r="AC52" s="9"/>
      <c r="AD52" s="9"/>
    </row>
    <row r="53" spans="1:30" ht="13.5" hidden="1" customHeight="1" outlineLevel="1" x14ac:dyDescent="0.25">
      <c r="A53" s="10"/>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0" ht="13.5" hidden="1" customHeight="1" outlineLevel="1" x14ac:dyDescent="0.25">
      <c r="A54" s="10"/>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3.5" hidden="1" customHeight="1" outlineLevel="1" x14ac:dyDescent="0.25">
      <c r="A55" s="10"/>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3.5" hidden="1" customHeight="1" outlineLevel="1" x14ac:dyDescent="0.25">
      <c r="A56" s="10"/>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3.5" hidden="1" customHeight="1" outlineLevel="1" x14ac:dyDescent="0.25">
      <c r="A57" s="10"/>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3.5" hidden="1" customHeight="1" outlineLevel="1" x14ac:dyDescent="0.25">
      <c r="A58" s="10"/>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row>
    <row r="59" spans="1:30" ht="13.5" hidden="1" customHeight="1" outlineLevel="1" x14ac:dyDescent="0.25">
      <c r="A59" s="10"/>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row>
    <row r="60" spans="1:30" ht="13.5" hidden="1" customHeight="1" outlineLevel="1" x14ac:dyDescent="0.25">
      <c r="A60" s="10"/>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row>
    <row r="61" spans="1:30" ht="13.5" hidden="1" customHeight="1" outlineLevel="1" x14ac:dyDescent="0.25">
      <c r="A61" s="10"/>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row>
    <row r="62" spans="1:30" ht="13.5" hidden="1" customHeight="1" outlineLevel="1" x14ac:dyDescent="0.25">
      <c r="A62" s="10"/>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3.5" hidden="1" customHeight="1" outlineLevel="1" x14ac:dyDescent="0.25">
      <c r="A63" s="10"/>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3.5" hidden="1" customHeight="1" outlineLevel="1" x14ac:dyDescent="0.25">
      <c r="A64" s="10"/>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3.5" hidden="1" customHeight="1" outlineLevel="1" x14ac:dyDescent="0.25">
      <c r="A65" s="10"/>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3.5" customHeight="1" collapsed="1" x14ac:dyDescent="0.25">
      <c r="A66" s="10"/>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3.5" customHeight="1" x14ac:dyDescent="0.25">
      <c r="A67" s="10"/>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3.5" customHeight="1" x14ac:dyDescent="0.25">
      <c r="A68" s="10" t="s">
        <v>0</v>
      </c>
      <c r="B68" s="9"/>
      <c r="C68" s="76" t="str">
        <f>Ticker&amp;" - Free Cash Flow"</f>
        <v>AXP - Free Cash Flow</v>
      </c>
      <c r="D68" s="76"/>
      <c r="E68" s="76"/>
      <c r="F68" s="76"/>
      <c r="G68" s="76"/>
      <c r="H68" s="76"/>
      <c r="I68" s="76"/>
      <c r="J68" s="143"/>
      <c r="K68" s="76" t="str">
        <f>Ticker&amp;" - Adj. EPS"</f>
        <v>AXP - Adj. EPS</v>
      </c>
      <c r="L68" s="76"/>
      <c r="M68" s="76"/>
      <c r="N68" s="76"/>
      <c r="O68" s="76"/>
      <c r="P68" s="76"/>
      <c r="Q68" s="76"/>
      <c r="R68" s="9"/>
      <c r="S68" s="9"/>
      <c r="T68" s="9"/>
      <c r="U68" s="9"/>
      <c r="V68" s="9"/>
      <c r="W68" s="9"/>
      <c r="X68" s="9"/>
      <c r="Y68" s="9"/>
      <c r="Z68" s="9"/>
      <c r="AA68" s="9"/>
      <c r="AB68" s="9"/>
      <c r="AC68" s="9"/>
      <c r="AD68" s="9"/>
    </row>
    <row r="69" spans="1:30" ht="13.5" customHeight="1" x14ac:dyDescent="0.25">
      <c r="A69" s="10"/>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3.5" customHeight="1" x14ac:dyDescent="0.25">
      <c r="A70" s="10"/>
      <c r="B70" s="9"/>
      <c r="C70" s="137"/>
      <c r="D70" s="759">
        <f t="shared" ref="D70:I70" si="8">D50</f>
        <v>2023</v>
      </c>
      <c r="E70" s="759">
        <f t="shared" si="8"/>
        <v>2024</v>
      </c>
      <c r="F70" s="759">
        <f t="shared" si="8"/>
        <v>2025</v>
      </c>
      <c r="G70" s="759" t="str">
        <f t="shared" si="8"/>
        <v>2026e</v>
      </c>
      <c r="H70" s="759" t="str">
        <f t="shared" si="8"/>
        <v>2027e</v>
      </c>
      <c r="I70" s="760" t="str">
        <f t="shared" si="8"/>
        <v>2028e</v>
      </c>
      <c r="J70" s="9"/>
      <c r="K70" s="137"/>
      <c r="L70" s="759">
        <f t="shared" ref="L70:Q70" si="9">L50</f>
        <v>2023</v>
      </c>
      <c r="M70" s="759">
        <f t="shared" si="9"/>
        <v>2024</v>
      </c>
      <c r="N70" s="759">
        <f t="shared" si="9"/>
        <v>2025</v>
      </c>
      <c r="O70" s="759" t="str">
        <f t="shared" si="9"/>
        <v>2026e</v>
      </c>
      <c r="P70" s="759" t="str">
        <f t="shared" si="9"/>
        <v>2027e</v>
      </c>
      <c r="Q70" s="760" t="str">
        <f t="shared" si="9"/>
        <v>2028e</v>
      </c>
      <c r="R70" s="9"/>
      <c r="S70" s="9"/>
      <c r="T70" s="9"/>
      <c r="U70" s="9"/>
      <c r="V70" s="9"/>
      <c r="W70" s="9"/>
      <c r="X70" s="9"/>
      <c r="Y70" s="9"/>
      <c r="Z70" s="9"/>
      <c r="AA70" s="9"/>
      <c r="AB70" s="9"/>
      <c r="AC70" s="9"/>
      <c r="AD70" s="9"/>
    </row>
    <row r="71" spans="1:30" ht="13.5" customHeight="1" x14ac:dyDescent="0.25">
      <c r="A71" s="10"/>
      <c r="B71" s="9"/>
      <c r="C71" s="762" t="str">
        <f>Model!C112</f>
        <v>Free Cash Flow (FCF)</v>
      </c>
      <c r="D71" s="742">
        <f t="array" ref="D71">INDEX(Data,MATCH($C71,Line_Items,0),MATCH(Charts!D$70,Fiscal_Periods,0))</f>
        <v>10845</v>
      </c>
      <c r="E71" s="742">
        <f t="array" ref="E71">INDEX(Data,MATCH($C71,Line_Items,0),MATCH(Charts!E$70,Fiscal_Periods,0))</f>
        <v>11666</v>
      </c>
      <c r="F71" s="742">
        <f t="array" ref="F71">INDEX(Data,MATCH($C71,Line_Items,0),MATCH(Charts!F$70,Fiscal_Periods,0))</f>
        <v>8390</v>
      </c>
      <c r="G71" s="742">
        <f t="array" ref="G71">INDEX(Data,MATCH($C71,Line_Items,0),MATCH(Charts!G$70,Fiscal_Periods,0))</f>
        <v>5790.2185390146187</v>
      </c>
      <c r="H71" s="742">
        <f t="array" ref="H71">INDEX(Data,MATCH($C71,Line_Items,0),MATCH(Charts!H$70,Fiscal_Periods,0))</f>
        <v>9893.1236559217505</v>
      </c>
      <c r="I71" s="742">
        <f t="array" ref="I71">INDEX(Data,MATCH($C71,Line_Items,0),MATCH(Charts!I$70,Fiscal_Periods,0))</f>
        <v>15764.522025273562</v>
      </c>
      <c r="J71" s="9"/>
      <c r="K71" s="762" t="str">
        <f>Model!C57</f>
        <v>Adj. EPS (Diluted)</v>
      </c>
      <c r="L71" s="770">
        <f t="array" ref="L71">INDEX(Data,MATCH($K71,Line_Items,0),MATCH(Charts!L$70,Fiscal_Periods,0))</f>
        <v>11.565217391304348</v>
      </c>
      <c r="M71" s="770">
        <f t="array" ref="M71">INDEX(Data,MATCH($K71,Line_Items,0),MATCH(Charts!M$70,Fiscal_Periods,0))</f>
        <v>13.753155680224404</v>
      </c>
      <c r="N71" s="770">
        <f t="array" ref="N71">INDEX(Data,MATCH($K71,Line_Items,0),MATCH(Charts!N$70,Fiscal_Periods,0))</f>
        <v>15.73419540229885</v>
      </c>
      <c r="O71" s="770">
        <f t="array" ref="O71">INDEX(Data,MATCH($K71,Line_Items,0),MATCH(Charts!O$70,Fiscal_Periods,0))</f>
        <v>18.405216391383899</v>
      </c>
      <c r="P71" s="770">
        <f t="array" ref="P71">INDEX(Data,MATCH($K71,Line_Items,0),MATCH(Charts!P$70,Fiscal_Periods,0))</f>
        <v>22.840765344319639</v>
      </c>
      <c r="Q71" s="770">
        <f t="array" ref="Q71">INDEX(Data,MATCH($K71,Line_Items,0),MATCH(Charts!Q$70,Fiscal_Periods,0))</f>
        <v>26.164701871155788</v>
      </c>
      <c r="R71" s="9"/>
      <c r="S71" s="9"/>
      <c r="T71" s="9"/>
      <c r="U71" s="9"/>
      <c r="V71" s="9"/>
      <c r="W71" s="9"/>
      <c r="X71" s="9"/>
      <c r="Y71" s="9"/>
      <c r="Z71" s="9"/>
      <c r="AA71" s="9"/>
      <c r="AB71" s="9"/>
      <c r="AC71" s="9"/>
      <c r="AD71" s="9"/>
    </row>
    <row r="72" spans="1:30" ht="13.5" customHeight="1" x14ac:dyDescent="0.25">
      <c r="A72" s="10"/>
      <c r="B72" s="9"/>
      <c r="C72" s="765" t="s">
        <v>781</v>
      </c>
      <c r="D72" s="768">
        <v>0</v>
      </c>
      <c r="E72" s="769">
        <f t="shared" ref="E72:I72" si="10">E71/D71-1</f>
        <v>7.5703088981097233E-2</v>
      </c>
      <c r="F72" s="769">
        <f t="shared" si="10"/>
        <v>-0.28081604663123605</v>
      </c>
      <c r="G72" s="769">
        <f t="shared" si="10"/>
        <v>-0.30986668188145183</v>
      </c>
      <c r="H72" s="769">
        <f t="shared" si="10"/>
        <v>0.70859244590884907</v>
      </c>
      <c r="I72" s="769">
        <f t="shared" si="10"/>
        <v>0.59348276374139464</v>
      </c>
      <c r="J72" s="9"/>
      <c r="K72" s="765" t="s">
        <v>781</v>
      </c>
      <c r="L72" s="768">
        <v>0</v>
      </c>
      <c r="M72" s="769">
        <f t="shared" ref="M72:Q72" si="11">M71/L71-1</f>
        <v>0.18918263400436586</v>
      </c>
      <c r="N72" s="769">
        <f t="shared" si="11"/>
        <v>0.14404255780533148</v>
      </c>
      <c r="O72" s="769">
        <f t="shared" si="11"/>
        <v>0.16975898168232995</v>
      </c>
      <c r="P72" s="769">
        <f t="shared" si="11"/>
        <v>0.24099412137377363</v>
      </c>
      <c r="Q72" s="769">
        <f t="shared" si="11"/>
        <v>0.14552649513834237</v>
      </c>
      <c r="R72" s="9"/>
      <c r="S72" s="9"/>
      <c r="T72" s="9"/>
      <c r="U72" s="9"/>
      <c r="V72" s="9"/>
      <c r="W72" s="9"/>
      <c r="X72" s="9"/>
      <c r="Y72" s="9"/>
      <c r="Z72" s="9"/>
      <c r="AA72" s="9"/>
      <c r="AB72" s="9"/>
      <c r="AC72" s="9"/>
      <c r="AD72" s="9"/>
    </row>
    <row r="73" spans="1:30" ht="13.5" customHeight="1" x14ac:dyDescent="0.25">
      <c r="A73" s="10"/>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3.5" customHeight="1" x14ac:dyDescent="0.25">
      <c r="A74" s="10"/>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3.5" customHeight="1" x14ac:dyDescent="0.25">
      <c r="A75" s="10"/>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3.5" customHeight="1" x14ac:dyDescent="0.25">
      <c r="A76" s="10"/>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3.5" customHeight="1" x14ac:dyDescent="0.25">
      <c r="A77" s="10"/>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3.5" customHeight="1" x14ac:dyDescent="0.25">
      <c r="A78" s="10"/>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3.5" customHeight="1" x14ac:dyDescent="0.25">
      <c r="A79" s="10"/>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spans="1:30" ht="13.5" customHeight="1" x14ac:dyDescent="0.25">
      <c r="A80" s="10"/>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spans="1:30" ht="13.5" customHeight="1" x14ac:dyDescent="0.25">
      <c r="A81" s="10"/>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spans="1:30" ht="13.5" customHeight="1" x14ac:dyDescent="0.25">
      <c r="A82" s="10"/>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spans="1:30" ht="13.5" customHeight="1" x14ac:dyDescent="0.25">
      <c r="A83" s="10"/>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spans="1:30" ht="13.5" customHeight="1" x14ac:dyDescent="0.25">
      <c r="A84" s="10"/>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spans="1:30" ht="13.5" customHeight="1" x14ac:dyDescent="0.25">
      <c r="A85" s="10"/>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spans="1:30" ht="13.5" customHeight="1" x14ac:dyDescent="0.25">
      <c r="A86" s="10"/>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spans="1:30" ht="13.5" customHeight="1" x14ac:dyDescent="0.25">
      <c r="A87" s="10"/>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spans="1:30" ht="13.5" customHeight="1" x14ac:dyDescent="0.25">
      <c r="A88" s="10"/>
      <c r="B88" s="9"/>
      <c r="C88" s="76" t="str">
        <f>'Revenue Build'!$C$30</f>
        <v>Total Company Revenue</v>
      </c>
      <c r="D88" s="76"/>
      <c r="E88" s="76"/>
      <c r="F88" s="76"/>
      <c r="G88" s="76"/>
      <c r="H88" s="76"/>
      <c r="I88" s="76"/>
      <c r="J88" s="76"/>
      <c r="K88" s="76"/>
      <c r="L88" s="76"/>
      <c r="M88" s="76"/>
      <c r="N88" s="76"/>
      <c r="O88" s="76"/>
      <c r="P88" s="76"/>
      <c r="Q88" s="76"/>
      <c r="R88" s="749" t="str">
        <f>Last_FQR</f>
        <v>1Q</v>
      </c>
      <c r="S88" s="9"/>
      <c r="T88" s="9"/>
      <c r="U88" s="9"/>
      <c r="V88" s="9"/>
      <c r="W88" s="9"/>
      <c r="X88" s="9"/>
      <c r="Y88" s="9"/>
      <c r="Z88" s="9"/>
      <c r="AA88" s="9"/>
      <c r="AB88" s="9"/>
      <c r="AC88" s="9"/>
      <c r="AD88" s="9"/>
    </row>
    <row r="89" spans="1:30" ht="13.5" customHeight="1" x14ac:dyDescent="0.25">
      <c r="A89" s="10"/>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spans="1:30" ht="13.5" customHeight="1" x14ac:dyDescent="0.25">
      <c r="A90" s="10"/>
      <c r="B90" s="9"/>
      <c r="C90" s="137"/>
      <c r="D90" s="759">
        <f t="shared" ref="D90:G90" si="12">E90-1</f>
        <v>2019</v>
      </c>
      <c r="E90" s="759">
        <f t="shared" si="12"/>
        <v>2020</v>
      </c>
      <c r="F90" s="759">
        <f t="shared" si="12"/>
        <v>2021</v>
      </c>
      <c r="G90" s="759">
        <f t="shared" si="12"/>
        <v>2022</v>
      </c>
      <c r="H90" s="759">
        <f t="shared" ref="H90:M90" si="13">D70</f>
        <v>2023</v>
      </c>
      <c r="I90" s="759">
        <f t="shared" si="13"/>
        <v>2024</v>
      </c>
      <c r="J90" s="759">
        <f t="shared" si="13"/>
        <v>2025</v>
      </c>
      <c r="K90" s="759" t="str">
        <f t="shared" si="13"/>
        <v>2026e</v>
      </c>
      <c r="L90" s="759" t="str">
        <f t="shared" si="13"/>
        <v>2027e</v>
      </c>
      <c r="M90" s="759" t="str">
        <f t="shared" si="13"/>
        <v>2028e</v>
      </c>
      <c r="N90" s="759" t="str">
        <f>H90&amp;" YTD"</f>
        <v>2023 YTD</v>
      </c>
      <c r="O90" s="759" t="str">
        <f>J90&amp;" YTD"</f>
        <v>2025 YTD</v>
      </c>
      <c r="P90" s="759" t="str">
        <f t="shared" ref="P90:Q90" si="14">LEFT(G70,4)&amp;" YTD"</f>
        <v>2026 YTD</v>
      </c>
      <c r="Q90" s="760" t="str">
        <f t="shared" si="14"/>
        <v>2027 YTD</v>
      </c>
      <c r="R90" s="9"/>
      <c r="S90" s="9"/>
      <c r="T90" s="9"/>
      <c r="U90" s="9"/>
      <c r="V90" s="9"/>
      <c r="W90" s="9"/>
      <c r="X90" s="9"/>
      <c r="Y90" s="9"/>
      <c r="Z90" s="9"/>
      <c r="AA90" s="9"/>
      <c r="AB90" s="9"/>
      <c r="AC90" s="9"/>
      <c r="AD90" s="9"/>
    </row>
    <row r="91" spans="1:30" ht="13.5" customHeight="1" x14ac:dyDescent="0.25">
      <c r="A91" s="10"/>
      <c r="B91" s="9"/>
      <c r="C91" s="767" t="str">
        <f>C88</f>
        <v>Total Company Revenue</v>
      </c>
      <c r="D91" s="771">
        <v>56223</v>
      </c>
      <c r="E91" s="771">
        <v>59074</v>
      </c>
      <c r="F91" s="771">
        <v>65017</v>
      </c>
      <c r="G91" s="771">
        <v>68619</v>
      </c>
      <c r="H91" s="742">
        <f t="array" ref="H91">INDEX(Revenue_Data_Summary,MATCH($C91,'Revenue Build'!$C$28:$C$47,0),MATCH(Charts!H$90,'Revenue Build'!$C$28:$AG$28,0))</f>
        <v>67364</v>
      </c>
      <c r="I91" s="742">
        <f t="array" ref="I91">INDEX(Revenue_Data_Summary,MATCH($C91,'Revenue Build'!$C$28:$C$47,0),MATCH(Charts!I$90,'Revenue Build'!$C$28:$AG$28,0))</f>
        <v>74201</v>
      </c>
      <c r="J91" s="742">
        <f t="array" ref="J91">INDEX(Revenue_Data_Summary,MATCH($C91,'Revenue Build'!$C$28:$C$47,0),MATCH(Charts!J$90,'Revenue Build'!$C$28:$AG$28,0))</f>
        <v>80463</v>
      </c>
      <c r="K91" s="742">
        <f t="array" ref="K91">INDEX(Revenue_Data_Summary,MATCH($C91,'Revenue Build'!$C$28:$C$47,0),MATCH(Charts!K$90,'Revenue Build'!$C$28:$AG$28,0))</f>
        <v>88057.04232919999</v>
      </c>
      <c r="L91" s="742">
        <f t="array" ref="L91">INDEX(Revenue_Data_Summary,MATCH($C91,'Revenue Build'!$C$28:$C$47,0),MATCH(Charts!L$90,'Revenue Build'!$C$28:$AG$28,0))</f>
        <v>97549.503798841877</v>
      </c>
      <c r="M91" s="742">
        <f t="array" ref="M91">INDEX(Revenue_Data_Summary,MATCH($C91,'Revenue Build'!$C$28:$C$47,0),MATCH(Charts!M$90,'Revenue Build'!$C$28:$AG$28,0))</f>
        <v>104638.90724681984</v>
      </c>
      <c r="N91" s="742">
        <f>IF(Charts!$R$88="1Q",SUM('Revenue Build'!K30),IF(Charts!$R$88="2Q",SUM('Revenue Build'!K30:L30),IF(Charts!$R$88="3Q",SUM('Revenue Build'!K30:M30),IF(Charts!$R$88="4Q",SUM('Revenue Build'!K30:N30),"N/A"))))</f>
        <v>17807</v>
      </c>
      <c r="O91" s="742">
        <f>IF(Charts!$R$88="1Q",SUM('Revenue Build'!P30),IF(Charts!$R$88="2Q",SUM('Revenue Build'!P30:Q30),IF(Charts!$R$88="3Q",SUM('Revenue Build'!P30:R30),IF(Charts!$R$88="4Q",SUM('Revenue Build'!P30:S30),"N/A"))))</f>
        <v>18933</v>
      </c>
      <c r="P91" s="742">
        <f>IF(Charts!$R$88="1Q",SUM('Revenue Build'!U30),IF(Charts!$R$88="2Q",SUM('Revenue Build'!U30:V30),IF(Charts!$R$88="3Q",SUM('Revenue Build'!U30:W30),IF(Charts!$R$88="4Q",SUM('Revenue Build'!U30:X30),"N/A"))))</f>
        <v>20880</v>
      </c>
      <c r="Q91" s="742">
        <f>IF(Charts!$R$88="1Q",SUM('Revenue Build'!V30),IF(Charts!$R$88="2Q",SUM('Revenue Build'!V30:W30),IF(Charts!$R$88="3Q",SUM('Revenue Build'!V30:X30),IF(Charts!$R$88="4Q",SUM('Revenue Build'!V30:Y30),"N/A"))))</f>
        <v>21729.202999999998</v>
      </c>
      <c r="R91" s="742"/>
      <c r="S91" s="9"/>
      <c r="T91" s="742"/>
      <c r="U91" s="9"/>
      <c r="V91" s="9"/>
      <c r="W91" s="742"/>
      <c r="X91" s="742"/>
      <c r="Y91" s="9"/>
      <c r="Z91" s="9"/>
      <c r="AA91" s="9"/>
      <c r="AB91" s="9"/>
      <c r="AC91" s="9"/>
      <c r="AD91" s="742"/>
    </row>
    <row r="92" spans="1:30" ht="13.5" customHeight="1" x14ac:dyDescent="0.25">
      <c r="A92" s="10"/>
      <c r="B92" s="9"/>
      <c r="C92" s="765" t="s">
        <v>781</v>
      </c>
      <c r="D92" s="768">
        <v>0</v>
      </c>
      <c r="E92" s="769">
        <f t="shared" ref="E92:M92" si="15">E91/D91-1</f>
        <v>5.0708784661081863E-2</v>
      </c>
      <c r="F92" s="769">
        <f t="shared" si="15"/>
        <v>0.10060263398449409</v>
      </c>
      <c r="G92" s="769">
        <f t="shared" si="15"/>
        <v>5.5400895150499174E-2</v>
      </c>
      <c r="H92" s="769">
        <f t="shared" si="15"/>
        <v>-1.8289395065506642E-2</v>
      </c>
      <c r="I92" s="769">
        <f t="shared" si="15"/>
        <v>0.10149337925301349</v>
      </c>
      <c r="J92" s="769">
        <f t="shared" si="15"/>
        <v>8.4392393633508922E-2</v>
      </c>
      <c r="K92" s="769">
        <f t="shared" si="15"/>
        <v>9.4379308864944056E-2</v>
      </c>
      <c r="L92" s="769">
        <f t="shared" si="15"/>
        <v>0.10779900412910148</v>
      </c>
      <c r="M92" s="769">
        <f t="shared" si="15"/>
        <v>7.2674930900695545E-2</v>
      </c>
      <c r="N92" s="769">
        <v>0.17499999999999999</v>
      </c>
      <c r="O92" s="769">
        <f t="shared" ref="O92:Q92" si="16">O91/N91-1</f>
        <v>6.3233559836019637E-2</v>
      </c>
      <c r="P92" s="769">
        <f t="shared" si="16"/>
        <v>0.1028363175408018</v>
      </c>
      <c r="Q92" s="769">
        <f t="shared" si="16"/>
        <v>4.0670641762452053E-2</v>
      </c>
      <c r="R92" s="9"/>
      <c r="S92" s="9"/>
      <c r="T92" s="9"/>
      <c r="U92" s="9"/>
      <c r="V92" s="9"/>
      <c r="W92" s="9"/>
      <c r="X92" s="9"/>
      <c r="Y92" s="9"/>
      <c r="Z92" s="9"/>
      <c r="AA92" s="9"/>
      <c r="AB92" s="9"/>
      <c r="AC92" s="9"/>
      <c r="AD92" s="9"/>
    </row>
    <row r="93" spans="1:30" ht="13.5" customHeight="1" x14ac:dyDescent="0.25">
      <c r="A93" s="10"/>
      <c r="B93" s="9"/>
      <c r="C93" s="9"/>
      <c r="D93" s="768"/>
      <c r="E93" s="769"/>
      <c r="F93" s="769"/>
      <c r="G93" s="769"/>
      <c r="H93" s="769"/>
      <c r="I93" s="769"/>
      <c r="J93" s="769"/>
      <c r="K93" s="769"/>
      <c r="L93" s="769"/>
      <c r="M93" s="768"/>
      <c r="N93" s="769"/>
      <c r="O93" s="769"/>
      <c r="P93" s="769"/>
      <c r="Q93" s="9"/>
      <c r="R93" s="9"/>
      <c r="S93" s="9"/>
      <c r="T93" s="9"/>
      <c r="U93" s="9"/>
      <c r="V93" s="9"/>
      <c r="W93" s="9"/>
      <c r="X93" s="9"/>
      <c r="Y93" s="9"/>
      <c r="Z93" s="9"/>
      <c r="AA93" s="9"/>
      <c r="AB93" s="9"/>
      <c r="AC93" s="9"/>
      <c r="AD93" s="9"/>
    </row>
    <row r="94" spans="1:30" ht="13.5" customHeight="1" x14ac:dyDescent="0.25">
      <c r="A94" s="10"/>
      <c r="B94" s="9"/>
      <c r="C94" s="9"/>
      <c r="D94" s="768"/>
      <c r="E94" s="769"/>
      <c r="F94" s="769"/>
      <c r="G94" s="769"/>
      <c r="H94" s="769"/>
      <c r="I94" s="769"/>
      <c r="J94" s="769"/>
      <c r="K94" s="769"/>
      <c r="L94" s="769"/>
      <c r="M94" s="768"/>
      <c r="N94" s="769"/>
      <c r="O94" s="769"/>
      <c r="P94" s="769"/>
      <c r="Q94" s="9"/>
      <c r="R94" s="9"/>
      <c r="S94" s="9"/>
      <c r="T94" s="9"/>
      <c r="U94" s="9"/>
      <c r="V94" s="9"/>
      <c r="W94" s="9"/>
      <c r="X94" s="9"/>
      <c r="Y94" s="9"/>
      <c r="Z94" s="9"/>
      <c r="AA94" s="9"/>
      <c r="AB94" s="9"/>
      <c r="AC94" s="9"/>
      <c r="AD94" s="9"/>
    </row>
    <row r="95" spans="1:30" ht="13.5" customHeight="1" x14ac:dyDescent="0.25">
      <c r="A95" s="10"/>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spans="1:30" ht="13.5" customHeight="1" x14ac:dyDescent="0.25">
      <c r="A96" s="10"/>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spans="1:30" ht="13.5" customHeight="1" x14ac:dyDescent="0.25">
      <c r="A97" s="10"/>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spans="1:30" ht="13.5" customHeight="1" x14ac:dyDescent="0.25">
      <c r="A98" s="10"/>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spans="1:30" ht="13.5" customHeight="1" x14ac:dyDescent="0.25">
      <c r="A99" s="10"/>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spans="1:30" ht="13.5" customHeight="1" x14ac:dyDescent="0.25">
      <c r="A100" s="10"/>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spans="1:30" ht="13.5" customHeight="1" x14ac:dyDescent="0.25">
      <c r="A101" s="10"/>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spans="1:30" ht="13.5" customHeight="1" x14ac:dyDescent="0.25">
      <c r="A102" s="10"/>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spans="1:30" ht="13.5" customHeight="1" x14ac:dyDescent="0.25">
      <c r="A103" s="10"/>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spans="1:30" ht="13.5" customHeight="1" x14ac:dyDescent="0.25">
      <c r="A104" s="10"/>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spans="1:30" ht="13.5" customHeight="1" x14ac:dyDescent="0.25">
      <c r="A105" s="10"/>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spans="1:30" ht="13.5" customHeight="1" x14ac:dyDescent="0.25">
      <c r="A106" s="10"/>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spans="1:30" ht="13.5" customHeight="1" x14ac:dyDescent="0.25">
      <c r="A107" s="10"/>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spans="1:30" ht="13.5" customHeight="1" x14ac:dyDescent="0.25">
      <c r="A108" s="10"/>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spans="1:30" ht="13.5" customHeight="1" x14ac:dyDescent="0.25">
      <c r="A109" s="10"/>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spans="1:30" ht="13.5" customHeight="1" x14ac:dyDescent="0.25">
      <c r="A110" s="10"/>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row r="111" spans="1:30" ht="13.5" customHeight="1" x14ac:dyDescent="0.25">
      <c r="A111" s="10"/>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row>
    <row r="112" spans="1:30" ht="13.5" customHeight="1" x14ac:dyDescent="0.25">
      <c r="A112" s="10"/>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row>
    <row r="113" spans="1:30" ht="13.5" customHeight="1" x14ac:dyDescent="0.25">
      <c r="A113" s="10"/>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row>
    <row r="114" spans="1:30" ht="13.5" customHeight="1" x14ac:dyDescent="0.25">
      <c r="A114" s="10" t="s">
        <v>0</v>
      </c>
      <c r="B114" s="9"/>
      <c r="C114" s="76" t="s">
        <v>782</v>
      </c>
      <c r="D114" s="78"/>
      <c r="E114" s="78"/>
      <c r="F114" s="78"/>
      <c r="G114" s="78"/>
      <c r="H114" s="78"/>
      <c r="I114" s="78"/>
      <c r="J114" s="78"/>
      <c r="K114" s="78"/>
      <c r="L114" s="78"/>
      <c r="M114" s="78"/>
      <c r="N114" s="78"/>
      <c r="O114" s="78"/>
      <c r="P114" s="78"/>
      <c r="Q114" s="78"/>
      <c r="R114" s="9"/>
      <c r="S114" s="9"/>
      <c r="T114" s="9"/>
      <c r="U114" s="9"/>
      <c r="V114" s="9"/>
      <c r="W114" s="9"/>
      <c r="X114" s="9"/>
      <c r="Y114" s="9"/>
      <c r="Z114" s="9"/>
      <c r="AA114" s="9"/>
      <c r="AB114" s="9"/>
      <c r="AC114" s="9"/>
      <c r="AD114" s="9"/>
    </row>
    <row r="115" spans="1:30" ht="13.5" customHeight="1" x14ac:dyDescent="0.25">
      <c r="A115" s="10"/>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row>
    <row r="116" spans="1:30" ht="13.5" customHeight="1" x14ac:dyDescent="0.25">
      <c r="A116" s="10"/>
      <c r="B116" s="9"/>
      <c r="C116" s="137"/>
      <c r="D116" s="772" t="str">
        <f>'Segment Analysis'!$C$14</f>
        <v>Discount</v>
      </c>
      <c r="E116" s="772" t="str">
        <f>'Segment Analysis'!$C$15</f>
        <v>Net Card Fees</v>
      </c>
      <c r="F116" s="772" t="str">
        <f>'Segment Analysis'!$C$16</f>
        <v>Service Fees and Other</v>
      </c>
      <c r="G116" s="772" t="str">
        <f>'Segment Analysis'!$C$17</f>
        <v>Interest Income</v>
      </c>
      <c r="H116" s="914"/>
      <c r="I116" s="914"/>
      <c r="J116" s="64"/>
      <c r="K116" s="9"/>
      <c r="L116" s="9"/>
      <c r="M116" s="9"/>
      <c r="N116" s="9"/>
      <c r="O116" s="9"/>
      <c r="P116" s="9"/>
      <c r="Q116" s="9"/>
      <c r="R116" s="9"/>
      <c r="S116" s="9"/>
      <c r="T116" s="9"/>
      <c r="U116" s="9"/>
      <c r="V116" s="9"/>
      <c r="W116" s="9"/>
      <c r="X116" s="9"/>
      <c r="Y116" s="9"/>
      <c r="Z116" s="9"/>
      <c r="AA116" s="9"/>
      <c r="AB116" s="9"/>
      <c r="AC116" s="9"/>
      <c r="AD116" s="9"/>
    </row>
    <row r="117" spans="1:30" ht="13.5" customHeight="1" x14ac:dyDescent="0.25">
      <c r="A117" s="10"/>
      <c r="B117" s="9"/>
      <c r="C117" s="765" t="s">
        <v>783</v>
      </c>
      <c r="D117" s="773">
        <f>'Segment Analysis'!$T$14</f>
        <v>0.46482234070318035</v>
      </c>
      <c r="E117" s="774">
        <f>'Segment Analysis'!$T$15</f>
        <v>0.12419372879460125</v>
      </c>
      <c r="F117" s="774">
        <f>'Segment Analysis'!$T$16</f>
        <v>9.2850129873357945E-2</v>
      </c>
      <c r="G117" s="774">
        <f>'Segment Analysis'!$T$17</f>
        <v>0.31813380062886049</v>
      </c>
      <c r="H117" s="774"/>
      <c r="I117" s="774"/>
      <c r="J117" s="775" t="s">
        <v>784</v>
      </c>
      <c r="K117" s="776">
        <f>SUM(D117:G117)</f>
        <v>1</v>
      </c>
      <c r="L117" s="777" t="s">
        <v>785</v>
      </c>
      <c r="M117" s="9"/>
      <c r="N117" s="9"/>
      <c r="O117" s="9"/>
      <c r="P117" s="9"/>
      <c r="Q117" s="9"/>
      <c r="R117" s="9"/>
      <c r="S117" s="9"/>
      <c r="T117" s="9"/>
      <c r="U117" s="9"/>
      <c r="V117" s="9"/>
      <c r="W117" s="9"/>
      <c r="X117" s="9"/>
      <c r="Y117" s="9"/>
      <c r="Z117" s="9"/>
      <c r="AA117" s="9"/>
      <c r="AB117" s="9"/>
      <c r="AC117" s="9"/>
      <c r="AD117" s="9"/>
    </row>
    <row r="118" spans="1:30" ht="13.5" customHeight="1" x14ac:dyDescent="0.25">
      <c r="A118" s="10"/>
      <c r="B118" s="9"/>
      <c r="C118" s="9"/>
      <c r="D118" s="9"/>
      <c r="E118" s="9"/>
      <c r="F118" s="158"/>
      <c r="G118" s="9"/>
      <c r="H118" s="9"/>
      <c r="I118" s="9"/>
      <c r="J118" s="9"/>
      <c r="K118" s="9"/>
      <c r="L118" s="9"/>
      <c r="M118" s="9"/>
      <c r="N118" s="9"/>
      <c r="O118" s="9"/>
      <c r="P118" s="9"/>
      <c r="Q118" s="9"/>
      <c r="R118" s="9"/>
      <c r="S118" s="9"/>
      <c r="T118" s="9"/>
      <c r="U118" s="9"/>
      <c r="V118" s="9"/>
      <c r="W118" s="9"/>
      <c r="X118" s="9"/>
      <c r="Y118" s="9"/>
      <c r="Z118" s="9"/>
      <c r="AA118" s="9"/>
      <c r="AB118" s="9"/>
      <c r="AC118" s="9"/>
      <c r="AD118" s="9"/>
    </row>
    <row r="119" spans="1:30" ht="13.5" customHeight="1" x14ac:dyDescent="0.25">
      <c r="A119" s="10"/>
      <c r="B119" s="9"/>
      <c r="C119" s="9"/>
      <c r="D119" s="9"/>
      <c r="E119" s="9"/>
      <c r="F119" s="9"/>
      <c r="G119" s="9"/>
      <c r="H119" s="9"/>
      <c r="I119" s="9"/>
      <c r="J119" s="9"/>
      <c r="K119" s="9"/>
      <c r="L119" s="9"/>
      <c r="M119" s="9"/>
      <c r="N119" s="9"/>
      <c r="O119" s="9"/>
      <c r="P119" s="9"/>
      <c r="Q119" s="9"/>
      <c r="R119" s="778"/>
      <c r="S119" s="778"/>
      <c r="T119" s="778"/>
      <c r="U119" s="778"/>
      <c r="V119" s="778"/>
      <c r="W119" s="778"/>
      <c r="X119" s="9"/>
      <c r="Y119" s="9"/>
      <c r="Z119" s="9"/>
      <c r="AA119" s="9"/>
      <c r="AB119" s="9"/>
      <c r="AC119" s="9"/>
      <c r="AD119" s="9"/>
    </row>
    <row r="120" spans="1:30" ht="13.5" customHeight="1" x14ac:dyDescent="0.25">
      <c r="A120" s="10"/>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row>
    <row r="121" spans="1:30" ht="13.5" customHeight="1" x14ac:dyDescent="0.25">
      <c r="A121" s="10"/>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row>
    <row r="122" spans="1:30" ht="13.5" customHeight="1" x14ac:dyDescent="0.25">
      <c r="A122" s="10"/>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row>
    <row r="123" spans="1:30" ht="13.5" customHeight="1" x14ac:dyDescent="0.25">
      <c r="A123" s="10"/>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row>
    <row r="124" spans="1:30" ht="13.5" customHeight="1" x14ac:dyDescent="0.25">
      <c r="A124" s="10"/>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row>
    <row r="125" spans="1:30" ht="13.5" customHeight="1" x14ac:dyDescent="0.25">
      <c r="A125" s="10"/>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row>
    <row r="126" spans="1:30" ht="13.5" customHeight="1" x14ac:dyDescent="0.25">
      <c r="A126" s="10"/>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row>
    <row r="127" spans="1:30" ht="13.5" customHeight="1" x14ac:dyDescent="0.25">
      <c r="A127" s="10"/>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row>
    <row r="128" spans="1:30" ht="13.5" customHeight="1" x14ac:dyDescent="0.25">
      <c r="A128" s="10"/>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row>
    <row r="129" spans="1:30" ht="13.5" customHeight="1" x14ac:dyDescent="0.25">
      <c r="A129" s="10"/>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row>
    <row r="130" spans="1:30" ht="13.5" customHeight="1" x14ac:dyDescent="0.25">
      <c r="A130" s="10"/>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row>
    <row r="131" spans="1:30" ht="13.5" customHeight="1" x14ac:dyDescent="0.25">
      <c r="A131" s="10"/>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row>
    <row r="132" spans="1:30" ht="13.5" customHeight="1" x14ac:dyDescent="0.25">
      <c r="A132" s="10"/>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row>
    <row r="133" spans="1:30" ht="13.5" customHeight="1" x14ac:dyDescent="0.25">
      <c r="A133" s="10" t="s">
        <v>0</v>
      </c>
      <c r="B133" s="9"/>
      <c r="C133" s="76" t="str">
        <f>Ticker&amp;" - Debt Distribution"</f>
        <v>AXP - Debt Distribution</v>
      </c>
      <c r="D133" s="78"/>
      <c r="E133" s="78"/>
      <c r="F133" s="78"/>
      <c r="G133" s="78"/>
      <c r="H133" s="78"/>
      <c r="I133" s="78"/>
      <c r="J133" s="78"/>
      <c r="K133" s="78"/>
      <c r="L133" s="78"/>
      <c r="M133" s="78"/>
      <c r="N133" s="78"/>
      <c r="O133" s="78"/>
      <c r="P133" s="78"/>
      <c r="Q133" s="78"/>
      <c r="R133" s="9"/>
      <c r="S133" s="9"/>
      <c r="T133" s="9"/>
      <c r="U133" s="9"/>
      <c r="V133" s="9"/>
      <c r="W133" s="9"/>
      <c r="X133" s="9"/>
      <c r="Y133" s="9"/>
      <c r="Z133" s="9"/>
      <c r="AA133" s="9"/>
      <c r="AB133" s="9"/>
      <c r="AC133" s="9"/>
      <c r="AD133" s="9"/>
    </row>
    <row r="134" spans="1:30" ht="13.5" customHeight="1" x14ac:dyDescent="0.25">
      <c r="A134" s="10"/>
      <c r="B134" s="9"/>
      <c r="C134" s="37"/>
      <c r="D134" s="143"/>
      <c r="E134" s="143"/>
      <c r="F134" s="143"/>
      <c r="G134" s="143"/>
      <c r="H134" s="143"/>
      <c r="I134" s="143"/>
      <c r="J134" s="143"/>
      <c r="K134" s="143"/>
      <c r="L134" s="143"/>
      <c r="M134" s="143"/>
      <c r="N134" s="143"/>
      <c r="O134" s="143"/>
      <c r="P134" s="143"/>
      <c r="Q134" s="143"/>
      <c r="R134" s="9"/>
      <c r="S134" s="9"/>
      <c r="T134" s="9"/>
      <c r="U134" s="9"/>
      <c r="V134" s="9"/>
      <c r="W134" s="9"/>
      <c r="X134" s="9"/>
      <c r="Y134" s="9"/>
      <c r="Z134" s="9"/>
      <c r="AA134" s="9"/>
      <c r="AB134" s="9"/>
      <c r="AC134" s="9"/>
      <c r="AD134" s="9"/>
    </row>
    <row r="135" spans="1:30" ht="13.5" customHeight="1" x14ac:dyDescent="0.25">
      <c r="A135" s="10"/>
      <c r="B135" s="9"/>
      <c r="C135" s="137"/>
      <c r="D135" s="779">
        <v>2021</v>
      </c>
      <c r="E135" s="780">
        <f t="shared" ref="E135:Q135" si="17">D135+1</f>
        <v>2022</v>
      </c>
      <c r="F135" s="780">
        <f t="shared" si="17"/>
        <v>2023</v>
      </c>
      <c r="G135" s="780">
        <f t="shared" si="17"/>
        <v>2024</v>
      </c>
      <c r="H135" s="780">
        <f t="shared" si="17"/>
        <v>2025</v>
      </c>
      <c r="I135" s="780">
        <f t="shared" si="17"/>
        <v>2026</v>
      </c>
      <c r="J135" s="780">
        <f t="shared" si="17"/>
        <v>2027</v>
      </c>
      <c r="K135" s="780">
        <f t="shared" si="17"/>
        <v>2028</v>
      </c>
      <c r="L135" s="780">
        <f t="shared" si="17"/>
        <v>2029</v>
      </c>
      <c r="M135" s="780">
        <f t="shared" si="17"/>
        <v>2030</v>
      </c>
      <c r="N135" s="780">
        <f t="shared" si="17"/>
        <v>2031</v>
      </c>
      <c r="O135" s="780">
        <f t="shared" si="17"/>
        <v>2032</v>
      </c>
      <c r="P135" s="780">
        <f t="shared" si="17"/>
        <v>2033</v>
      </c>
      <c r="Q135" s="781">
        <f t="shared" si="17"/>
        <v>2034</v>
      </c>
      <c r="R135" s="782"/>
      <c r="S135" s="782"/>
      <c r="T135" s="782"/>
      <c r="U135" s="782"/>
      <c r="V135" s="782"/>
      <c r="W135" s="782"/>
      <c r="X135" s="9"/>
      <c r="Y135" s="9"/>
      <c r="Z135" s="9"/>
      <c r="AA135" s="9"/>
      <c r="AB135" s="9"/>
      <c r="AC135" s="9"/>
      <c r="AD135" s="9"/>
    </row>
    <row r="136" spans="1:30" ht="13.5" customHeight="1" x14ac:dyDescent="0.25">
      <c r="A136" s="10"/>
      <c r="B136" s="9"/>
      <c r="C136" s="762" t="s">
        <v>786</v>
      </c>
      <c r="D136" s="771">
        <v>0</v>
      </c>
      <c r="E136" s="771">
        <v>0</v>
      </c>
      <c r="F136" s="771">
        <v>1980</v>
      </c>
      <c r="G136" s="771">
        <v>0</v>
      </c>
      <c r="H136" s="771">
        <v>1020</v>
      </c>
      <c r="I136" s="771">
        <v>0</v>
      </c>
      <c r="J136" s="771">
        <v>0</v>
      </c>
      <c r="K136" s="771">
        <v>0</v>
      </c>
      <c r="L136" s="771">
        <v>0</v>
      </c>
      <c r="M136" s="771">
        <v>0</v>
      </c>
      <c r="N136" s="771">
        <v>0</v>
      </c>
      <c r="O136" s="771">
        <v>0</v>
      </c>
      <c r="P136" s="771">
        <v>0</v>
      </c>
      <c r="Q136" s="771">
        <v>0</v>
      </c>
      <c r="R136" s="778"/>
      <c r="S136" s="778"/>
      <c r="T136" s="778"/>
      <c r="U136" s="778"/>
      <c r="V136" s="778"/>
      <c r="W136" s="778"/>
      <c r="X136" s="9"/>
      <c r="Y136" s="9"/>
      <c r="Z136" s="9"/>
      <c r="AA136" s="9"/>
      <c r="AB136" s="9"/>
      <c r="AC136" s="9"/>
      <c r="AD136" s="9"/>
    </row>
    <row r="137" spans="1:30" ht="13.5" customHeight="1" x14ac:dyDescent="0.25">
      <c r="A137" s="10"/>
      <c r="B137" s="9"/>
      <c r="C137" s="762" t="s">
        <v>787</v>
      </c>
      <c r="D137" s="783">
        <v>1025</v>
      </c>
      <c r="E137" s="783">
        <v>760</v>
      </c>
      <c r="F137" s="783">
        <v>505</v>
      </c>
      <c r="G137" s="783">
        <v>450</v>
      </c>
      <c r="H137" s="783">
        <v>1500</v>
      </c>
      <c r="I137" s="783">
        <v>1350</v>
      </c>
      <c r="J137" s="783">
        <v>1618</v>
      </c>
      <c r="K137" s="783">
        <v>225</v>
      </c>
      <c r="L137" s="783">
        <v>1811</v>
      </c>
      <c r="M137" s="783">
        <v>1250</v>
      </c>
      <c r="N137" s="783">
        <v>0</v>
      </c>
      <c r="O137" s="783">
        <v>0</v>
      </c>
      <c r="P137" s="783">
        <v>0</v>
      </c>
      <c r="Q137" s="783">
        <v>0</v>
      </c>
      <c r="R137" s="778"/>
      <c r="S137" s="778"/>
      <c r="T137" s="778"/>
      <c r="U137" s="778"/>
      <c r="V137" s="778"/>
      <c r="W137" s="778"/>
      <c r="X137" s="9"/>
      <c r="Y137" s="9"/>
      <c r="Z137" s="9"/>
      <c r="AA137" s="9"/>
      <c r="AB137" s="9"/>
      <c r="AC137" s="9"/>
      <c r="AD137" s="9"/>
    </row>
    <row r="138" spans="1:30" ht="13.5" customHeight="1" x14ac:dyDescent="0.25">
      <c r="A138" s="10"/>
      <c r="B138" s="9"/>
      <c r="C138" s="765" t="s">
        <v>788</v>
      </c>
      <c r="D138" s="783">
        <v>0</v>
      </c>
      <c r="E138" s="783">
        <v>0</v>
      </c>
      <c r="F138" s="783">
        <v>0</v>
      </c>
      <c r="G138" s="783">
        <v>0</v>
      </c>
      <c r="H138" s="783">
        <v>0</v>
      </c>
      <c r="I138" s="783">
        <v>0</v>
      </c>
      <c r="J138" s="783">
        <v>0</v>
      </c>
      <c r="K138" s="783">
        <v>0</v>
      </c>
      <c r="L138" s="783">
        <v>0</v>
      </c>
      <c r="M138" s="783">
        <v>0</v>
      </c>
      <c r="N138" s="783">
        <v>0</v>
      </c>
      <c r="O138" s="783">
        <v>0</v>
      </c>
      <c r="P138" s="783">
        <v>0</v>
      </c>
      <c r="Q138" s="783">
        <v>0</v>
      </c>
      <c r="R138" s="9"/>
      <c r="S138" s="9"/>
      <c r="T138" s="9"/>
      <c r="U138" s="9"/>
      <c r="V138" s="9"/>
      <c r="W138" s="9"/>
      <c r="X138" s="9"/>
      <c r="Y138" s="9"/>
      <c r="Z138" s="9"/>
      <c r="AA138" s="9"/>
      <c r="AB138" s="9"/>
      <c r="AC138" s="9"/>
      <c r="AD138" s="9"/>
    </row>
    <row r="139" spans="1:30" ht="13.5" customHeight="1" x14ac:dyDescent="0.25">
      <c r="A139" s="10"/>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row>
    <row r="140" spans="1:30" ht="13.5" customHeight="1" x14ac:dyDescent="0.25">
      <c r="A140" s="10"/>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row>
    <row r="141" spans="1:30" ht="13.5" customHeight="1" x14ac:dyDescent="0.25">
      <c r="A141" s="10"/>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row>
    <row r="142" spans="1:30" ht="13.5" customHeight="1" x14ac:dyDescent="0.25">
      <c r="A142" s="10"/>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row>
    <row r="143" spans="1:30" ht="13.5" customHeight="1" x14ac:dyDescent="0.25">
      <c r="A143" s="10"/>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row>
    <row r="144" spans="1:30" ht="13.5" customHeight="1" x14ac:dyDescent="0.25">
      <c r="A144" s="10"/>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row>
    <row r="145" spans="1:30" ht="13.5" customHeight="1" x14ac:dyDescent="0.25">
      <c r="A145" s="10"/>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row>
    <row r="146" spans="1:30" ht="13.5" customHeight="1" x14ac:dyDescent="0.25">
      <c r="A146" s="10"/>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row>
    <row r="147" spans="1:30" ht="13.5" customHeight="1" x14ac:dyDescent="0.25">
      <c r="A147" s="10"/>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row>
    <row r="148" spans="1:30" ht="13.5" customHeight="1" x14ac:dyDescent="0.25">
      <c r="A148" s="10"/>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row>
    <row r="149" spans="1:30" ht="13.5" customHeight="1" x14ac:dyDescent="0.25">
      <c r="A149" s="10"/>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row>
    <row r="150" spans="1:30" ht="13.5" customHeight="1" x14ac:dyDescent="0.25">
      <c r="A150" s="10"/>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row>
    <row r="151" spans="1:30" ht="13.5" customHeight="1" x14ac:dyDescent="0.25">
      <c r="A151" s="10"/>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row>
    <row r="152" spans="1:30" ht="13.5" customHeight="1" x14ac:dyDescent="0.25">
      <c r="A152" s="10"/>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row>
    <row r="153" spans="1:30" ht="13.5" customHeight="1" x14ac:dyDescent="0.25">
      <c r="A153" s="10"/>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row>
    <row r="154" spans="1:30" ht="13.5" hidden="1" customHeight="1" outlineLevel="1" x14ac:dyDescent="0.25">
      <c r="A154" s="10" t="s">
        <v>0</v>
      </c>
      <c r="B154" s="9"/>
      <c r="C154" s="76" t="s">
        <v>789</v>
      </c>
      <c r="D154" s="78"/>
      <c r="E154" s="78"/>
      <c r="F154" s="78"/>
      <c r="G154" s="78"/>
      <c r="H154" s="78"/>
      <c r="I154" s="78"/>
      <c r="J154" s="78"/>
      <c r="K154" s="78"/>
      <c r="L154" s="78"/>
      <c r="M154" s="78"/>
      <c r="N154" s="78"/>
      <c r="O154" s="78"/>
      <c r="P154" s="78"/>
      <c r="Q154" s="78"/>
      <c r="R154" s="9"/>
      <c r="S154" s="9"/>
      <c r="T154" s="9"/>
      <c r="U154" s="9"/>
      <c r="V154" s="9"/>
      <c r="W154" s="9"/>
      <c r="X154" s="9"/>
      <c r="Y154" s="9"/>
      <c r="Z154" s="9"/>
      <c r="AA154" s="9"/>
      <c r="AB154" s="9"/>
      <c r="AC154" s="9"/>
      <c r="AD154" s="9"/>
    </row>
    <row r="155" spans="1:30" ht="13.5" hidden="1" customHeight="1" outlineLevel="1" x14ac:dyDescent="0.25">
      <c r="A155" s="10"/>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row>
    <row r="156" spans="1:30" ht="13.5" hidden="1" customHeight="1" outlineLevel="1" x14ac:dyDescent="0.25">
      <c r="A156" s="10"/>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row>
    <row r="157" spans="1:30" ht="13.5" hidden="1" customHeight="1" outlineLevel="1" x14ac:dyDescent="0.25">
      <c r="A157" s="10"/>
      <c r="B157" s="9"/>
      <c r="C157" s="76" t="s">
        <v>790</v>
      </c>
      <c r="D157" s="76"/>
      <c r="E157" s="76"/>
      <c r="F157" s="76"/>
      <c r="G157" s="76"/>
      <c r="H157" s="76"/>
      <c r="I157" s="76"/>
      <c r="J157" s="9"/>
      <c r="K157" s="784" t="s">
        <v>791</v>
      </c>
      <c r="L157" s="76"/>
      <c r="M157" s="76"/>
      <c r="N157" s="76"/>
      <c r="O157" s="76"/>
      <c r="P157" s="76"/>
      <c r="Q157" s="76"/>
      <c r="R157" s="9"/>
      <c r="S157" s="9"/>
      <c r="T157" s="9"/>
      <c r="U157" s="9"/>
      <c r="V157" s="9"/>
      <c r="W157" s="9"/>
      <c r="X157" s="9"/>
      <c r="Y157" s="9"/>
      <c r="Z157" s="9"/>
      <c r="AA157" s="9"/>
      <c r="AB157" s="9"/>
      <c r="AC157" s="9"/>
      <c r="AD157" s="9"/>
    </row>
    <row r="158" spans="1:30" ht="13.5" hidden="1" customHeight="1" outlineLevel="1" x14ac:dyDescent="0.25">
      <c r="A158" s="10"/>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row>
    <row r="159" spans="1:30" ht="13.5" hidden="1" customHeight="1" outlineLevel="1" x14ac:dyDescent="0.25">
      <c r="A159" s="10"/>
      <c r="B159" s="9"/>
      <c r="C159" s="137"/>
      <c r="D159" s="785">
        <v>42735</v>
      </c>
      <c r="E159" s="786">
        <f t="shared" ref="E159:I159" si="18">EDATE(D159,12)</f>
        <v>43100</v>
      </c>
      <c r="F159" s="786">
        <f t="shared" si="18"/>
        <v>43465</v>
      </c>
      <c r="G159" s="786">
        <f t="shared" si="18"/>
        <v>43830</v>
      </c>
      <c r="H159" s="786">
        <f t="shared" si="18"/>
        <v>44196</v>
      </c>
      <c r="I159" s="787">
        <f t="shared" si="18"/>
        <v>44561</v>
      </c>
      <c r="J159" s="9"/>
      <c r="K159" s="137" t="s">
        <v>792</v>
      </c>
      <c r="L159" s="785">
        <v>41639</v>
      </c>
      <c r="M159" s="786">
        <f t="shared" ref="M159:Q159" si="19">EDATE(L159,12)</f>
        <v>42004</v>
      </c>
      <c r="N159" s="786">
        <f t="shared" si="19"/>
        <v>42369</v>
      </c>
      <c r="O159" s="786">
        <f t="shared" si="19"/>
        <v>42735</v>
      </c>
      <c r="P159" s="786">
        <f t="shared" si="19"/>
        <v>43100</v>
      </c>
      <c r="Q159" s="787">
        <f t="shared" si="19"/>
        <v>43465</v>
      </c>
      <c r="R159" s="9"/>
      <c r="S159" s="9"/>
      <c r="T159" s="9"/>
      <c r="U159" s="9"/>
      <c r="V159" s="9"/>
      <c r="W159" s="9"/>
      <c r="X159" s="9"/>
      <c r="Y159" s="9"/>
      <c r="Z159" s="9"/>
      <c r="AA159" s="9"/>
      <c r="AB159" s="9"/>
      <c r="AC159" s="9"/>
      <c r="AD159" s="9"/>
    </row>
    <row r="160" spans="1:30" ht="13.5" hidden="1" customHeight="1" outlineLevel="1" x14ac:dyDescent="0.25">
      <c r="A160" s="10"/>
      <c r="B160" s="9"/>
      <c r="C160" s="765" t="s">
        <v>793</v>
      </c>
      <c r="D160" s="771">
        <v>380</v>
      </c>
      <c r="E160" s="771">
        <v>400</v>
      </c>
      <c r="F160" s="771">
        <v>420</v>
      </c>
      <c r="G160" s="771">
        <v>460</v>
      </c>
      <c r="H160" s="771">
        <v>480</v>
      </c>
      <c r="I160" s="771">
        <v>490</v>
      </c>
      <c r="J160" s="9"/>
      <c r="K160" s="765" t="s">
        <v>794</v>
      </c>
      <c r="L160" s="768">
        <v>0.1</v>
      </c>
      <c r="M160" s="768">
        <v>0.11</v>
      </c>
      <c r="N160" s="768">
        <v>0.12</v>
      </c>
      <c r="O160" s="768">
        <v>0.13</v>
      </c>
      <c r="P160" s="768">
        <v>0.14000000000000001</v>
      </c>
      <c r="Q160" s="768">
        <v>0.15</v>
      </c>
      <c r="R160" s="9"/>
      <c r="S160" s="9"/>
      <c r="T160" s="9"/>
      <c r="U160" s="9"/>
      <c r="V160" s="9"/>
      <c r="W160" s="9"/>
      <c r="X160" s="9"/>
      <c r="Y160" s="9"/>
      <c r="Z160" s="9"/>
      <c r="AA160" s="9"/>
      <c r="AB160" s="9"/>
      <c r="AC160" s="9"/>
      <c r="AD160" s="9"/>
    </row>
    <row r="161" spans="1:30" ht="13.5" hidden="1" customHeight="1" outlineLevel="1" x14ac:dyDescent="0.25">
      <c r="A161" s="10"/>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row>
    <row r="162" spans="1:30" ht="13.5" hidden="1" customHeight="1" outlineLevel="1" x14ac:dyDescent="0.25">
      <c r="A162" s="10"/>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row>
    <row r="163" spans="1:30" ht="13.5" hidden="1" customHeight="1" outlineLevel="1" x14ac:dyDescent="0.25">
      <c r="A163" s="10"/>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row>
    <row r="164" spans="1:30" ht="13.5" hidden="1" customHeight="1" outlineLevel="1" x14ac:dyDescent="0.25">
      <c r="A164" s="10"/>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row>
    <row r="165" spans="1:30" ht="13.5" hidden="1" customHeight="1" outlineLevel="1" x14ac:dyDescent="0.25">
      <c r="A165" s="10"/>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row>
    <row r="166" spans="1:30" ht="13.5" hidden="1" customHeight="1" outlineLevel="1" x14ac:dyDescent="0.25">
      <c r="A166" s="10"/>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row>
    <row r="167" spans="1:30" ht="13.5" hidden="1" customHeight="1" outlineLevel="1" x14ac:dyDescent="0.25">
      <c r="A167" s="10"/>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row>
    <row r="168" spans="1:30" ht="13.5" hidden="1" customHeight="1" outlineLevel="1" x14ac:dyDescent="0.25">
      <c r="A168" s="10"/>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row>
    <row r="169" spans="1:30" ht="13.5" hidden="1" customHeight="1" outlineLevel="1" x14ac:dyDescent="0.25">
      <c r="A169" s="10"/>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row>
    <row r="170" spans="1:30" ht="13.5" hidden="1" customHeight="1" outlineLevel="1" x14ac:dyDescent="0.25">
      <c r="A170" s="10"/>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row>
    <row r="171" spans="1:30" ht="13.5" hidden="1" customHeight="1" outlineLevel="1" x14ac:dyDescent="0.25">
      <c r="A171" s="10"/>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row>
    <row r="172" spans="1:30" ht="13.5" hidden="1" customHeight="1" outlineLevel="1" x14ac:dyDescent="0.25">
      <c r="A172" s="10"/>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row>
    <row r="173" spans="1:30" ht="13.5" hidden="1" customHeight="1" outlineLevel="1" x14ac:dyDescent="0.25">
      <c r="A173" s="10"/>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row>
    <row r="174" spans="1:30" ht="13.5" hidden="1" customHeight="1" outlineLevel="1" x14ac:dyDescent="0.25">
      <c r="A174" s="10"/>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row>
    <row r="175" spans="1:30" ht="13.5" hidden="1" customHeight="1" outlineLevel="1" x14ac:dyDescent="0.25">
      <c r="A175" s="10"/>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row>
    <row r="176" spans="1:30" ht="13.5" customHeight="1" collapsed="1" x14ac:dyDescent="0.25">
      <c r="A176" s="10"/>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row>
    <row r="177" spans="1:30" ht="13.5" customHeight="1" x14ac:dyDescent="0.25">
      <c r="A177" s="10" t="s">
        <v>0</v>
      </c>
      <c r="B177" s="9"/>
      <c r="C177" s="76" t="str">
        <f>Ticker&amp;" - One Year Stock Price Performance"</f>
        <v>AXP - One Year Stock Price Performance</v>
      </c>
      <c r="D177" s="78"/>
      <c r="E177" s="78"/>
      <c r="F177" s="78"/>
      <c r="G177" s="78"/>
      <c r="H177" s="78"/>
      <c r="I177" s="78"/>
      <c r="J177" s="78"/>
      <c r="K177" s="78"/>
      <c r="L177" s="78"/>
      <c r="M177" s="78"/>
      <c r="N177" s="78"/>
      <c r="O177" s="78"/>
      <c r="P177" s="78"/>
      <c r="Q177" s="78"/>
      <c r="R177" s="9"/>
      <c r="S177" s="9"/>
      <c r="T177" s="9"/>
      <c r="U177" s="9"/>
      <c r="V177" s="9"/>
      <c r="W177" s="9"/>
      <c r="X177" s="9"/>
      <c r="Y177" s="9"/>
      <c r="Z177" s="9"/>
      <c r="AA177" s="9"/>
      <c r="AB177" s="9"/>
      <c r="AC177" s="9"/>
      <c r="AD177" s="9"/>
    </row>
    <row r="178" spans="1:30" ht="13.5" customHeight="1" x14ac:dyDescent="0.25">
      <c r="A178" s="10"/>
      <c r="B178" s="9"/>
      <c r="C178" s="9"/>
      <c r="D178" s="9"/>
      <c r="E178" s="9"/>
      <c r="F178" s="1006" t="s">
        <v>795</v>
      </c>
      <c r="G178" s="944"/>
      <c r="H178" s="944"/>
      <c r="I178" s="9"/>
      <c r="J178" s="9"/>
      <c r="K178" s="9"/>
      <c r="L178" s="9"/>
      <c r="M178" s="9"/>
      <c r="N178" s="9"/>
      <c r="O178" s="9"/>
      <c r="P178" s="9"/>
      <c r="Q178" s="9"/>
      <c r="R178" s="9"/>
      <c r="S178" s="9"/>
      <c r="T178" s="9"/>
      <c r="U178" s="9"/>
      <c r="V178" s="9"/>
      <c r="W178" s="9"/>
      <c r="X178" s="9"/>
      <c r="Y178" s="9"/>
      <c r="Z178" s="9"/>
      <c r="AA178" s="9"/>
      <c r="AB178" s="9"/>
      <c r="AC178" s="9"/>
      <c r="AD178" s="9"/>
    </row>
    <row r="179" spans="1:30" ht="13.5" customHeight="1" x14ac:dyDescent="0.25">
      <c r="A179" s="10"/>
      <c r="B179" s="9"/>
      <c r="C179" s="154" t="s">
        <v>177</v>
      </c>
      <c r="D179" s="154" t="s">
        <v>796</v>
      </c>
      <c r="E179" s="154" t="s">
        <v>249</v>
      </c>
      <c r="F179" s="154" t="s">
        <v>248</v>
      </c>
      <c r="G179" s="154" t="s">
        <v>247</v>
      </c>
      <c r="H179" s="154" t="s">
        <v>246</v>
      </c>
      <c r="I179" s="9"/>
      <c r="J179" s="9"/>
      <c r="K179" s="9"/>
      <c r="L179" s="9"/>
      <c r="M179" s="9"/>
      <c r="N179" s="982" t="s">
        <v>797</v>
      </c>
      <c r="O179" s="983"/>
      <c r="P179" s="984"/>
      <c r="Q179" s="9"/>
      <c r="R179" s="9"/>
      <c r="S179" s="9"/>
      <c r="T179" s="9"/>
      <c r="U179" s="9"/>
      <c r="V179" s="9"/>
      <c r="W179" s="9"/>
      <c r="X179" s="9"/>
      <c r="Y179" s="9"/>
      <c r="Z179" s="9"/>
      <c r="AA179" s="9"/>
      <c r="AB179" s="9"/>
      <c r="AC179" s="9"/>
      <c r="AD179" s="9"/>
    </row>
    <row r="180" spans="1:30" ht="13.5" customHeight="1" x14ac:dyDescent="0.25">
      <c r="A180" s="10"/>
      <c r="B180" s="9"/>
      <c r="C180" s="921">
        <v>46297</v>
      </c>
      <c r="D180" s="918"/>
      <c r="E180" s="64"/>
      <c r="F180" s="370">
        <v>254</v>
      </c>
      <c r="G180" s="370">
        <v>361</v>
      </c>
      <c r="H180" s="370">
        <v>424</v>
      </c>
      <c r="I180" s="9"/>
      <c r="J180" s="9"/>
      <c r="K180" s="9"/>
      <c r="L180" s="9"/>
      <c r="M180" s="9"/>
      <c r="N180" s="64"/>
      <c r="O180" s="64"/>
      <c r="P180" s="64"/>
      <c r="Q180" s="9"/>
      <c r="R180" s="9"/>
      <c r="S180" s="9"/>
      <c r="T180" s="9"/>
      <c r="U180" s="9"/>
      <c r="V180" s="9"/>
      <c r="W180" s="9"/>
      <c r="X180" s="9"/>
      <c r="Y180" s="9"/>
      <c r="Z180" s="9"/>
      <c r="AA180" s="9"/>
      <c r="AB180" s="9"/>
      <c r="AC180" s="9"/>
      <c r="AD180" s="9"/>
    </row>
    <row r="181" spans="1:30" ht="13.5" customHeight="1" x14ac:dyDescent="0.25">
      <c r="A181" s="10"/>
      <c r="B181" s="9"/>
      <c r="C181" s="922">
        <v>46114</v>
      </c>
      <c r="D181" s="920">
        <f>F181</f>
        <v>300.18</v>
      </c>
      <c r="E181" s="64"/>
      <c r="F181" s="920">
        <v>300.18</v>
      </c>
      <c r="G181" s="920">
        <v>300.18</v>
      </c>
      <c r="H181" s="920">
        <v>300.18</v>
      </c>
      <c r="I181" s="9"/>
      <c r="J181" s="9"/>
      <c r="K181" s="9"/>
      <c r="L181" s="9"/>
      <c r="M181" s="9"/>
      <c r="N181" s="64"/>
      <c r="O181" s="64"/>
      <c r="P181" s="64"/>
      <c r="Q181" s="9"/>
      <c r="R181" s="9"/>
      <c r="S181" s="9"/>
      <c r="T181" s="9"/>
      <c r="U181" s="9"/>
      <c r="V181" s="9"/>
      <c r="W181" s="9"/>
      <c r="X181" s="9"/>
      <c r="Y181" s="9"/>
      <c r="Z181" s="9"/>
      <c r="AA181" s="9"/>
      <c r="AB181" s="9"/>
      <c r="AC181" s="9"/>
      <c r="AD181" s="9"/>
    </row>
    <row r="182" spans="1:30" ht="13.5" customHeight="1" x14ac:dyDescent="0.25">
      <c r="A182" s="10"/>
      <c r="B182" s="9"/>
      <c r="C182" s="922">
        <v>46113</v>
      </c>
      <c r="D182" s="919">
        <v>301.45</v>
      </c>
      <c r="E182" s="783">
        <v>2769871</v>
      </c>
      <c r="F182" s="91"/>
      <c r="G182" s="91"/>
      <c r="H182" s="91"/>
      <c r="I182" s="9"/>
      <c r="J182" s="9"/>
      <c r="K182" s="9"/>
      <c r="L182" s="9"/>
      <c r="M182" s="9"/>
      <c r="N182" s="9"/>
      <c r="O182" s="9"/>
      <c r="P182" s="9"/>
      <c r="Q182" s="9"/>
      <c r="R182" s="9"/>
      <c r="S182" s="9"/>
      <c r="T182" s="9"/>
      <c r="U182" s="9"/>
      <c r="V182" s="9"/>
      <c r="W182" s="9"/>
      <c r="X182" s="9"/>
      <c r="Y182" s="9"/>
      <c r="Z182" s="9"/>
      <c r="AA182" s="9"/>
      <c r="AB182" s="9"/>
      <c r="AC182" s="9"/>
      <c r="AD182" s="9"/>
    </row>
    <row r="183" spans="1:30" ht="13.5" customHeight="1" x14ac:dyDescent="0.25">
      <c r="A183" s="10"/>
      <c r="B183" s="9"/>
      <c r="C183" s="923">
        <v>46112</v>
      </c>
      <c r="D183" s="918">
        <v>302.48</v>
      </c>
      <c r="E183" s="783">
        <v>3250400</v>
      </c>
      <c r="F183" s="9"/>
      <c r="G183" s="9"/>
      <c r="H183" s="9"/>
      <c r="I183" s="9"/>
      <c r="J183" s="9"/>
      <c r="K183" s="9"/>
      <c r="L183" s="9"/>
      <c r="M183" s="9"/>
      <c r="N183" s="64"/>
      <c r="O183" s="154" t="s">
        <v>161</v>
      </c>
      <c r="P183" s="154" t="s">
        <v>249</v>
      </c>
      <c r="Q183" s="9"/>
      <c r="R183" s="9"/>
      <c r="S183" s="9"/>
      <c r="T183" s="9"/>
      <c r="U183" s="9"/>
      <c r="V183" s="9"/>
      <c r="W183" s="9"/>
      <c r="X183" s="9"/>
      <c r="Y183" s="9"/>
      <c r="Z183" s="9"/>
      <c r="AA183" s="9"/>
      <c r="AB183" s="9"/>
      <c r="AC183" s="9"/>
      <c r="AD183" s="9"/>
    </row>
    <row r="184" spans="1:30" ht="13.5" customHeight="1" x14ac:dyDescent="0.25">
      <c r="A184" s="10"/>
      <c r="B184" s="9"/>
      <c r="C184" s="922">
        <v>46111</v>
      </c>
      <c r="D184" s="919">
        <v>297.49</v>
      </c>
      <c r="E184" s="783">
        <v>2628800</v>
      </c>
      <c r="F184" s="9"/>
      <c r="G184" s="9"/>
      <c r="H184" s="9"/>
      <c r="I184" s="9"/>
      <c r="J184" s="9"/>
      <c r="K184" s="9"/>
      <c r="L184" s="9"/>
      <c r="M184" s="9"/>
      <c r="N184" s="136" t="s">
        <v>162</v>
      </c>
      <c r="O184" s="175">
        <f>MAX(D182:D448)*1.1</f>
        <v>423.37900000000002</v>
      </c>
      <c r="P184" s="100">
        <f>MAX(E182:E448)</f>
        <v>18087800</v>
      </c>
      <c r="Q184" s="9"/>
      <c r="R184" s="9"/>
      <c r="S184" s="9"/>
      <c r="T184" s="9"/>
      <c r="U184" s="9"/>
      <c r="V184" s="9"/>
      <c r="W184" s="9"/>
      <c r="X184" s="9"/>
      <c r="Y184" s="9"/>
      <c r="Z184" s="9"/>
      <c r="AA184" s="9"/>
      <c r="AB184" s="9"/>
      <c r="AC184" s="9"/>
      <c r="AD184" s="9"/>
    </row>
    <row r="185" spans="1:30" ht="13.5" customHeight="1" x14ac:dyDescent="0.25">
      <c r="A185" s="10"/>
      <c r="B185" s="9"/>
      <c r="C185" s="923">
        <v>46108</v>
      </c>
      <c r="D185" s="918">
        <v>292.27</v>
      </c>
      <c r="E185" s="783">
        <v>4110400</v>
      </c>
      <c r="F185" s="9"/>
      <c r="G185" s="9"/>
      <c r="H185" s="9"/>
      <c r="I185" s="9"/>
      <c r="J185" s="9"/>
      <c r="K185" s="9"/>
      <c r="L185" s="9"/>
      <c r="M185" s="9"/>
      <c r="N185" s="136" t="s">
        <v>163</v>
      </c>
      <c r="O185" s="175">
        <f t="shared" ref="O185:P185" si="20">MIN(D182:D448)*0.9</f>
        <v>208.251</v>
      </c>
      <c r="P185" s="100">
        <f t="shared" si="20"/>
        <v>940140</v>
      </c>
      <c r="Q185" s="9"/>
      <c r="R185" s="9"/>
      <c r="S185" s="9"/>
      <c r="T185" s="9"/>
      <c r="U185" s="9"/>
      <c r="V185" s="9"/>
      <c r="W185" s="9"/>
      <c r="X185" s="9"/>
      <c r="Y185" s="9"/>
      <c r="Z185" s="9"/>
      <c r="AA185" s="9"/>
      <c r="AB185" s="9"/>
      <c r="AC185" s="9"/>
      <c r="AD185" s="9"/>
    </row>
    <row r="186" spans="1:30" ht="13.5" customHeight="1" x14ac:dyDescent="0.25">
      <c r="A186" s="10"/>
      <c r="B186" s="9"/>
      <c r="C186" s="922">
        <v>46107</v>
      </c>
      <c r="D186" s="919">
        <v>299.39</v>
      </c>
      <c r="E186" s="783">
        <v>4195200</v>
      </c>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row>
    <row r="187" spans="1:30" ht="13.5" customHeight="1" x14ac:dyDescent="0.25">
      <c r="A187" s="10"/>
      <c r="B187" s="9"/>
      <c r="C187" s="923">
        <v>46106</v>
      </c>
      <c r="D187" s="918">
        <v>300.24</v>
      </c>
      <c r="E187" s="783">
        <v>4914400</v>
      </c>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row>
    <row r="188" spans="1:30" ht="13.5" customHeight="1" x14ac:dyDescent="0.25">
      <c r="A188" s="10"/>
      <c r="B188" s="9"/>
      <c r="C188" s="922">
        <v>46105</v>
      </c>
      <c r="D188" s="919">
        <v>302</v>
      </c>
      <c r="E188" s="783">
        <v>5378300</v>
      </c>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row>
    <row r="189" spans="1:30" ht="13.5" customHeight="1" x14ac:dyDescent="0.25">
      <c r="A189" s="10"/>
      <c r="B189" s="9"/>
      <c r="C189" s="923">
        <v>46104</v>
      </c>
      <c r="D189" s="918">
        <v>301.91000000000003</v>
      </c>
      <c r="E189" s="783">
        <v>16992700</v>
      </c>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row>
    <row r="190" spans="1:30" ht="13.5" customHeight="1" x14ac:dyDescent="0.25">
      <c r="A190" s="10"/>
      <c r="B190" s="9"/>
      <c r="C190" s="922">
        <v>46101</v>
      </c>
      <c r="D190" s="919">
        <v>295.5</v>
      </c>
      <c r="E190" s="783">
        <v>8256400</v>
      </c>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row>
    <row r="191" spans="1:30" ht="13.5" customHeight="1" x14ac:dyDescent="0.25">
      <c r="A191" s="10"/>
      <c r="B191" s="9"/>
      <c r="C191" s="923">
        <v>46100</v>
      </c>
      <c r="D191" s="918">
        <v>294.93</v>
      </c>
      <c r="E191" s="783">
        <v>3485800</v>
      </c>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row>
    <row r="192" spans="1:30" ht="13.5" customHeight="1" x14ac:dyDescent="0.25">
      <c r="A192" s="10"/>
      <c r="B192" s="9"/>
      <c r="C192" s="922">
        <v>46099</v>
      </c>
      <c r="D192" s="919">
        <v>294.39</v>
      </c>
      <c r="E192" s="783">
        <v>2399300</v>
      </c>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row>
    <row r="193" spans="1:30" ht="13.5" customHeight="1" x14ac:dyDescent="0.25">
      <c r="A193" s="10"/>
      <c r="B193" s="9"/>
      <c r="C193" s="923">
        <v>46098</v>
      </c>
      <c r="D193" s="918">
        <v>300.27</v>
      </c>
      <c r="E193" s="783">
        <v>2753600</v>
      </c>
      <c r="F193" s="9"/>
      <c r="G193" s="9"/>
      <c r="H193" s="9"/>
      <c r="I193" s="9"/>
      <c r="J193" s="9"/>
      <c r="K193" s="9"/>
      <c r="L193" s="9"/>
      <c r="M193" s="9"/>
      <c r="N193" s="9"/>
      <c r="O193" s="9"/>
      <c r="Q193" s="9"/>
      <c r="R193" s="9"/>
      <c r="S193" s="9"/>
      <c r="T193" s="9"/>
      <c r="U193" s="9"/>
      <c r="V193" s="9"/>
      <c r="W193" s="9"/>
      <c r="X193" s="9"/>
      <c r="Y193" s="9"/>
      <c r="Z193" s="9"/>
      <c r="AA193" s="9"/>
      <c r="AB193" s="9"/>
      <c r="AC193" s="9"/>
      <c r="AD193" s="9"/>
    </row>
    <row r="194" spans="1:30" ht="13.5" customHeight="1" x14ac:dyDescent="0.25">
      <c r="A194" s="10"/>
      <c r="B194" s="9"/>
      <c r="C194" s="922">
        <v>46097</v>
      </c>
      <c r="D194" s="919">
        <v>298.2</v>
      </c>
      <c r="E194" s="783">
        <v>3367300</v>
      </c>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row>
    <row r="195" spans="1:30" ht="13.5" customHeight="1" x14ac:dyDescent="0.25">
      <c r="A195" s="10"/>
      <c r="B195" s="9"/>
      <c r="C195" s="923">
        <v>46094</v>
      </c>
      <c r="D195" s="918">
        <v>299.95999999999998</v>
      </c>
      <c r="E195" s="783">
        <v>2548300</v>
      </c>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row>
    <row r="196" spans="1:30" ht="13.5" customHeight="1" x14ac:dyDescent="0.25">
      <c r="A196" s="10"/>
      <c r="B196" s="9"/>
      <c r="C196" s="922">
        <v>46093</v>
      </c>
      <c r="D196" s="919">
        <v>301.89</v>
      </c>
      <c r="E196" s="783">
        <v>2296200</v>
      </c>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row>
    <row r="197" spans="1:30" ht="13.5" customHeight="1" x14ac:dyDescent="0.25">
      <c r="A197" s="10"/>
      <c r="B197" s="9"/>
      <c r="C197" s="923">
        <v>46092</v>
      </c>
      <c r="D197" s="918">
        <v>305.99</v>
      </c>
      <c r="E197" s="783">
        <v>2853800</v>
      </c>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row>
    <row r="198" spans="1:30" ht="13.5" customHeight="1" x14ac:dyDescent="0.25">
      <c r="A198" s="10"/>
      <c r="B198" s="9"/>
      <c r="C198" s="922">
        <v>46091</v>
      </c>
      <c r="D198" s="919">
        <v>303.14999999999998</v>
      </c>
      <c r="E198" s="783">
        <v>2335500</v>
      </c>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row>
    <row r="199" spans="1:30" ht="13.5" customHeight="1" x14ac:dyDescent="0.25">
      <c r="A199" s="10"/>
      <c r="B199" s="9"/>
      <c r="C199" s="923">
        <v>46090</v>
      </c>
      <c r="D199" s="918">
        <v>305.38</v>
      </c>
      <c r="E199" s="783">
        <v>3162200</v>
      </c>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row>
    <row r="200" spans="1:30" ht="13.5" customHeight="1" x14ac:dyDescent="0.25">
      <c r="A200" s="10"/>
      <c r="B200" s="9"/>
      <c r="C200" s="922">
        <v>46087</v>
      </c>
      <c r="D200" s="919">
        <v>301</v>
      </c>
      <c r="E200" s="783">
        <v>2335100</v>
      </c>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row>
    <row r="201" spans="1:30" ht="13.5" customHeight="1" x14ac:dyDescent="0.25">
      <c r="A201" s="10"/>
      <c r="B201" s="9"/>
      <c r="C201" s="923">
        <v>46086</v>
      </c>
      <c r="D201" s="918">
        <v>307.20999999999998</v>
      </c>
      <c r="E201" s="783">
        <v>3051700</v>
      </c>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spans="1:30" ht="13.5" customHeight="1" x14ac:dyDescent="0.25">
      <c r="A202" s="10"/>
      <c r="B202" s="9"/>
      <c r="C202" s="922">
        <v>46085</v>
      </c>
      <c r="D202" s="919">
        <v>311.20999999999998</v>
      </c>
      <c r="E202" s="783">
        <v>2841600</v>
      </c>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spans="1:30" ht="13.5" customHeight="1" x14ac:dyDescent="0.25">
      <c r="A203" s="10"/>
      <c r="B203" s="9"/>
      <c r="C203" s="923">
        <v>46084</v>
      </c>
      <c r="D203" s="918">
        <v>307.82</v>
      </c>
      <c r="E203" s="783">
        <v>2532800</v>
      </c>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spans="1:30" ht="13.5" customHeight="1" x14ac:dyDescent="0.25">
      <c r="A204" s="10"/>
      <c r="B204" s="9"/>
      <c r="C204" s="922">
        <v>46083</v>
      </c>
      <c r="D204" s="919">
        <v>307.43</v>
      </c>
      <c r="E204" s="783">
        <v>2152500</v>
      </c>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spans="1:30" ht="13.5" customHeight="1" x14ac:dyDescent="0.25">
      <c r="A205" s="10"/>
      <c r="B205" s="9"/>
      <c r="C205" s="923">
        <v>46080</v>
      </c>
      <c r="D205" s="918">
        <v>308.89999999999998</v>
      </c>
      <c r="E205" s="783">
        <v>4106100</v>
      </c>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spans="1:30" ht="13.5" customHeight="1" x14ac:dyDescent="0.25">
      <c r="A206" s="10"/>
      <c r="B206" s="9"/>
      <c r="C206" s="922">
        <v>46079</v>
      </c>
      <c r="D206" s="919">
        <v>335.32</v>
      </c>
      <c r="E206" s="783">
        <v>3422200</v>
      </c>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spans="1:30" ht="13.5" customHeight="1" x14ac:dyDescent="0.25">
      <c r="A207" s="10"/>
      <c r="B207" s="9"/>
      <c r="C207" s="923">
        <v>46078</v>
      </c>
      <c r="D207" s="918">
        <v>327.08999999999997</v>
      </c>
      <c r="E207" s="783">
        <v>3358100</v>
      </c>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spans="1:30" ht="13.5" customHeight="1" x14ac:dyDescent="0.25">
      <c r="A208" s="10"/>
      <c r="B208" s="9"/>
      <c r="C208" s="922">
        <v>46077</v>
      </c>
      <c r="D208" s="919">
        <v>320.48</v>
      </c>
      <c r="E208" s="783">
        <v>3244100</v>
      </c>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spans="1:30" ht="13.5" customHeight="1" x14ac:dyDescent="0.25">
      <c r="A209" s="10"/>
      <c r="B209" s="9"/>
      <c r="C209" s="923">
        <v>46076</v>
      </c>
      <c r="D209" s="918">
        <v>321.24</v>
      </c>
      <c r="E209" s="783">
        <v>2112900</v>
      </c>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row r="210" spans="1:30" ht="13.5" customHeight="1" x14ac:dyDescent="0.25">
      <c r="A210" s="10"/>
      <c r="B210" s="9"/>
      <c r="C210" s="922">
        <v>46073</v>
      </c>
      <c r="D210" s="919">
        <v>346.18</v>
      </c>
      <c r="E210" s="783">
        <v>2882400</v>
      </c>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row>
    <row r="211" spans="1:30" ht="13.5" customHeight="1" x14ac:dyDescent="0.25">
      <c r="A211" s="10"/>
      <c r="B211" s="9"/>
      <c r="C211" s="923">
        <v>46072</v>
      </c>
      <c r="D211" s="918">
        <v>342.65</v>
      </c>
      <c r="E211" s="783">
        <v>5214000</v>
      </c>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row>
    <row r="212" spans="1:30" ht="13.5" customHeight="1" x14ac:dyDescent="0.25">
      <c r="A212" s="10"/>
      <c r="B212" s="9"/>
      <c r="C212" s="922">
        <v>46071</v>
      </c>
      <c r="D212" s="919">
        <v>346.24</v>
      </c>
      <c r="E212" s="783">
        <v>4920700</v>
      </c>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row>
    <row r="213" spans="1:30" ht="13.5" customHeight="1" x14ac:dyDescent="0.25">
      <c r="A213" s="10"/>
      <c r="B213" s="9"/>
      <c r="C213" s="923">
        <v>46070</v>
      </c>
      <c r="D213" s="918">
        <v>344.53</v>
      </c>
      <c r="E213" s="783">
        <v>3188000</v>
      </c>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row>
    <row r="214" spans="1:30" ht="13.5" customHeight="1" x14ac:dyDescent="0.25">
      <c r="A214" s="10"/>
      <c r="B214" s="9"/>
      <c r="C214" s="922">
        <v>46066</v>
      </c>
      <c r="D214" s="919">
        <v>337.5</v>
      </c>
      <c r="E214" s="783">
        <v>2943300</v>
      </c>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row>
    <row r="215" spans="1:30" ht="13.5" customHeight="1" x14ac:dyDescent="0.25">
      <c r="A215" s="10"/>
      <c r="B215" s="9"/>
      <c r="C215" s="923">
        <v>46065</v>
      </c>
      <c r="D215" s="918">
        <v>342.88</v>
      </c>
      <c r="E215" s="783">
        <v>3191900</v>
      </c>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row>
    <row r="216" spans="1:30" ht="13.5" customHeight="1" x14ac:dyDescent="0.25">
      <c r="A216" s="10"/>
      <c r="B216" s="9"/>
      <c r="C216" s="922">
        <v>46064</v>
      </c>
      <c r="D216" s="919">
        <v>354.01</v>
      </c>
      <c r="E216" s="783">
        <v>2405600</v>
      </c>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row>
    <row r="217" spans="1:30" ht="13.5" customHeight="1" x14ac:dyDescent="0.25">
      <c r="A217" s="10"/>
      <c r="B217" s="9"/>
      <c r="C217" s="923">
        <v>46063</v>
      </c>
      <c r="D217" s="918">
        <v>363.2</v>
      </c>
      <c r="E217" s="783">
        <v>2436300</v>
      </c>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row>
    <row r="218" spans="1:30" ht="13.5" customHeight="1" x14ac:dyDescent="0.25">
      <c r="A218" s="10"/>
      <c r="B218" s="9"/>
      <c r="C218" s="922">
        <v>46062</v>
      </c>
      <c r="D218" s="919">
        <v>359.66</v>
      </c>
      <c r="E218" s="783">
        <v>3993600</v>
      </c>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row>
    <row r="219" spans="1:30" ht="13.5" customHeight="1" x14ac:dyDescent="0.25">
      <c r="A219" s="10"/>
      <c r="B219" s="9"/>
      <c r="C219" s="923">
        <v>46059</v>
      </c>
      <c r="D219" s="918">
        <v>359.15</v>
      </c>
      <c r="E219" s="783">
        <v>3647100</v>
      </c>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row>
    <row r="220" spans="1:30" ht="13.5" customHeight="1" x14ac:dyDescent="0.25">
      <c r="A220" s="10"/>
      <c r="B220" s="9"/>
      <c r="C220" s="922">
        <v>46058</v>
      </c>
      <c r="D220" s="919">
        <v>354.62</v>
      </c>
      <c r="E220" s="783">
        <v>2588300</v>
      </c>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row>
    <row r="221" spans="1:30" ht="13.5" customHeight="1" x14ac:dyDescent="0.25">
      <c r="A221" s="10"/>
      <c r="B221" s="9"/>
      <c r="C221" s="923">
        <v>46057</v>
      </c>
      <c r="D221" s="918">
        <v>353.67</v>
      </c>
      <c r="E221" s="783">
        <v>2553000</v>
      </c>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row>
    <row r="222" spans="1:30" ht="13.5" customHeight="1" x14ac:dyDescent="0.25">
      <c r="A222" s="10"/>
      <c r="B222" s="9"/>
      <c r="C222" s="922">
        <v>46056</v>
      </c>
      <c r="D222" s="919">
        <v>349.63</v>
      </c>
      <c r="E222" s="783">
        <v>2456300</v>
      </c>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row>
    <row r="223" spans="1:30" ht="13.5" customHeight="1" x14ac:dyDescent="0.25">
      <c r="A223" s="10"/>
      <c r="B223" s="9"/>
      <c r="C223" s="923">
        <v>46055</v>
      </c>
      <c r="D223" s="918">
        <v>352.83</v>
      </c>
      <c r="E223" s="783">
        <v>2715900</v>
      </c>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row>
    <row r="224" spans="1:30" ht="13.5" customHeight="1" x14ac:dyDescent="0.25">
      <c r="A224" s="10"/>
      <c r="B224" s="9"/>
      <c r="C224" s="922">
        <v>46052</v>
      </c>
      <c r="D224" s="919">
        <v>352.17</v>
      </c>
      <c r="E224" s="783">
        <v>2628800</v>
      </c>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row>
    <row r="225" spans="1:30" ht="13.5" customHeight="1" x14ac:dyDescent="0.25">
      <c r="A225" s="10"/>
      <c r="B225" s="9"/>
      <c r="C225" s="923">
        <v>46051</v>
      </c>
      <c r="D225" s="918">
        <v>358.5</v>
      </c>
      <c r="E225" s="783">
        <v>2510600</v>
      </c>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row>
    <row r="226" spans="1:30" ht="13.5" customHeight="1" x14ac:dyDescent="0.25">
      <c r="A226" s="10"/>
      <c r="B226" s="9"/>
      <c r="C226" s="922">
        <v>46050</v>
      </c>
      <c r="D226" s="919">
        <v>356.99</v>
      </c>
      <c r="E226" s="783">
        <v>4149500</v>
      </c>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row>
    <row r="227" spans="1:30" ht="13.5" customHeight="1" x14ac:dyDescent="0.25">
      <c r="A227" s="10"/>
      <c r="B227" s="9"/>
      <c r="C227" s="923">
        <v>46049</v>
      </c>
      <c r="D227" s="918">
        <v>359.45</v>
      </c>
      <c r="E227" s="783">
        <v>2767800</v>
      </c>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row>
    <row r="228" spans="1:30" ht="13.5" customHeight="1" x14ac:dyDescent="0.25">
      <c r="A228" s="10"/>
      <c r="B228" s="9"/>
      <c r="C228" s="922">
        <v>46048</v>
      </c>
      <c r="D228" s="919">
        <v>363.25</v>
      </c>
      <c r="E228" s="783">
        <v>2835900</v>
      </c>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row>
    <row r="229" spans="1:30" ht="13.5" customHeight="1" x14ac:dyDescent="0.25">
      <c r="A229" s="10"/>
      <c r="B229" s="9"/>
      <c r="C229" s="923">
        <v>46045</v>
      </c>
      <c r="D229" s="918">
        <v>361.69</v>
      </c>
      <c r="E229" s="783">
        <v>3995700</v>
      </c>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row>
    <row r="230" spans="1:30" ht="13.5" customHeight="1" x14ac:dyDescent="0.25">
      <c r="A230" s="10"/>
      <c r="B230" s="9"/>
      <c r="C230" s="922">
        <v>46044</v>
      </c>
      <c r="D230" s="919">
        <v>368.02</v>
      </c>
      <c r="E230" s="783">
        <v>4539400</v>
      </c>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row>
    <row r="231" spans="1:30" ht="13.5" customHeight="1" x14ac:dyDescent="0.25">
      <c r="A231" s="10"/>
      <c r="B231" s="9"/>
      <c r="C231" s="923">
        <v>46043</v>
      </c>
      <c r="D231" s="918">
        <v>359.61</v>
      </c>
      <c r="E231" s="783">
        <v>9316900</v>
      </c>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row>
    <row r="232" spans="1:30" ht="13.5" customHeight="1" x14ac:dyDescent="0.25">
      <c r="A232" s="10"/>
      <c r="B232" s="9"/>
      <c r="C232" s="922">
        <v>46042</v>
      </c>
      <c r="D232" s="919">
        <v>352.19</v>
      </c>
      <c r="E232" s="783">
        <v>4260900</v>
      </c>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row>
    <row r="233" spans="1:30" ht="13.5" customHeight="1" x14ac:dyDescent="0.25">
      <c r="A233" s="10"/>
      <c r="B233" s="9"/>
      <c r="C233" s="923">
        <v>46038</v>
      </c>
      <c r="D233" s="918">
        <v>364.79</v>
      </c>
      <c r="E233" s="783">
        <v>4175800</v>
      </c>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row>
    <row r="234" spans="1:30" ht="13.5" customHeight="1" x14ac:dyDescent="0.25">
      <c r="A234" s="10"/>
      <c r="B234" s="9"/>
      <c r="C234" s="922">
        <v>46037</v>
      </c>
      <c r="D234" s="919">
        <v>357.37</v>
      </c>
      <c r="E234" s="783">
        <v>4472600</v>
      </c>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row>
    <row r="235" spans="1:30" ht="13.5" customHeight="1" x14ac:dyDescent="0.25">
      <c r="A235" s="10"/>
      <c r="B235" s="9"/>
      <c r="C235" s="923">
        <v>46036</v>
      </c>
      <c r="D235" s="918">
        <v>358.26</v>
      </c>
      <c r="E235" s="783">
        <v>3257700</v>
      </c>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row>
    <row r="236" spans="1:30" ht="13.5" customHeight="1" x14ac:dyDescent="0.25">
      <c r="A236" s="10"/>
      <c r="B236" s="9"/>
      <c r="C236" s="922">
        <v>46035</v>
      </c>
      <c r="D236" s="919">
        <v>358</v>
      </c>
      <c r="E236" s="783">
        <v>3127800</v>
      </c>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row>
    <row r="237" spans="1:30" ht="13.5" customHeight="1" x14ac:dyDescent="0.25">
      <c r="A237" s="10"/>
      <c r="B237" s="9"/>
      <c r="C237" s="923">
        <v>46034</v>
      </c>
      <c r="D237" s="918">
        <v>359.59</v>
      </c>
      <c r="E237" s="783">
        <v>3905800</v>
      </c>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row>
    <row r="238" spans="1:30" ht="13.5" customHeight="1" x14ac:dyDescent="0.25">
      <c r="A238" s="10"/>
      <c r="B238" s="9"/>
      <c r="C238" s="922">
        <v>46031</v>
      </c>
      <c r="D238" s="919">
        <v>375.61</v>
      </c>
      <c r="E238" s="783">
        <v>3638900</v>
      </c>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row>
    <row r="239" spans="1:30" ht="13.5" customHeight="1" x14ac:dyDescent="0.25">
      <c r="A239" s="10"/>
      <c r="B239" s="9"/>
      <c r="C239" s="923">
        <v>46030</v>
      </c>
      <c r="D239" s="918">
        <v>382.98</v>
      </c>
      <c r="E239" s="783">
        <v>3604600</v>
      </c>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row>
    <row r="240" spans="1:30" ht="13.5" customHeight="1" x14ac:dyDescent="0.25">
      <c r="A240" s="10"/>
      <c r="B240" s="9"/>
      <c r="C240" s="922">
        <v>46029</v>
      </c>
      <c r="D240" s="919">
        <v>378.22</v>
      </c>
      <c r="E240" s="783">
        <v>2913500</v>
      </c>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row>
    <row r="241" spans="1:30" ht="13.5" customHeight="1" x14ac:dyDescent="0.25">
      <c r="A241" s="10"/>
      <c r="B241" s="9"/>
      <c r="C241" s="923">
        <v>46028</v>
      </c>
      <c r="D241" s="918">
        <v>383.56</v>
      </c>
      <c r="E241" s="783">
        <v>4210500</v>
      </c>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row>
    <row r="242" spans="1:30" ht="13.5" customHeight="1" x14ac:dyDescent="0.25">
      <c r="A242" s="10"/>
      <c r="B242" s="9"/>
      <c r="C242" s="922">
        <v>46027</v>
      </c>
      <c r="D242" s="919">
        <v>379.8</v>
      </c>
      <c r="E242" s="783">
        <v>3469200</v>
      </c>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row>
    <row r="243" spans="1:30" ht="13.5" customHeight="1" x14ac:dyDescent="0.25">
      <c r="A243" s="10"/>
      <c r="B243" s="9"/>
      <c r="C243" s="923">
        <v>46024</v>
      </c>
      <c r="D243" s="918">
        <v>372.73</v>
      </c>
      <c r="E243" s="783">
        <v>3997700</v>
      </c>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row>
    <row r="244" spans="1:30" ht="13.5" customHeight="1" x14ac:dyDescent="0.25">
      <c r="A244" s="10"/>
      <c r="B244" s="9"/>
      <c r="C244" s="922">
        <v>46022</v>
      </c>
      <c r="D244" s="919">
        <v>369.95</v>
      </c>
      <c r="E244" s="783">
        <v>4105600</v>
      </c>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row>
    <row r="245" spans="1:30" ht="13.5" customHeight="1" x14ac:dyDescent="0.25">
      <c r="A245" s="10"/>
      <c r="B245" s="9"/>
      <c r="C245" s="923">
        <v>46021</v>
      </c>
      <c r="D245" s="918">
        <v>373.39</v>
      </c>
      <c r="E245" s="783">
        <v>3619400</v>
      </c>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row>
    <row r="246" spans="1:30" ht="13.5" customHeight="1" x14ac:dyDescent="0.25">
      <c r="A246" s="10"/>
      <c r="B246" s="9"/>
      <c r="C246" s="922">
        <v>46020</v>
      </c>
      <c r="D246" s="919">
        <v>375.32</v>
      </c>
      <c r="E246" s="783">
        <v>5126500</v>
      </c>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row>
    <row r="247" spans="1:30" ht="13.5" customHeight="1" x14ac:dyDescent="0.25">
      <c r="A247" s="10"/>
      <c r="B247" s="9"/>
      <c r="C247" s="923">
        <v>46017</v>
      </c>
      <c r="D247" s="918">
        <v>381.05</v>
      </c>
      <c r="E247" s="783">
        <v>3565600</v>
      </c>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row>
    <row r="248" spans="1:30" ht="13.5" customHeight="1" x14ac:dyDescent="0.25">
      <c r="A248" s="10"/>
      <c r="B248" s="9"/>
      <c r="C248" s="922">
        <v>46015</v>
      </c>
      <c r="D248" s="919">
        <v>383.11</v>
      </c>
      <c r="E248" s="783">
        <v>4089300</v>
      </c>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row>
    <row r="249" spans="1:30" ht="13.5" customHeight="1" x14ac:dyDescent="0.25">
      <c r="A249" s="10"/>
      <c r="B249" s="9"/>
      <c r="C249" s="923">
        <v>46014</v>
      </c>
      <c r="D249" s="918">
        <v>382.19</v>
      </c>
      <c r="E249" s="783">
        <v>3396200</v>
      </c>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row>
    <row r="250" spans="1:30" ht="13.5" customHeight="1" x14ac:dyDescent="0.25">
      <c r="A250" s="10"/>
      <c r="B250" s="9"/>
      <c r="C250" s="922">
        <v>46013</v>
      </c>
      <c r="D250" s="919">
        <v>380.85</v>
      </c>
      <c r="E250" s="783">
        <v>4032700</v>
      </c>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row>
    <row r="251" spans="1:30" ht="13.5" customHeight="1" x14ac:dyDescent="0.25">
      <c r="A251" s="10"/>
      <c r="B251" s="9"/>
      <c r="C251" s="923">
        <v>46010</v>
      </c>
      <c r="D251" s="918">
        <v>376.51</v>
      </c>
      <c r="E251" s="783">
        <v>4397700</v>
      </c>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row>
    <row r="252" spans="1:30" ht="13.5" customHeight="1" x14ac:dyDescent="0.25">
      <c r="A252" s="10"/>
      <c r="B252" s="9"/>
      <c r="C252" s="922">
        <v>46009</v>
      </c>
      <c r="D252" s="919">
        <v>375.52</v>
      </c>
      <c r="E252" s="783">
        <v>6797900</v>
      </c>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row>
    <row r="253" spans="1:30" ht="13.5" customHeight="1" x14ac:dyDescent="0.25">
      <c r="A253" s="10"/>
      <c r="B253" s="9"/>
      <c r="C253" s="923">
        <v>46008</v>
      </c>
      <c r="D253" s="918">
        <v>375.61</v>
      </c>
      <c r="E253" s="783">
        <v>5691500</v>
      </c>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row>
    <row r="254" spans="1:30" ht="13.5" customHeight="1" x14ac:dyDescent="0.25">
      <c r="A254" s="10"/>
      <c r="B254" s="9"/>
      <c r="C254" s="922">
        <v>46007</v>
      </c>
      <c r="D254" s="919">
        <v>380.75</v>
      </c>
      <c r="E254" s="783">
        <v>5798800</v>
      </c>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row>
    <row r="255" spans="1:30" ht="13.5" customHeight="1" x14ac:dyDescent="0.25">
      <c r="A255" s="10"/>
      <c r="B255" s="9"/>
      <c r="C255" s="923">
        <v>46006</v>
      </c>
      <c r="D255" s="918">
        <v>382.57</v>
      </c>
      <c r="E255" s="783">
        <v>3743000</v>
      </c>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row>
    <row r="256" spans="1:30" ht="13.5" customHeight="1" x14ac:dyDescent="0.25">
      <c r="A256" s="10"/>
      <c r="B256" s="9"/>
      <c r="C256" s="922">
        <v>46003</v>
      </c>
      <c r="D256" s="919">
        <v>382.56</v>
      </c>
      <c r="E256" s="783">
        <v>4494000</v>
      </c>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row>
    <row r="257" spans="1:30" ht="13.5" customHeight="1" x14ac:dyDescent="0.25">
      <c r="A257" s="10"/>
      <c r="B257" s="9"/>
      <c r="C257" s="923">
        <v>46002</v>
      </c>
      <c r="D257" s="918">
        <v>384.89</v>
      </c>
      <c r="E257" s="783">
        <v>5406600</v>
      </c>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row>
    <row r="258" spans="1:30" ht="13.5" customHeight="1" x14ac:dyDescent="0.25">
      <c r="A258" s="10"/>
      <c r="B258" s="9"/>
      <c r="C258" s="922">
        <v>46001</v>
      </c>
      <c r="D258" s="919">
        <v>375.57</v>
      </c>
      <c r="E258" s="783">
        <v>4449200</v>
      </c>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row>
    <row r="259" spans="1:30" ht="13.5" customHeight="1" x14ac:dyDescent="0.25">
      <c r="A259" s="10"/>
      <c r="B259" s="9"/>
      <c r="C259" s="923">
        <v>46000</v>
      </c>
      <c r="D259" s="918">
        <v>363.91</v>
      </c>
      <c r="E259" s="783">
        <v>4476900</v>
      </c>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row>
    <row r="260" spans="1:30" ht="13.5" customHeight="1" x14ac:dyDescent="0.25">
      <c r="A260" s="10"/>
      <c r="B260" s="9"/>
      <c r="C260" s="922">
        <v>45999</v>
      </c>
      <c r="D260" s="919">
        <v>362.28</v>
      </c>
      <c r="E260" s="783">
        <v>3694800</v>
      </c>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row>
    <row r="261" spans="1:30" ht="13.5" customHeight="1" x14ac:dyDescent="0.25">
      <c r="A261" s="10"/>
      <c r="B261" s="9"/>
      <c r="C261" s="923">
        <v>45996</v>
      </c>
      <c r="D261" s="918">
        <v>370.35</v>
      </c>
      <c r="E261" s="783">
        <v>4525200</v>
      </c>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row>
    <row r="262" spans="1:30" ht="13.5" customHeight="1" x14ac:dyDescent="0.25">
      <c r="A262" s="10"/>
      <c r="B262" s="9"/>
      <c r="C262" s="922">
        <v>45995</v>
      </c>
      <c r="D262" s="919">
        <v>371.15</v>
      </c>
      <c r="E262" s="783">
        <v>3715300</v>
      </c>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row>
    <row r="263" spans="1:30" ht="13.5" customHeight="1" x14ac:dyDescent="0.25">
      <c r="A263" s="10"/>
      <c r="B263" s="9"/>
      <c r="C263" s="923">
        <v>45994</v>
      </c>
      <c r="D263" s="918">
        <v>368.13</v>
      </c>
      <c r="E263" s="783">
        <v>4150100</v>
      </c>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row>
    <row r="264" spans="1:30" ht="13.5" customHeight="1" x14ac:dyDescent="0.25">
      <c r="A264" s="10"/>
      <c r="B264" s="9"/>
      <c r="C264" s="922">
        <v>45993</v>
      </c>
      <c r="D264" s="919">
        <v>360.7</v>
      </c>
      <c r="E264" s="783">
        <v>4629500</v>
      </c>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row>
    <row r="265" spans="1:30" ht="13.5" customHeight="1" x14ac:dyDescent="0.25">
      <c r="A265" s="10"/>
      <c r="B265" s="9"/>
      <c r="C265" s="923">
        <v>45992</v>
      </c>
      <c r="D265" s="918">
        <v>360.31</v>
      </c>
      <c r="E265" s="783">
        <v>4255500</v>
      </c>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row>
    <row r="266" spans="1:30" ht="13.5" customHeight="1" x14ac:dyDescent="0.25">
      <c r="A266" s="10"/>
      <c r="B266" s="9"/>
      <c r="C266" s="922">
        <v>45989</v>
      </c>
      <c r="D266" s="919">
        <v>365.27</v>
      </c>
      <c r="E266" s="783">
        <v>3860200</v>
      </c>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row>
    <row r="267" spans="1:30" ht="13.5" customHeight="1" x14ac:dyDescent="0.25">
      <c r="A267" s="10"/>
      <c r="B267" s="9"/>
      <c r="C267" s="923">
        <v>45987</v>
      </c>
      <c r="D267" s="918">
        <v>363.97</v>
      </c>
      <c r="E267" s="783">
        <v>4939200</v>
      </c>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row>
    <row r="268" spans="1:30" ht="13.5" customHeight="1" x14ac:dyDescent="0.25">
      <c r="A268" s="10"/>
      <c r="B268" s="9"/>
      <c r="C268" s="922">
        <v>45986</v>
      </c>
      <c r="D268" s="919">
        <v>362.64</v>
      </c>
      <c r="E268" s="783">
        <v>3453900</v>
      </c>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row>
    <row r="269" spans="1:30" ht="13.5" customHeight="1" x14ac:dyDescent="0.25">
      <c r="A269" s="10"/>
      <c r="B269" s="9"/>
      <c r="C269" s="923">
        <v>45985</v>
      </c>
      <c r="D269" s="918">
        <v>355.93</v>
      </c>
      <c r="E269" s="783">
        <v>3017000</v>
      </c>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row>
    <row r="270" spans="1:30" ht="13.5" customHeight="1" x14ac:dyDescent="0.25">
      <c r="A270" s="10"/>
      <c r="B270" s="9"/>
      <c r="C270" s="922">
        <v>45982</v>
      </c>
      <c r="D270" s="919">
        <v>352.89</v>
      </c>
      <c r="E270" s="783">
        <v>3634000</v>
      </c>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row>
    <row r="271" spans="1:30" ht="13.5" customHeight="1" x14ac:dyDescent="0.25">
      <c r="A271" s="10"/>
      <c r="B271" s="9"/>
      <c r="C271" s="923">
        <v>45981</v>
      </c>
      <c r="D271" s="918">
        <v>343.8</v>
      </c>
      <c r="E271" s="783">
        <v>3713000</v>
      </c>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row>
    <row r="272" spans="1:30" ht="13.5" customHeight="1" x14ac:dyDescent="0.25">
      <c r="A272" s="10"/>
      <c r="B272" s="9"/>
      <c r="C272" s="922">
        <v>45980</v>
      </c>
      <c r="D272" s="919">
        <v>344.64</v>
      </c>
      <c r="E272" s="783">
        <v>2716600</v>
      </c>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row>
    <row r="273" spans="1:30" ht="13.5" customHeight="1" x14ac:dyDescent="0.25">
      <c r="A273" s="10"/>
      <c r="B273" s="9"/>
      <c r="C273" s="923">
        <v>45979</v>
      </c>
      <c r="D273" s="918">
        <v>340.66</v>
      </c>
      <c r="E273" s="783">
        <v>3006200</v>
      </c>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row>
    <row r="274" spans="1:30" ht="13.5" customHeight="1" x14ac:dyDescent="0.25">
      <c r="A274" s="10"/>
      <c r="B274" s="9"/>
      <c r="C274" s="922">
        <v>45978</v>
      </c>
      <c r="D274" s="919">
        <v>341.25</v>
      </c>
      <c r="E274" s="783">
        <v>3828800</v>
      </c>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row>
    <row r="275" spans="1:30" ht="13.5" customHeight="1" x14ac:dyDescent="0.25">
      <c r="A275" s="10"/>
      <c r="B275" s="9"/>
      <c r="C275" s="923">
        <v>45975</v>
      </c>
      <c r="D275" s="918">
        <v>357.18</v>
      </c>
      <c r="E275" s="783">
        <v>6359800</v>
      </c>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row>
    <row r="276" spans="1:30" ht="13.5" customHeight="1" x14ac:dyDescent="0.25">
      <c r="A276" s="10"/>
      <c r="B276" s="9"/>
      <c r="C276" s="922">
        <v>45974</v>
      </c>
      <c r="D276" s="919">
        <v>364.73</v>
      </c>
      <c r="E276" s="783">
        <v>3656300</v>
      </c>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row>
    <row r="277" spans="1:30" ht="13.5" customHeight="1" x14ac:dyDescent="0.25">
      <c r="A277" s="10"/>
      <c r="B277" s="9"/>
      <c r="C277" s="923">
        <v>45973</v>
      </c>
      <c r="D277" s="918">
        <v>372.77</v>
      </c>
      <c r="E277" s="783">
        <v>3371900</v>
      </c>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row>
    <row r="278" spans="1:30" ht="13.5" customHeight="1" x14ac:dyDescent="0.25">
      <c r="A278" s="10"/>
      <c r="B278" s="9"/>
      <c r="C278" s="922">
        <v>45972</v>
      </c>
      <c r="D278" s="919">
        <v>370.16</v>
      </c>
      <c r="E278" s="783">
        <v>2964500</v>
      </c>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row>
    <row r="279" spans="1:30" ht="13.5" customHeight="1" x14ac:dyDescent="0.25">
      <c r="A279" s="10"/>
      <c r="B279" s="9"/>
      <c r="C279" s="923">
        <v>45971</v>
      </c>
      <c r="D279" s="918">
        <v>367.88</v>
      </c>
      <c r="E279" s="783">
        <v>3647900</v>
      </c>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row>
    <row r="280" spans="1:30" ht="13.5" customHeight="1" x14ac:dyDescent="0.25">
      <c r="A280" s="10"/>
      <c r="B280" s="9"/>
      <c r="C280" s="922">
        <v>45968</v>
      </c>
      <c r="D280" s="919">
        <v>368.54</v>
      </c>
      <c r="E280" s="783">
        <v>3168500</v>
      </c>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row>
    <row r="281" spans="1:30" ht="13.5" customHeight="1" x14ac:dyDescent="0.25">
      <c r="A281" s="10"/>
      <c r="B281" s="9"/>
      <c r="C281" s="923">
        <v>45967</v>
      </c>
      <c r="D281" s="918">
        <v>365.73</v>
      </c>
      <c r="E281" s="783">
        <v>2684300</v>
      </c>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row>
    <row r="282" spans="1:30" ht="13.5" customHeight="1" x14ac:dyDescent="0.25">
      <c r="A282" s="10"/>
      <c r="B282" s="9"/>
      <c r="C282" s="922">
        <v>45966</v>
      </c>
      <c r="D282" s="919">
        <v>365.8</v>
      </c>
      <c r="E282" s="783">
        <v>3276300</v>
      </c>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row>
    <row r="283" spans="1:30" ht="13.5" customHeight="1" x14ac:dyDescent="0.25">
      <c r="A283" s="10"/>
      <c r="B283" s="9"/>
      <c r="C283" s="923">
        <v>45965</v>
      </c>
      <c r="D283" s="918">
        <v>360.49</v>
      </c>
      <c r="E283" s="783">
        <v>2917700</v>
      </c>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row>
    <row r="284" spans="1:30" ht="13.5" customHeight="1" x14ac:dyDescent="0.25">
      <c r="A284" s="10"/>
      <c r="B284" s="9"/>
      <c r="C284" s="922">
        <v>45964</v>
      </c>
      <c r="D284" s="919">
        <v>361.62</v>
      </c>
      <c r="E284" s="783">
        <v>3507200</v>
      </c>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row>
    <row r="285" spans="1:30" ht="13.5" customHeight="1" x14ac:dyDescent="0.25">
      <c r="A285" s="10"/>
      <c r="B285" s="9"/>
      <c r="C285" s="923">
        <v>45961</v>
      </c>
      <c r="D285" s="918">
        <v>360.73</v>
      </c>
      <c r="E285" s="783">
        <v>3192200</v>
      </c>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row>
    <row r="286" spans="1:30" ht="13.5" customHeight="1" x14ac:dyDescent="0.25">
      <c r="A286" s="10"/>
      <c r="B286" s="9"/>
      <c r="C286" s="922">
        <v>45960</v>
      </c>
      <c r="D286" s="919">
        <v>358.88</v>
      </c>
      <c r="E286" s="783">
        <v>3564200</v>
      </c>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row>
    <row r="287" spans="1:30" ht="13.5" customHeight="1" x14ac:dyDescent="0.25">
      <c r="A287" s="10"/>
      <c r="B287" s="9"/>
      <c r="C287" s="923">
        <v>45959</v>
      </c>
      <c r="D287" s="918">
        <v>358.22</v>
      </c>
      <c r="E287" s="783">
        <v>3547600</v>
      </c>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row>
    <row r="288" spans="1:30" ht="13.5" customHeight="1" x14ac:dyDescent="0.25">
      <c r="A288" s="10"/>
      <c r="B288" s="9"/>
      <c r="C288" s="922">
        <v>45958</v>
      </c>
      <c r="D288" s="919">
        <v>361.03</v>
      </c>
      <c r="E288" s="783">
        <v>3970900</v>
      </c>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row>
    <row r="289" spans="1:30" ht="13.5" customHeight="1" x14ac:dyDescent="0.25">
      <c r="A289" s="10"/>
      <c r="B289" s="9"/>
      <c r="C289" s="923">
        <v>45957</v>
      </c>
      <c r="D289" s="918">
        <v>361.67</v>
      </c>
      <c r="E289" s="783">
        <v>4795200</v>
      </c>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row>
    <row r="290" spans="1:30" ht="13.5" customHeight="1" x14ac:dyDescent="0.25">
      <c r="A290" s="10"/>
      <c r="B290" s="9"/>
      <c r="C290" s="922">
        <v>45954</v>
      </c>
      <c r="D290" s="919">
        <v>357.56</v>
      </c>
      <c r="E290" s="783">
        <v>4543300</v>
      </c>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row>
    <row r="291" spans="1:30" ht="13.5" customHeight="1" x14ac:dyDescent="0.25">
      <c r="A291" s="10"/>
      <c r="B291" s="9"/>
      <c r="C291" s="923">
        <v>45953</v>
      </c>
      <c r="D291" s="918">
        <v>354.93</v>
      </c>
      <c r="E291" s="783">
        <v>3555400</v>
      </c>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row>
    <row r="292" spans="1:30" ht="13.5" customHeight="1" x14ac:dyDescent="0.25">
      <c r="A292" s="10"/>
      <c r="B292" s="9"/>
      <c r="C292" s="922">
        <v>45952</v>
      </c>
      <c r="D292" s="919">
        <v>352</v>
      </c>
      <c r="E292" s="783">
        <v>3324400</v>
      </c>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row>
    <row r="293" spans="1:30" ht="13.5" customHeight="1" x14ac:dyDescent="0.25">
      <c r="A293" s="10"/>
      <c r="B293" s="9"/>
      <c r="C293" s="923">
        <v>45951</v>
      </c>
      <c r="D293" s="918">
        <v>355.22</v>
      </c>
      <c r="E293" s="783">
        <v>4700200</v>
      </c>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row>
    <row r="294" spans="1:30" ht="13.5" customHeight="1" x14ac:dyDescent="0.25">
      <c r="A294" s="10"/>
      <c r="B294" s="9"/>
      <c r="C294" s="922">
        <v>45950</v>
      </c>
      <c r="D294" s="919">
        <v>349.48</v>
      </c>
      <c r="E294" s="783">
        <v>8525100</v>
      </c>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row>
    <row r="295" spans="1:30" ht="13.5" customHeight="1" x14ac:dyDescent="0.25">
      <c r="A295" s="10"/>
      <c r="B295" s="9"/>
      <c r="C295" s="923">
        <v>45947</v>
      </c>
      <c r="D295" s="918">
        <v>346.62</v>
      </c>
      <c r="E295" s="783">
        <v>3888100</v>
      </c>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row>
    <row r="296" spans="1:30" ht="13.5" customHeight="1" x14ac:dyDescent="0.25">
      <c r="A296" s="10"/>
      <c r="B296" s="9"/>
      <c r="C296" s="922">
        <v>45946</v>
      </c>
      <c r="D296" s="919">
        <v>323.12</v>
      </c>
      <c r="E296" s="783">
        <v>3119900</v>
      </c>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row>
    <row r="297" spans="1:30" ht="13.5" customHeight="1" x14ac:dyDescent="0.25">
      <c r="A297" s="10"/>
      <c r="B297" s="9"/>
      <c r="C297" s="923">
        <v>45945</v>
      </c>
      <c r="D297" s="918">
        <v>330.66</v>
      </c>
      <c r="E297" s="783">
        <v>3737200</v>
      </c>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row>
    <row r="298" spans="1:30" ht="13.5" customHeight="1" x14ac:dyDescent="0.25">
      <c r="A298" s="10"/>
      <c r="B298" s="9"/>
      <c r="C298" s="922">
        <v>45944</v>
      </c>
      <c r="D298" s="919">
        <v>332.85</v>
      </c>
      <c r="E298" s="783">
        <v>3745200</v>
      </c>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row>
    <row r="299" spans="1:30" ht="13.5" customHeight="1" x14ac:dyDescent="0.25">
      <c r="A299" s="10"/>
      <c r="B299" s="9"/>
      <c r="C299" s="923">
        <v>45943</v>
      </c>
      <c r="D299" s="918">
        <v>323.12</v>
      </c>
      <c r="E299" s="783">
        <v>3638700</v>
      </c>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row>
    <row r="300" spans="1:30" ht="13.5" customHeight="1" x14ac:dyDescent="0.25">
      <c r="A300" s="10"/>
      <c r="B300" s="9"/>
      <c r="C300" s="922">
        <v>45940</v>
      </c>
      <c r="D300" s="919">
        <v>316.26</v>
      </c>
      <c r="E300" s="783">
        <v>4989600</v>
      </c>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row>
    <row r="301" spans="1:30" ht="13.5" customHeight="1" x14ac:dyDescent="0.25">
      <c r="A301" s="10"/>
      <c r="B301" s="9"/>
      <c r="C301" s="923">
        <v>45939</v>
      </c>
      <c r="D301" s="918">
        <v>324.44</v>
      </c>
      <c r="E301" s="783">
        <v>3394900</v>
      </c>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row>
    <row r="302" spans="1:30" ht="13.5" customHeight="1" x14ac:dyDescent="0.25">
      <c r="A302" s="10"/>
      <c r="B302" s="9"/>
      <c r="C302" s="922">
        <v>45938</v>
      </c>
      <c r="D302" s="919">
        <v>323.82</v>
      </c>
      <c r="E302" s="783">
        <v>4585200</v>
      </c>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row>
    <row r="303" spans="1:30" ht="13.5" customHeight="1" x14ac:dyDescent="0.25">
      <c r="A303" s="10"/>
      <c r="B303" s="9"/>
      <c r="C303" s="923">
        <v>45937</v>
      </c>
      <c r="D303" s="918">
        <v>327.97</v>
      </c>
      <c r="E303" s="783">
        <v>4613400</v>
      </c>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row>
    <row r="304" spans="1:30" ht="13.5" customHeight="1" x14ac:dyDescent="0.25">
      <c r="A304" s="10"/>
      <c r="B304" s="9"/>
      <c r="C304" s="922">
        <v>45936</v>
      </c>
      <c r="D304" s="919">
        <v>331.99</v>
      </c>
      <c r="E304" s="783">
        <v>5143100</v>
      </c>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row>
    <row r="305" spans="1:30" ht="13.5" customHeight="1" x14ac:dyDescent="0.25">
      <c r="A305" s="10"/>
      <c r="B305" s="9"/>
      <c r="C305" s="923">
        <v>45933</v>
      </c>
      <c r="D305" s="918">
        <v>330.24</v>
      </c>
      <c r="E305" s="783">
        <v>7792700</v>
      </c>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row>
    <row r="306" spans="1:30" ht="13.5" customHeight="1" x14ac:dyDescent="0.25">
      <c r="A306" s="10"/>
      <c r="B306" s="9"/>
      <c r="C306" s="922">
        <v>45932</v>
      </c>
      <c r="D306" s="919">
        <v>330.48</v>
      </c>
      <c r="E306" s="783">
        <v>5238500</v>
      </c>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row>
    <row r="307" spans="1:30" ht="13.5" customHeight="1" x14ac:dyDescent="0.25">
      <c r="A307" s="10"/>
      <c r="B307" s="9"/>
      <c r="C307" s="923">
        <v>45931</v>
      </c>
      <c r="D307" s="918">
        <v>328.56</v>
      </c>
      <c r="E307" s="783">
        <v>4330900</v>
      </c>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row>
    <row r="308" spans="1:30" ht="13.5" customHeight="1" x14ac:dyDescent="0.25">
      <c r="A308" s="10"/>
      <c r="B308" s="9"/>
      <c r="C308" s="922">
        <v>45930</v>
      </c>
      <c r="D308" s="919">
        <v>332.16</v>
      </c>
      <c r="E308" s="783">
        <v>3361100</v>
      </c>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row>
    <row r="309" spans="1:30" ht="13.5" customHeight="1" x14ac:dyDescent="0.25">
      <c r="A309" s="10"/>
      <c r="B309" s="9"/>
      <c r="C309" s="923">
        <v>45929</v>
      </c>
      <c r="D309" s="918">
        <v>342.31</v>
      </c>
      <c r="E309" s="783">
        <v>6030400</v>
      </c>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row>
    <row r="310" spans="1:30" ht="13.5" customHeight="1" x14ac:dyDescent="0.25">
      <c r="A310" s="10"/>
      <c r="B310" s="9"/>
      <c r="C310" s="922">
        <v>45926</v>
      </c>
      <c r="D310" s="919">
        <v>341.68</v>
      </c>
      <c r="E310" s="783">
        <v>6639300</v>
      </c>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row>
    <row r="311" spans="1:30" ht="13.5" customHeight="1" x14ac:dyDescent="0.25">
      <c r="A311" s="10"/>
      <c r="B311" s="9"/>
      <c r="C311" s="923">
        <v>45925</v>
      </c>
      <c r="D311" s="918">
        <v>340.18</v>
      </c>
      <c r="E311" s="783">
        <v>9972300</v>
      </c>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row>
    <row r="312" spans="1:30" ht="13.5" customHeight="1" x14ac:dyDescent="0.25">
      <c r="A312" s="10"/>
      <c r="B312" s="9"/>
      <c r="C312" s="922">
        <v>45924</v>
      </c>
      <c r="D312" s="919">
        <v>340.48</v>
      </c>
      <c r="E312" s="783">
        <v>5149500</v>
      </c>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row>
    <row r="313" spans="1:30" ht="13.5" customHeight="1" x14ac:dyDescent="0.25">
      <c r="A313" s="10"/>
      <c r="B313" s="9"/>
      <c r="C313" s="923">
        <v>45923</v>
      </c>
      <c r="D313" s="918">
        <v>341.47</v>
      </c>
      <c r="E313" s="783">
        <v>3767700</v>
      </c>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row>
    <row r="314" spans="1:30" ht="13.5" customHeight="1" x14ac:dyDescent="0.25">
      <c r="A314" s="10"/>
      <c r="B314" s="9"/>
      <c r="C314" s="922">
        <v>45922</v>
      </c>
      <c r="D314" s="919">
        <v>340.98</v>
      </c>
      <c r="E314" s="783">
        <v>2842000</v>
      </c>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row>
    <row r="315" spans="1:30" ht="13.5" customHeight="1" x14ac:dyDescent="0.25">
      <c r="A315" s="10"/>
      <c r="B315" s="9"/>
      <c r="C315" s="923">
        <v>45919</v>
      </c>
      <c r="D315" s="918">
        <v>341.12</v>
      </c>
      <c r="E315" s="783">
        <v>2758700</v>
      </c>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row>
    <row r="316" spans="1:30" ht="13.5" customHeight="1" x14ac:dyDescent="0.25">
      <c r="A316" s="10"/>
      <c r="B316" s="9"/>
      <c r="C316" s="922">
        <v>45918</v>
      </c>
      <c r="D316" s="919">
        <v>341.67</v>
      </c>
      <c r="E316" s="783">
        <v>2244100</v>
      </c>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row>
    <row r="317" spans="1:30" ht="13.5" customHeight="1" x14ac:dyDescent="0.25">
      <c r="A317" s="10"/>
      <c r="B317" s="9"/>
      <c r="C317" s="923">
        <v>45917</v>
      </c>
      <c r="D317" s="918">
        <v>336</v>
      </c>
      <c r="E317" s="783">
        <v>2947700</v>
      </c>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row>
    <row r="318" spans="1:30" ht="13.5" customHeight="1" x14ac:dyDescent="0.25">
      <c r="A318" s="10"/>
      <c r="B318" s="9"/>
      <c r="C318" s="922">
        <v>45916</v>
      </c>
      <c r="D318" s="919">
        <v>327.04000000000002</v>
      </c>
      <c r="E318" s="783">
        <v>2035500</v>
      </c>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row>
    <row r="319" spans="1:30" ht="13.5" customHeight="1" x14ac:dyDescent="0.25">
      <c r="A319" s="10"/>
      <c r="B319" s="9"/>
      <c r="C319" s="923">
        <v>45915</v>
      </c>
      <c r="D319" s="918">
        <v>327.26</v>
      </c>
      <c r="E319" s="783">
        <v>2783900</v>
      </c>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row>
    <row r="320" spans="1:30" ht="13.5" customHeight="1" x14ac:dyDescent="0.25">
      <c r="A320" s="10"/>
      <c r="B320" s="9"/>
      <c r="C320" s="922">
        <v>45912</v>
      </c>
      <c r="D320" s="919">
        <v>325.31</v>
      </c>
      <c r="E320" s="783">
        <v>2837900</v>
      </c>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row>
    <row r="321" spans="1:30" ht="13.5" customHeight="1" x14ac:dyDescent="0.25">
      <c r="A321" s="10"/>
      <c r="B321" s="9"/>
      <c r="C321" s="923">
        <v>45911</v>
      </c>
      <c r="D321" s="918">
        <v>329.32</v>
      </c>
      <c r="E321" s="783">
        <v>2723800</v>
      </c>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row>
    <row r="322" spans="1:30" ht="13.5" customHeight="1" x14ac:dyDescent="0.25">
      <c r="A322" s="10"/>
      <c r="B322" s="9"/>
      <c r="C322" s="922">
        <v>45910</v>
      </c>
      <c r="D322" s="919">
        <v>323.35000000000002</v>
      </c>
      <c r="E322" s="783">
        <v>3421800</v>
      </c>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row>
    <row r="323" spans="1:30" ht="13.5" customHeight="1" x14ac:dyDescent="0.25">
      <c r="A323" s="10"/>
      <c r="B323" s="9"/>
      <c r="C323" s="923">
        <v>45909</v>
      </c>
      <c r="D323" s="918">
        <v>324.33999999999997</v>
      </c>
      <c r="E323" s="783">
        <v>2562700</v>
      </c>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row>
    <row r="324" spans="1:30" ht="13.5" customHeight="1" x14ac:dyDescent="0.25">
      <c r="A324" s="10"/>
      <c r="B324" s="9"/>
      <c r="C324" s="922">
        <v>45908</v>
      </c>
      <c r="D324" s="919">
        <v>325.41000000000003</v>
      </c>
      <c r="E324" s="783">
        <v>2679800</v>
      </c>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row>
    <row r="325" spans="1:30" ht="13.5" customHeight="1" x14ac:dyDescent="0.25">
      <c r="A325" s="10"/>
      <c r="B325" s="9"/>
      <c r="C325" s="923">
        <v>45905</v>
      </c>
      <c r="D325" s="918">
        <v>326.22000000000003</v>
      </c>
      <c r="E325" s="783">
        <v>2996500</v>
      </c>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row>
    <row r="326" spans="1:30" ht="13.5" customHeight="1" x14ac:dyDescent="0.25">
      <c r="A326" s="10"/>
      <c r="B326" s="9"/>
      <c r="C326" s="922">
        <v>45904</v>
      </c>
      <c r="D326" s="919">
        <v>330.65</v>
      </c>
      <c r="E326" s="783">
        <v>3181900</v>
      </c>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row>
    <row r="327" spans="1:30" ht="13.5" customHeight="1" x14ac:dyDescent="0.25">
      <c r="A327" s="10"/>
      <c r="B327" s="9"/>
      <c r="C327" s="923">
        <v>45903</v>
      </c>
      <c r="D327" s="918">
        <v>323.70999999999998</v>
      </c>
      <c r="E327" s="783">
        <v>3898500</v>
      </c>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row>
    <row r="328" spans="1:30" ht="13.5" customHeight="1" x14ac:dyDescent="0.25">
      <c r="A328" s="10"/>
      <c r="B328" s="9"/>
      <c r="C328" s="922">
        <v>45902</v>
      </c>
      <c r="D328" s="919">
        <v>331.18</v>
      </c>
      <c r="E328" s="783">
        <v>4400500</v>
      </c>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row>
    <row r="329" spans="1:30" ht="13.5" customHeight="1" x14ac:dyDescent="0.25">
      <c r="A329" s="10"/>
      <c r="B329" s="9"/>
      <c r="C329" s="923">
        <v>45898</v>
      </c>
      <c r="D329" s="918">
        <v>331.28</v>
      </c>
      <c r="E329" s="783">
        <v>3816600</v>
      </c>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row>
    <row r="330" spans="1:30" ht="13.5" customHeight="1" x14ac:dyDescent="0.25">
      <c r="A330" s="10"/>
      <c r="B330" s="9"/>
      <c r="C330" s="922">
        <v>45897</v>
      </c>
      <c r="D330" s="919">
        <v>326.99</v>
      </c>
      <c r="E330" s="783">
        <v>4762700</v>
      </c>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row>
    <row r="331" spans="1:30" ht="13.5" customHeight="1" x14ac:dyDescent="0.25">
      <c r="A331" s="10"/>
      <c r="B331" s="9"/>
      <c r="C331" s="923">
        <v>45896</v>
      </c>
      <c r="D331" s="918">
        <v>322.45999999999998</v>
      </c>
      <c r="E331" s="783">
        <v>2496200</v>
      </c>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row>
    <row r="332" spans="1:30" ht="13.5" customHeight="1" x14ac:dyDescent="0.25">
      <c r="A332" s="10"/>
      <c r="B332" s="9"/>
      <c r="C332" s="922">
        <v>45895</v>
      </c>
      <c r="D332" s="919">
        <v>320.60000000000002</v>
      </c>
      <c r="E332" s="783">
        <v>4764100</v>
      </c>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row>
    <row r="333" spans="1:30" ht="13.5" customHeight="1" x14ac:dyDescent="0.25">
      <c r="A333" s="10"/>
      <c r="B333" s="9"/>
      <c r="C333" s="923">
        <v>45894</v>
      </c>
      <c r="D333" s="918">
        <v>315.8</v>
      </c>
      <c r="E333" s="783">
        <v>3612300</v>
      </c>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row>
    <row r="334" spans="1:30" ht="13.5" customHeight="1" x14ac:dyDescent="0.25">
      <c r="A334" s="10"/>
      <c r="B334" s="9"/>
      <c r="C334" s="922">
        <v>45891</v>
      </c>
      <c r="D334" s="919">
        <v>319.16000000000003</v>
      </c>
      <c r="E334" s="783">
        <v>5322600</v>
      </c>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row>
    <row r="335" spans="1:30" ht="13.5" customHeight="1" x14ac:dyDescent="0.25">
      <c r="A335" s="10"/>
      <c r="B335" s="9"/>
      <c r="C335" s="923">
        <v>45890</v>
      </c>
      <c r="D335" s="918">
        <v>308.17</v>
      </c>
      <c r="E335" s="783">
        <v>3899800</v>
      </c>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row>
    <row r="336" spans="1:30" ht="13.5" customHeight="1" x14ac:dyDescent="0.25">
      <c r="A336" s="10"/>
      <c r="B336" s="9"/>
      <c r="C336" s="922">
        <v>45889</v>
      </c>
      <c r="D336" s="919">
        <v>308.39999999999998</v>
      </c>
      <c r="E336" s="783">
        <v>4683100</v>
      </c>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row>
    <row r="337" spans="1:30" ht="13.5" customHeight="1" x14ac:dyDescent="0.25">
      <c r="A337" s="10"/>
      <c r="B337" s="9"/>
      <c r="C337" s="923">
        <v>45888</v>
      </c>
      <c r="D337" s="918">
        <v>306.10000000000002</v>
      </c>
      <c r="E337" s="783">
        <v>3727200</v>
      </c>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row>
    <row r="338" spans="1:30" ht="13.5" customHeight="1" x14ac:dyDescent="0.25">
      <c r="A338" s="10"/>
      <c r="B338" s="9"/>
      <c r="C338" s="922">
        <v>45887</v>
      </c>
      <c r="D338" s="919">
        <v>307.05</v>
      </c>
      <c r="E338" s="783">
        <v>4090900</v>
      </c>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row>
    <row r="339" spans="1:30" ht="13.5" customHeight="1" x14ac:dyDescent="0.25">
      <c r="A339" s="10"/>
      <c r="B339" s="9"/>
      <c r="C339" s="923">
        <v>45884</v>
      </c>
      <c r="D339" s="918">
        <v>305.47000000000003</v>
      </c>
      <c r="E339" s="783">
        <v>3291800</v>
      </c>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row>
    <row r="340" spans="1:30" ht="13.5" customHeight="1" x14ac:dyDescent="0.25">
      <c r="A340" s="10"/>
      <c r="B340" s="9"/>
      <c r="C340" s="922">
        <v>45883</v>
      </c>
      <c r="D340" s="919">
        <v>307.73</v>
      </c>
      <c r="E340" s="783">
        <v>4036900</v>
      </c>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row>
    <row r="341" spans="1:30" ht="13.5" customHeight="1" x14ac:dyDescent="0.25">
      <c r="A341" s="10"/>
      <c r="B341" s="9"/>
      <c r="C341" s="923">
        <v>45882</v>
      </c>
      <c r="D341" s="918">
        <v>306.87</v>
      </c>
      <c r="E341" s="783">
        <v>3005200</v>
      </c>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row>
    <row r="342" spans="1:30" ht="13.5" customHeight="1" x14ac:dyDescent="0.25">
      <c r="A342" s="10"/>
      <c r="B342" s="9"/>
      <c r="C342" s="922">
        <v>45881</v>
      </c>
      <c r="D342" s="919">
        <v>303.20999999999998</v>
      </c>
      <c r="E342" s="783">
        <v>4971200</v>
      </c>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row>
    <row r="343" spans="1:30" ht="13.5" customHeight="1" x14ac:dyDescent="0.25">
      <c r="A343" s="10"/>
      <c r="B343" s="9"/>
      <c r="C343" s="923">
        <v>45880</v>
      </c>
      <c r="D343" s="918">
        <v>296.23</v>
      </c>
      <c r="E343" s="783">
        <v>4144100</v>
      </c>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row>
    <row r="344" spans="1:30" ht="13.5" customHeight="1" x14ac:dyDescent="0.25">
      <c r="A344" s="10"/>
      <c r="B344" s="9"/>
      <c r="C344" s="922">
        <v>45877</v>
      </c>
      <c r="D344" s="919">
        <v>297.43</v>
      </c>
      <c r="E344" s="783">
        <v>4937000</v>
      </c>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row>
    <row r="345" spans="1:30" ht="13.5" customHeight="1" x14ac:dyDescent="0.25">
      <c r="A345" s="10"/>
      <c r="B345" s="9"/>
      <c r="C345" s="923">
        <v>45876</v>
      </c>
      <c r="D345" s="918">
        <v>294.73</v>
      </c>
      <c r="E345" s="783">
        <v>3911900</v>
      </c>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0" ht="13.5" customHeight="1" x14ac:dyDescent="0.25">
      <c r="A346" s="10"/>
      <c r="B346" s="9"/>
      <c r="C346" s="922">
        <v>45875</v>
      </c>
      <c r="D346" s="919">
        <v>295.54000000000002</v>
      </c>
      <c r="E346" s="783">
        <v>7243400</v>
      </c>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row>
    <row r="347" spans="1:30" ht="13.5" customHeight="1" x14ac:dyDescent="0.25">
      <c r="A347" s="10"/>
      <c r="B347" s="9"/>
      <c r="C347" s="923">
        <v>45874</v>
      </c>
      <c r="D347" s="918">
        <v>296.64</v>
      </c>
      <c r="E347" s="783">
        <v>2335300</v>
      </c>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row>
    <row r="348" spans="1:30" ht="13.5" customHeight="1" x14ac:dyDescent="0.25">
      <c r="A348" s="10"/>
      <c r="B348" s="9"/>
      <c r="C348" s="922">
        <v>45873</v>
      </c>
      <c r="D348" s="919">
        <v>298.58999999999997</v>
      </c>
      <c r="E348" s="783">
        <v>3227000</v>
      </c>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row>
    <row r="349" spans="1:30" ht="13.5" customHeight="1" x14ac:dyDescent="0.25">
      <c r="A349" s="10"/>
      <c r="B349" s="9"/>
      <c r="C349" s="923">
        <v>45870</v>
      </c>
      <c r="D349" s="918">
        <v>294.27</v>
      </c>
      <c r="E349" s="783">
        <v>3326100</v>
      </c>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row>
    <row r="350" spans="1:30" ht="13.5" customHeight="1" x14ac:dyDescent="0.25">
      <c r="A350" s="10"/>
      <c r="B350" s="9"/>
      <c r="C350" s="922">
        <v>45869</v>
      </c>
      <c r="D350" s="919">
        <v>299.31</v>
      </c>
      <c r="E350" s="783">
        <v>2635000</v>
      </c>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row>
    <row r="351" spans="1:30" ht="13.5" customHeight="1" x14ac:dyDescent="0.25">
      <c r="A351" s="10"/>
      <c r="B351" s="9"/>
      <c r="C351" s="923">
        <v>45868</v>
      </c>
      <c r="D351" s="918">
        <v>303.41000000000003</v>
      </c>
      <c r="E351" s="783">
        <v>1044600</v>
      </c>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row>
    <row r="352" spans="1:30" ht="13.5" customHeight="1" x14ac:dyDescent="0.25">
      <c r="A352" s="10"/>
      <c r="B352" s="9"/>
      <c r="C352" s="922">
        <v>45867</v>
      </c>
      <c r="D352" s="919">
        <v>308.54000000000002</v>
      </c>
      <c r="E352" s="783">
        <v>3613700</v>
      </c>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row>
    <row r="353" spans="1:30" ht="13.5" customHeight="1" x14ac:dyDescent="0.25">
      <c r="A353" s="10"/>
      <c r="B353" s="9"/>
      <c r="C353" s="923">
        <v>45866</v>
      </c>
      <c r="D353" s="918">
        <v>310.74</v>
      </c>
      <c r="E353" s="783">
        <v>3274200</v>
      </c>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row>
    <row r="354" spans="1:30" ht="13.5" customHeight="1" x14ac:dyDescent="0.25">
      <c r="A354" s="10"/>
      <c r="B354" s="9"/>
      <c r="C354" s="922">
        <v>45863</v>
      </c>
      <c r="D354" s="919">
        <v>311.61</v>
      </c>
      <c r="E354" s="783">
        <v>5153100</v>
      </c>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row>
    <row r="355" spans="1:30" ht="13.5" customHeight="1" x14ac:dyDescent="0.25">
      <c r="A355" s="10"/>
      <c r="B355" s="9"/>
      <c r="C355" s="923">
        <v>45862</v>
      </c>
      <c r="D355" s="918">
        <v>308.25</v>
      </c>
      <c r="E355" s="783">
        <v>11916900</v>
      </c>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row>
    <row r="356" spans="1:30" ht="13.5" customHeight="1" x14ac:dyDescent="0.25">
      <c r="A356" s="10"/>
      <c r="B356" s="9"/>
      <c r="C356" s="922">
        <v>45861</v>
      </c>
      <c r="D356" s="919">
        <v>308.66000000000003</v>
      </c>
      <c r="E356" s="783">
        <v>4471500</v>
      </c>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row>
    <row r="357" spans="1:30" ht="13.5" customHeight="1" x14ac:dyDescent="0.25">
      <c r="A357" s="10"/>
      <c r="B357" s="9"/>
      <c r="C357" s="923">
        <v>45860</v>
      </c>
      <c r="D357" s="918">
        <v>304.14</v>
      </c>
      <c r="E357" s="783">
        <v>4443500</v>
      </c>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row>
    <row r="358" spans="1:30" ht="13.5" customHeight="1" x14ac:dyDescent="0.25">
      <c r="A358" s="10"/>
      <c r="B358" s="9"/>
      <c r="C358" s="922">
        <v>45859</v>
      </c>
      <c r="D358" s="919">
        <v>302.97000000000003</v>
      </c>
      <c r="E358" s="783">
        <v>4764700</v>
      </c>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row>
    <row r="359" spans="1:30" ht="13.5" customHeight="1" x14ac:dyDescent="0.25">
      <c r="A359" s="10"/>
      <c r="B359" s="9"/>
      <c r="C359" s="923">
        <v>45856</v>
      </c>
      <c r="D359" s="918">
        <v>307.95</v>
      </c>
      <c r="E359" s="783">
        <v>4654000</v>
      </c>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row>
    <row r="360" spans="1:30" ht="13.5" customHeight="1" x14ac:dyDescent="0.25">
      <c r="A360" s="10"/>
      <c r="B360" s="9"/>
      <c r="C360" s="922">
        <v>45855</v>
      </c>
      <c r="D360" s="919">
        <v>315.35000000000002</v>
      </c>
      <c r="E360" s="783">
        <v>5292600</v>
      </c>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row>
    <row r="361" spans="1:30" ht="13.5" customHeight="1" x14ac:dyDescent="0.25">
      <c r="A361" s="10"/>
      <c r="B361" s="9"/>
      <c r="C361" s="923">
        <v>45854</v>
      </c>
      <c r="D361" s="918">
        <v>311.89999999999998</v>
      </c>
      <c r="E361" s="783">
        <v>6647400</v>
      </c>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row>
    <row r="362" spans="1:30" ht="13.5" customHeight="1" x14ac:dyDescent="0.25">
      <c r="A362" s="10"/>
      <c r="B362" s="9"/>
      <c r="C362" s="922">
        <v>45853</v>
      </c>
      <c r="D362" s="919">
        <v>310.64999999999998</v>
      </c>
      <c r="E362" s="783">
        <v>11093300</v>
      </c>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row>
    <row r="363" spans="1:30" ht="13.5" customHeight="1" x14ac:dyDescent="0.25">
      <c r="A363" s="10"/>
      <c r="B363" s="9"/>
      <c r="C363" s="923">
        <v>45852</v>
      </c>
      <c r="D363" s="918">
        <v>320.92</v>
      </c>
      <c r="E363" s="783">
        <v>6737300</v>
      </c>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row>
    <row r="364" spans="1:30" ht="13.5" customHeight="1" x14ac:dyDescent="0.25">
      <c r="A364" s="10"/>
      <c r="B364" s="9"/>
      <c r="C364" s="922">
        <v>45849</v>
      </c>
      <c r="D364" s="919">
        <v>319.47000000000003</v>
      </c>
      <c r="E364" s="783">
        <v>7306800</v>
      </c>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row>
    <row r="365" spans="1:30" ht="13.5" customHeight="1" x14ac:dyDescent="0.25">
      <c r="A365" s="10"/>
      <c r="B365" s="9"/>
      <c r="C365" s="923">
        <v>45848</v>
      </c>
      <c r="D365" s="918">
        <v>325.24</v>
      </c>
      <c r="E365" s="783">
        <v>4709100</v>
      </c>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row>
    <row r="366" spans="1:30" ht="13.5" customHeight="1" x14ac:dyDescent="0.25">
      <c r="A366" s="10"/>
      <c r="B366" s="9"/>
      <c r="C366" s="922">
        <v>45847</v>
      </c>
      <c r="D366" s="919">
        <v>317.35000000000002</v>
      </c>
      <c r="E366" s="783">
        <v>4870100</v>
      </c>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row>
    <row r="367" spans="1:30" ht="13.5" customHeight="1" x14ac:dyDescent="0.25">
      <c r="A367" s="10"/>
      <c r="B367" s="9"/>
      <c r="C367" s="923">
        <v>45846</v>
      </c>
      <c r="D367" s="918">
        <v>316.98</v>
      </c>
      <c r="E367" s="783">
        <v>5133100</v>
      </c>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row>
    <row r="368" spans="1:30" ht="13.5" customHeight="1" x14ac:dyDescent="0.25">
      <c r="A368" s="10"/>
      <c r="B368" s="9"/>
      <c r="C368" s="922">
        <v>45845</v>
      </c>
      <c r="D368" s="919">
        <v>322.73</v>
      </c>
      <c r="E368" s="783">
        <v>6103700</v>
      </c>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row>
    <row r="369" spans="1:30" ht="13.5" customHeight="1" x14ac:dyDescent="0.25">
      <c r="A369" s="10"/>
      <c r="B369" s="9"/>
      <c r="C369" s="923">
        <v>45841</v>
      </c>
      <c r="D369" s="918">
        <v>328.13</v>
      </c>
      <c r="E369" s="783">
        <v>7292400</v>
      </c>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row>
    <row r="370" spans="1:30" ht="13.5" customHeight="1" x14ac:dyDescent="0.25">
      <c r="A370" s="10"/>
      <c r="B370" s="9"/>
      <c r="C370" s="922">
        <v>45840</v>
      </c>
      <c r="D370" s="919">
        <v>325.61</v>
      </c>
      <c r="E370" s="783">
        <v>2081300</v>
      </c>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row>
    <row r="371" spans="1:30" ht="13.5" customHeight="1" x14ac:dyDescent="0.25">
      <c r="A371" s="10"/>
      <c r="B371" s="9"/>
      <c r="C371" s="923">
        <v>45839</v>
      </c>
      <c r="D371" s="918">
        <v>322.52999999999997</v>
      </c>
      <c r="E371" s="783">
        <v>5228300</v>
      </c>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row>
    <row r="372" spans="1:30" ht="13.5" customHeight="1" x14ac:dyDescent="0.25">
      <c r="A372" s="10"/>
      <c r="B372" s="9"/>
      <c r="C372" s="922">
        <v>45838</v>
      </c>
      <c r="D372" s="919">
        <v>318.98</v>
      </c>
      <c r="E372" s="783">
        <v>7190200</v>
      </c>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row>
    <row r="373" spans="1:30" ht="13.5" customHeight="1" x14ac:dyDescent="0.25">
      <c r="A373" s="10"/>
      <c r="B373" s="9"/>
      <c r="C373" s="923">
        <v>45835</v>
      </c>
      <c r="D373" s="918">
        <v>317.19</v>
      </c>
      <c r="E373" s="783">
        <v>6978500</v>
      </c>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row>
    <row r="374" spans="1:30" ht="13.5" customHeight="1" x14ac:dyDescent="0.25">
      <c r="A374" s="10"/>
      <c r="B374" s="9"/>
      <c r="C374" s="922">
        <v>45834</v>
      </c>
      <c r="D374" s="919">
        <v>311.42</v>
      </c>
      <c r="E374" s="783">
        <v>6005800</v>
      </c>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row>
    <row r="375" spans="1:30" ht="13.5" customHeight="1" x14ac:dyDescent="0.25">
      <c r="A375" s="10"/>
      <c r="B375" s="9"/>
      <c r="C375" s="923">
        <v>45833</v>
      </c>
      <c r="D375" s="918">
        <v>308.58999999999997</v>
      </c>
      <c r="E375" s="783">
        <v>9393700</v>
      </c>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row>
    <row r="376" spans="1:30" ht="13.5" customHeight="1" x14ac:dyDescent="0.25">
      <c r="A376" s="10"/>
      <c r="B376" s="9"/>
      <c r="C376" s="922">
        <v>45832</v>
      </c>
      <c r="D376" s="919">
        <v>308.38</v>
      </c>
      <c r="E376" s="783">
        <v>18087800</v>
      </c>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row>
    <row r="377" spans="1:30" ht="13.5" customHeight="1" x14ac:dyDescent="0.25">
      <c r="A377" s="10"/>
      <c r="B377" s="9"/>
      <c r="C377" s="923">
        <v>45831</v>
      </c>
      <c r="D377" s="918">
        <v>299.63</v>
      </c>
      <c r="E377" s="783">
        <v>5642100</v>
      </c>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row>
    <row r="378" spans="1:30" ht="13.5" customHeight="1" x14ac:dyDescent="0.25">
      <c r="A378" s="10"/>
      <c r="B378" s="9"/>
      <c r="C378" s="922">
        <v>45828</v>
      </c>
      <c r="D378" s="919">
        <v>298.58999999999997</v>
      </c>
      <c r="E378" s="783">
        <v>5005400</v>
      </c>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row>
    <row r="379" spans="1:30" ht="13.5" customHeight="1" x14ac:dyDescent="0.25">
      <c r="A379" s="10"/>
      <c r="B379" s="9"/>
      <c r="C379" s="923">
        <v>45826</v>
      </c>
      <c r="D379" s="918">
        <v>296.42</v>
      </c>
      <c r="E379" s="783">
        <v>4036000</v>
      </c>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row>
    <row r="380" spans="1:30" ht="13.5" customHeight="1" x14ac:dyDescent="0.25">
      <c r="A380" s="10"/>
      <c r="B380" s="9"/>
      <c r="C380" s="922">
        <v>45825</v>
      </c>
      <c r="D380" s="919">
        <v>292.81</v>
      </c>
      <c r="E380" s="783">
        <v>3893900</v>
      </c>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row>
    <row r="381" spans="1:30" ht="13.5" customHeight="1" x14ac:dyDescent="0.25">
      <c r="A381" s="10"/>
      <c r="B381" s="9"/>
      <c r="C381" s="923">
        <v>45824</v>
      </c>
      <c r="D381" s="918">
        <v>294.22000000000003</v>
      </c>
      <c r="E381" s="783">
        <v>4551700</v>
      </c>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row>
    <row r="382" spans="1:30" ht="13.5" customHeight="1" x14ac:dyDescent="0.25">
      <c r="A382" s="10"/>
      <c r="B382" s="9"/>
      <c r="C382" s="922">
        <v>45821</v>
      </c>
      <c r="D382" s="919">
        <v>287.79000000000002</v>
      </c>
      <c r="E382" s="783">
        <v>5925100</v>
      </c>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row>
    <row r="383" spans="1:30" ht="13.5" customHeight="1" x14ac:dyDescent="0.25">
      <c r="A383" s="10"/>
      <c r="B383" s="9"/>
      <c r="C383" s="923">
        <v>45820</v>
      </c>
      <c r="D383" s="918">
        <v>297.99</v>
      </c>
      <c r="E383" s="783">
        <v>10765200</v>
      </c>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row>
    <row r="384" spans="1:30" ht="13.5" customHeight="1" x14ac:dyDescent="0.25">
      <c r="A384" s="10"/>
      <c r="B384" s="9"/>
      <c r="C384" s="922">
        <v>45819</v>
      </c>
      <c r="D384" s="919">
        <v>299.10000000000002</v>
      </c>
      <c r="E384" s="783">
        <v>2672900</v>
      </c>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row>
    <row r="385" spans="1:30" ht="13.5" customHeight="1" x14ac:dyDescent="0.25">
      <c r="A385" s="10"/>
      <c r="B385" s="9"/>
      <c r="C385" s="923">
        <v>45818</v>
      </c>
      <c r="D385" s="918">
        <v>299.52</v>
      </c>
      <c r="E385" s="783">
        <v>4088100</v>
      </c>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row>
    <row r="386" spans="1:30" ht="13.5" customHeight="1" x14ac:dyDescent="0.25">
      <c r="A386" s="10"/>
      <c r="B386" s="9"/>
      <c r="C386" s="922">
        <v>45817</v>
      </c>
      <c r="D386" s="919">
        <v>301.56</v>
      </c>
      <c r="E386" s="783">
        <v>5006500</v>
      </c>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row>
    <row r="387" spans="1:30" ht="13.5" customHeight="1" x14ac:dyDescent="0.25">
      <c r="A387" s="10"/>
      <c r="B387" s="9"/>
      <c r="C387" s="923">
        <v>45814</v>
      </c>
      <c r="D387" s="918">
        <v>302.47000000000003</v>
      </c>
      <c r="E387" s="783">
        <v>2908200</v>
      </c>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row>
    <row r="388" spans="1:30" ht="13.5" customHeight="1" x14ac:dyDescent="0.25">
      <c r="A388" s="10"/>
      <c r="B388" s="9"/>
      <c r="C388" s="922">
        <v>45813</v>
      </c>
      <c r="D388" s="919">
        <v>295.95999999999998</v>
      </c>
      <c r="E388" s="783">
        <v>2978900</v>
      </c>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row>
    <row r="389" spans="1:30" ht="13.5" customHeight="1" x14ac:dyDescent="0.25">
      <c r="A389" s="10"/>
      <c r="B389" s="9"/>
      <c r="C389" s="923">
        <v>45812</v>
      </c>
      <c r="D389" s="918">
        <v>295.93</v>
      </c>
      <c r="E389" s="783">
        <v>3948900</v>
      </c>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row>
    <row r="390" spans="1:30" ht="13.5" customHeight="1" x14ac:dyDescent="0.25">
      <c r="A390" s="10"/>
      <c r="B390" s="9"/>
      <c r="C390" s="922">
        <v>45811</v>
      </c>
      <c r="D390" s="919">
        <v>297.39</v>
      </c>
      <c r="E390" s="783">
        <v>3697800</v>
      </c>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row>
    <row r="391" spans="1:30" ht="13.5" customHeight="1" x14ac:dyDescent="0.25">
      <c r="A391" s="10"/>
      <c r="B391" s="9"/>
      <c r="C391" s="923">
        <v>45810</v>
      </c>
      <c r="D391" s="918">
        <v>295.33</v>
      </c>
      <c r="E391" s="783">
        <v>4947700</v>
      </c>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row>
    <row r="392" spans="1:30" ht="13.5" customHeight="1" x14ac:dyDescent="0.25">
      <c r="A392" s="10"/>
      <c r="B392" s="9"/>
      <c r="C392" s="922">
        <v>45807</v>
      </c>
      <c r="D392" s="919">
        <v>294.05</v>
      </c>
      <c r="E392" s="783">
        <v>4425700</v>
      </c>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row>
    <row r="393" spans="1:30" ht="13.5" customHeight="1" x14ac:dyDescent="0.25">
      <c r="A393" s="10"/>
      <c r="B393" s="9"/>
      <c r="C393" s="923">
        <v>45806</v>
      </c>
      <c r="D393" s="918">
        <v>295.38</v>
      </c>
      <c r="E393" s="783">
        <v>4380800</v>
      </c>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row>
    <row r="394" spans="1:30" ht="13.5" customHeight="1" x14ac:dyDescent="0.25">
      <c r="A394" s="10"/>
      <c r="B394" s="9"/>
      <c r="C394" s="922">
        <v>45805</v>
      </c>
      <c r="D394" s="919">
        <v>293.36</v>
      </c>
      <c r="E394" s="783">
        <v>2963100</v>
      </c>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row>
    <row r="395" spans="1:30" ht="13.5" customHeight="1" x14ac:dyDescent="0.25">
      <c r="A395" s="10"/>
      <c r="B395" s="9"/>
      <c r="C395" s="923">
        <v>45804</v>
      </c>
      <c r="D395" s="918">
        <v>293.76</v>
      </c>
      <c r="E395" s="783">
        <v>3266800</v>
      </c>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row>
    <row r="396" spans="1:30" ht="13.5" customHeight="1" x14ac:dyDescent="0.25">
      <c r="A396" s="10"/>
      <c r="B396" s="9"/>
      <c r="C396" s="922">
        <v>45800</v>
      </c>
      <c r="D396" s="919">
        <v>285.22000000000003</v>
      </c>
      <c r="E396" s="783">
        <v>3431800</v>
      </c>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row>
    <row r="397" spans="1:30" ht="13.5" customHeight="1" x14ac:dyDescent="0.25">
      <c r="A397" s="10"/>
      <c r="B397" s="9"/>
      <c r="C397" s="923">
        <v>45799</v>
      </c>
      <c r="D397" s="918">
        <v>287.18</v>
      </c>
      <c r="E397" s="783">
        <v>3603800</v>
      </c>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row>
    <row r="398" spans="1:30" ht="13.5" customHeight="1" x14ac:dyDescent="0.25">
      <c r="A398" s="10"/>
      <c r="B398" s="9"/>
      <c r="C398" s="922">
        <v>45798</v>
      </c>
      <c r="D398" s="919">
        <v>286</v>
      </c>
      <c r="E398" s="783">
        <v>4073200</v>
      </c>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row>
    <row r="399" spans="1:30" ht="13.5" customHeight="1" x14ac:dyDescent="0.25">
      <c r="A399" s="10"/>
      <c r="B399" s="9"/>
      <c r="C399" s="923">
        <v>45797</v>
      </c>
      <c r="D399" s="918">
        <v>296.17</v>
      </c>
      <c r="E399" s="783">
        <v>3879100</v>
      </c>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row>
    <row r="400" spans="1:30" ht="13.5" customHeight="1" x14ac:dyDescent="0.25">
      <c r="A400" s="10"/>
      <c r="B400" s="9"/>
      <c r="C400" s="922">
        <v>45796</v>
      </c>
      <c r="D400" s="919">
        <v>299.3</v>
      </c>
      <c r="E400" s="783">
        <v>3631600</v>
      </c>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row>
    <row r="401" spans="1:30" ht="13.5" customHeight="1" x14ac:dyDescent="0.25">
      <c r="A401" s="10"/>
      <c r="B401" s="9"/>
      <c r="C401" s="923">
        <v>45793</v>
      </c>
      <c r="D401" s="918">
        <v>299.72000000000003</v>
      </c>
      <c r="E401" s="783">
        <v>3474800</v>
      </c>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row>
    <row r="402" spans="1:30" ht="13.5" customHeight="1" x14ac:dyDescent="0.25">
      <c r="A402" s="10"/>
      <c r="B402" s="9"/>
      <c r="C402" s="922">
        <v>45792</v>
      </c>
      <c r="D402" s="919">
        <v>299.55</v>
      </c>
      <c r="E402" s="783">
        <v>2987800</v>
      </c>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row>
    <row r="403" spans="1:30" ht="13.5" customHeight="1" x14ac:dyDescent="0.25">
      <c r="A403" s="10"/>
      <c r="B403" s="9"/>
      <c r="C403" s="923">
        <v>45791</v>
      </c>
      <c r="D403" s="918">
        <v>300.10000000000002</v>
      </c>
      <c r="E403" s="783">
        <v>3377900</v>
      </c>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row>
    <row r="404" spans="1:30" ht="13.5" customHeight="1" x14ac:dyDescent="0.25">
      <c r="A404" s="10"/>
      <c r="B404" s="9"/>
      <c r="C404" s="922">
        <v>45790</v>
      </c>
      <c r="D404" s="919">
        <v>302.3</v>
      </c>
      <c r="E404" s="783">
        <v>4593700</v>
      </c>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row>
    <row r="405" spans="1:30" ht="13.5" customHeight="1" x14ac:dyDescent="0.25">
      <c r="A405" s="10"/>
      <c r="B405" s="9"/>
      <c r="C405" s="923">
        <v>45789</v>
      </c>
      <c r="D405" s="918">
        <v>298.92</v>
      </c>
      <c r="E405" s="783">
        <v>3105700</v>
      </c>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row>
    <row r="406" spans="1:30" ht="13.5" customHeight="1" x14ac:dyDescent="0.25">
      <c r="A406" s="10"/>
      <c r="B406" s="9"/>
      <c r="C406" s="922">
        <v>45786</v>
      </c>
      <c r="D406" s="919">
        <v>284.51</v>
      </c>
      <c r="E406" s="783">
        <v>2587400</v>
      </c>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row>
    <row r="407" spans="1:30" ht="13.5" customHeight="1" x14ac:dyDescent="0.25">
      <c r="A407" s="10"/>
      <c r="B407" s="9"/>
      <c r="C407" s="923">
        <v>45785</v>
      </c>
      <c r="D407" s="918">
        <v>283.66000000000003</v>
      </c>
      <c r="E407" s="783">
        <v>2765600</v>
      </c>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row>
    <row r="408" spans="1:30" ht="13.5" customHeight="1" x14ac:dyDescent="0.25">
      <c r="A408" s="10"/>
      <c r="B408" s="9"/>
      <c r="C408" s="922">
        <v>45784</v>
      </c>
      <c r="D408" s="919">
        <v>276.24</v>
      </c>
      <c r="E408" s="783">
        <v>2437400</v>
      </c>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row>
    <row r="409" spans="1:30" ht="13.5" customHeight="1" x14ac:dyDescent="0.25">
      <c r="A409" s="10"/>
      <c r="B409" s="9"/>
      <c r="C409" s="923">
        <v>45783</v>
      </c>
      <c r="D409" s="918">
        <v>275.37</v>
      </c>
      <c r="E409" s="783">
        <v>2026600</v>
      </c>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row>
    <row r="410" spans="1:30" ht="13.5" customHeight="1" x14ac:dyDescent="0.25">
      <c r="A410" s="10"/>
      <c r="B410" s="9"/>
      <c r="C410" s="922">
        <v>45782</v>
      </c>
      <c r="D410" s="919">
        <v>278.02999999999997</v>
      </c>
      <c r="E410" s="783">
        <v>2677200</v>
      </c>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row>
    <row r="411" spans="1:30" ht="13.5" customHeight="1" x14ac:dyDescent="0.25">
      <c r="A411" s="10"/>
      <c r="B411" s="9"/>
      <c r="C411" s="923">
        <v>45779</v>
      </c>
      <c r="D411" s="918">
        <v>276.85000000000002</v>
      </c>
      <c r="E411" s="783">
        <v>4198600</v>
      </c>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row>
    <row r="412" spans="1:30" ht="13.5" customHeight="1" x14ac:dyDescent="0.25">
      <c r="A412" s="10"/>
      <c r="B412" s="9"/>
      <c r="C412" s="922">
        <v>45778</v>
      </c>
      <c r="D412" s="919">
        <v>268.54000000000002</v>
      </c>
      <c r="E412" s="783">
        <v>2212000</v>
      </c>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row>
    <row r="413" spans="1:30" ht="13.5" customHeight="1" x14ac:dyDescent="0.25">
      <c r="A413" s="10"/>
      <c r="B413" s="9"/>
      <c r="C413" s="923">
        <v>45777</v>
      </c>
      <c r="D413" s="918">
        <v>266.41000000000003</v>
      </c>
      <c r="E413" s="783">
        <v>2815700</v>
      </c>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row>
    <row r="414" spans="1:30" ht="13.5" customHeight="1" x14ac:dyDescent="0.25">
      <c r="A414" s="10"/>
      <c r="B414" s="9"/>
      <c r="C414" s="922">
        <v>45776</v>
      </c>
      <c r="D414" s="919">
        <v>267.02</v>
      </c>
      <c r="E414" s="783">
        <v>2828600</v>
      </c>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row>
    <row r="415" spans="1:30" ht="13.5" customHeight="1" x14ac:dyDescent="0.25">
      <c r="A415" s="10"/>
      <c r="B415" s="9"/>
      <c r="C415" s="923">
        <v>45775</v>
      </c>
      <c r="D415" s="918">
        <v>264.95</v>
      </c>
      <c r="E415" s="783">
        <v>3888600</v>
      </c>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row>
    <row r="416" spans="1:30" ht="13.5" customHeight="1" x14ac:dyDescent="0.25">
      <c r="A416" s="10"/>
      <c r="B416" s="9"/>
      <c r="C416" s="922">
        <v>45772</v>
      </c>
      <c r="D416" s="919">
        <v>264.81</v>
      </c>
      <c r="E416" s="783">
        <v>3245500</v>
      </c>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row>
    <row r="417" spans="1:30" ht="13.5" customHeight="1" x14ac:dyDescent="0.25">
      <c r="A417" s="10"/>
      <c r="B417" s="9"/>
      <c r="C417" s="923">
        <v>45771</v>
      </c>
      <c r="D417" s="918">
        <v>267.32</v>
      </c>
      <c r="E417" s="783">
        <v>3526300</v>
      </c>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row>
    <row r="418" spans="1:30" ht="13.5" customHeight="1" x14ac:dyDescent="0.25">
      <c r="A418" s="10"/>
      <c r="B418" s="9"/>
      <c r="C418" s="922">
        <v>45770</v>
      </c>
      <c r="D418" s="919">
        <v>260.14</v>
      </c>
      <c r="E418" s="783">
        <v>3929500</v>
      </c>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row>
    <row r="419" spans="1:30" ht="13.5" customHeight="1" x14ac:dyDescent="0.25">
      <c r="A419" s="10"/>
      <c r="B419" s="9"/>
      <c r="C419" s="923">
        <v>45769</v>
      </c>
      <c r="D419" s="918">
        <v>252.42</v>
      </c>
      <c r="E419" s="783">
        <v>5484700</v>
      </c>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row>
    <row r="420" spans="1:30" ht="13.5" customHeight="1" x14ac:dyDescent="0.25">
      <c r="A420" s="10"/>
      <c r="B420" s="9"/>
      <c r="C420" s="922">
        <v>45768</v>
      </c>
      <c r="D420" s="919">
        <v>242.51</v>
      </c>
      <c r="E420" s="783">
        <v>3717800</v>
      </c>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row>
    <row r="421" spans="1:30" ht="13.5" customHeight="1" x14ac:dyDescent="0.25">
      <c r="A421" s="10"/>
      <c r="B421" s="9"/>
      <c r="C421" s="923">
        <v>45764</v>
      </c>
      <c r="D421" s="918">
        <v>251.31</v>
      </c>
      <c r="E421" s="783">
        <v>3814700</v>
      </c>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row>
    <row r="422" spans="1:30" ht="13.5" customHeight="1" x14ac:dyDescent="0.25">
      <c r="A422" s="10"/>
      <c r="B422" s="9"/>
      <c r="C422" s="922">
        <v>45763</v>
      </c>
      <c r="D422" s="919">
        <v>252.92</v>
      </c>
      <c r="E422" s="783">
        <v>3998100</v>
      </c>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row>
    <row r="423" spans="1:30" ht="13.5" customHeight="1" x14ac:dyDescent="0.25">
      <c r="A423" s="10"/>
      <c r="B423" s="9"/>
      <c r="C423" s="923">
        <v>45762</v>
      </c>
      <c r="D423" s="918">
        <v>257.86</v>
      </c>
      <c r="E423" s="783">
        <v>3583300</v>
      </c>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row>
    <row r="424" spans="1:30" ht="13.5" customHeight="1" x14ac:dyDescent="0.25">
      <c r="A424" s="10"/>
      <c r="B424" s="9"/>
      <c r="C424" s="922">
        <v>45761</v>
      </c>
      <c r="D424" s="919">
        <v>255.38</v>
      </c>
      <c r="E424" s="783">
        <v>4870800</v>
      </c>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row>
    <row r="425" spans="1:30" ht="13.5" customHeight="1" x14ac:dyDescent="0.25">
      <c r="A425" s="10"/>
      <c r="B425" s="9"/>
      <c r="C425" s="923">
        <v>45758</v>
      </c>
      <c r="D425" s="918">
        <v>251.13</v>
      </c>
      <c r="E425" s="783">
        <v>4129200</v>
      </c>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row>
    <row r="426" spans="1:30" ht="13.5" customHeight="1" x14ac:dyDescent="0.25">
      <c r="A426" s="10"/>
      <c r="B426" s="9"/>
      <c r="C426" s="922">
        <v>45757</v>
      </c>
      <c r="D426" s="919">
        <v>246.89</v>
      </c>
      <c r="E426" s="783">
        <v>4382600</v>
      </c>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row>
    <row r="427" spans="1:30" ht="13.5" customHeight="1" x14ac:dyDescent="0.25">
      <c r="A427" s="10"/>
      <c r="B427" s="9"/>
      <c r="C427" s="923">
        <v>45756</v>
      </c>
      <c r="D427" s="918">
        <v>262.36</v>
      </c>
      <c r="E427" s="783">
        <v>4892800</v>
      </c>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row>
    <row r="428" spans="1:30" ht="13.5" customHeight="1" x14ac:dyDescent="0.25">
      <c r="A428" s="10"/>
      <c r="B428" s="9"/>
      <c r="C428" s="922">
        <v>45755</v>
      </c>
      <c r="D428" s="919">
        <v>231.39</v>
      </c>
      <c r="E428" s="783">
        <v>6303800</v>
      </c>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row>
    <row r="429" spans="1:30" ht="13.5" customHeight="1" x14ac:dyDescent="0.25">
      <c r="A429" s="10"/>
      <c r="B429" s="9"/>
      <c r="C429" s="923">
        <v>45754</v>
      </c>
      <c r="D429" s="918">
        <v>234.28</v>
      </c>
      <c r="E429" s="783">
        <v>5734400</v>
      </c>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row>
    <row r="430" spans="1:30" ht="13.5" customHeight="1" x14ac:dyDescent="0.25">
      <c r="A430" s="10"/>
      <c r="B430" s="9"/>
      <c r="C430" s="922">
        <v>45751</v>
      </c>
      <c r="D430" s="919">
        <v>233.68</v>
      </c>
      <c r="E430" s="783">
        <v>4262700</v>
      </c>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row>
    <row r="431" spans="1:30" ht="13.5" customHeight="1" x14ac:dyDescent="0.25">
      <c r="A431" s="10"/>
      <c r="B431" s="9"/>
      <c r="C431" s="923">
        <v>45750</v>
      </c>
      <c r="D431" s="918">
        <v>247.82</v>
      </c>
      <c r="E431" s="783">
        <v>4284400</v>
      </c>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row>
    <row r="432" spans="1:30" ht="13.5" customHeight="1" x14ac:dyDescent="0.25">
      <c r="A432" s="10"/>
      <c r="B432" s="9"/>
      <c r="C432" s="922"/>
      <c r="D432" s="789"/>
      <c r="E432" s="783"/>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row>
    <row r="433" spans="1:30" ht="13.5" customHeight="1" x14ac:dyDescent="0.25">
      <c r="A433" s="10"/>
      <c r="B433" s="9"/>
      <c r="C433" s="923"/>
      <c r="D433" s="789"/>
      <c r="E433" s="783"/>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row>
    <row r="434" spans="1:30" ht="13.5" customHeight="1" x14ac:dyDescent="0.25">
      <c r="A434" s="10"/>
      <c r="B434" s="9"/>
      <c r="C434" s="923"/>
      <c r="D434" s="789"/>
      <c r="E434" s="783"/>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row>
    <row r="435" spans="1:30" ht="13.5" customHeight="1" x14ac:dyDescent="0.25">
      <c r="A435" s="10"/>
      <c r="B435" s="9"/>
      <c r="C435" s="788"/>
      <c r="D435" s="789"/>
      <c r="E435" s="783"/>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row>
    <row r="436" spans="1:30" ht="13.5" customHeight="1" x14ac:dyDescent="0.25">
      <c r="A436" s="10"/>
      <c r="B436" s="9"/>
      <c r="C436" s="788"/>
      <c r="D436" s="789"/>
      <c r="E436" s="783"/>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row>
    <row r="437" spans="1:30" ht="13.5" customHeight="1" x14ac:dyDescent="0.25">
      <c r="A437" s="10"/>
      <c r="B437" s="9"/>
      <c r="C437" s="788"/>
      <c r="D437" s="789"/>
      <c r="E437" s="783"/>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row>
    <row r="438" spans="1:30" ht="13.5" customHeight="1" x14ac:dyDescent="0.25">
      <c r="A438" s="10"/>
      <c r="B438" s="9"/>
      <c r="C438" s="788"/>
      <c r="D438" s="789"/>
      <c r="E438" s="783"/>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row>
    <row r="439" spans="1:30" ht="13.5" customHeight="1" x14ac:dyDescent="0.25">
      <c r="A439" s="10"/>
      <c r="B439" s="9"/>
      <c r="C439" s="788"/>
      <c r="D439" s="789"/>
      <c r="E439" s="783"/>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row>
    <row r="440" spans="1:30" ht="13.5" customHeight="1" x14ac:dyDescent="0.25">
      <c r="A440" s="10"/>
      <c r="B440" s="9"/>
      <c r="C440" s="788"/>
      <c r="D440" s="789"/>
      <c r="E440" s="783"/>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row>
    <row r="441" spans="1:30" ht="13.5" customHeight="1" x14ac:dyDescent="0.25">
      <c r="A441" s="10"/>
      <c r="B441" s="9"/>
      <c r="C441" s="788"/>
      <c r="D441" s="789"/>
      <c r="E441" s="783"/>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row>
    <row r="442" spans="1:30" ht="13.5" customHeight="1" x14ac:dyDescent="0.25">
      <c r="A442" s="10"/>
      <c r="B442" s="9"/>
      <c r="C442" s="788"/>
      <c r="D442" s="789"/>
      <c r="E442" s="783"/>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row>
    <row r="443" spans="1:30" ht="13.5" customHeight="1" x14ac:dyDescent="0.25">
      <c r="A443" s="10"/>
      <c r="B443" s="9"/>
      <c r="C443" s="788"/>
      <c r="D443" s="789"/>
      <c r="E443" s="783"/>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row>
    <row r="444" spans="1:30" ht="13.5" customHeight="1" x14ac:dyDescent="0.25">
      <c r="A444" s="10"/>
      <c r="B444" s="9"/>
      <c r="C444" s="788"/>
      <c r="D444" s="789"/>
      <c r="E444" s="783"/>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row>
    <row r="445" spans="1:30" ht="13.5" customHeight="1" x14ac:dyDescent="0.25">
      <c r="A445" s="10"/>
      <c r="B445" s="9"/>
      <c r="C445" s="788"/>
      <c r="D445" s="789"/>
      <c r="E445" s="783"/>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row>
    <row r="446" spans="1:30" ht="13.5" customHeight="1" x14ac:dyDescent="0.25">
      <c r="A446" s="10"/>
      <c r="B446" s="9"/>
      <c r="C446" s="788"/>
      <c r="D446" s="789"/>
      <c r="E446" s="783"/>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row>
    <row r="447" spans="1:30" ht="13.5" customHeight="1" x14ac:dyDescent="0.25">
      <c r="A447" s="10"/>
      <c r="B447" s="9"/>
      <c r="C447" s="788"/>
      <c r="D447" s="789"/>
      <c r="E447" s="783"/>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row>
    <row r="448" spans="1:30" ht="13.5" customHeight="1" x14ac:dyDescent="0.25">
      <c r="A448" s="10"/>
      <c r="B448" s="9"/>
      <c r="C448" s="788"/>
      <c r="D448" s="789"/>
      <c r="E448" s="783"/>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row>
    <row r="449" spans="1:30" ht="13.5" customHeight="1" x14ac:dyDescent="0.25">
      <c r="A449" s="10" t="s">
        <v>0</v>
      </c>
      <c r="B449" s="9"/>
      <c r="C449" s="9"/>
      <c r="D449" s="9"/>
      <c r="E449" s="9"/>
      <c r="F449" s="9"/>
      <c r="G449" s="9"/>
      <c r="H449" s="9"/>
      <c r="I449" s="9"/>
      <c r="J449" s="9"/>
      <c r="K449" s="9"/>
      <c r="L449" s="9"/>
      <c r="M449" s="9"/>
      <c r="N449" s="9"/>
      <c r="O449" s="9"/>
      <c r="P449" s="9"/>
      <c r="Q449" s="9"/>
      <c r="R449" s="9"/>
      <c r="S449" s="9" t="s">
        <v>0</v>
      </c>
      <c r="T449" s="9"/>
      <c r="U449" s="9"/>
      <c r="V449" s="9"/>
      <c r="W449" s="9"/>
      <c r="X449" s="9"/>
      <c r="Y449" s="9"/>
      <c r="Z449" s="9"/>
      <c r="AA449" s="9"/>
      <c r="AB449" s="9"/>
      <c r="AC449" s="9"/>
      <c r="AD449" s="9"/>
    </row>
    <row r="450" spans="1:30" ht="13.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spans="1:30" ht="13.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spans="1:30" ht="13.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spans="1:30" ht="13.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spans="1:30" ht="13.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spans="1:30" ht="13.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spans="1:30" ht="13.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spans="1:30" ht="13.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spans="1:30" ht="13.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spans="1:30" ht="13.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spans="1:30" ht="13.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spans="1:30" ht="13.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spans="1:30" ht="13.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spans="1:30" ht="13.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spans="1:30" ht="13.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spans="1:30" ht="13.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spans="1:30" ht="13.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spans="1:30" ht="13.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spans="1:30" ht="13.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spans="1:30" ht="13.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spans="1:30" ht="13.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spans="1:30" ht="13.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spans="1:30" ht="13.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spans="1:30" ht="13.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spans="1:30" ht="13.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spans="1:30" ht="13.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spans="1:30" ht="13.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spans="1:30" ht="13.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spans="1:30" ht="13.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spans="1:30" ht="13.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spans="1:30" ht="13.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spans="1:30" ht="13.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spans="1:30" ht="13.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spans="1:30" ht="13.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spans="1:30" ht="13.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spans="1:30" ht="13.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spans="1:30" ht="13.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spans="1:30" ht="13.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spans="1:30" ht="13.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spans="1:30" ht="13.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spans="1:30" ht="13.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spans="1:30" ht="13.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spans="1:30" ht="13.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spans="1:30" ht="13.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spans="1:30" ht="13.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spans="1:30" ht="13.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spans="1:30" ht="13.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spans="1:30" ht="13.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spans="1:30" ht="13.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spans="1:30" ht="13.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spans="1:30" ht="13.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spans="1:30" ht="13.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spans="1:30" ht="13.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spans="1:30" ht="13.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spans="1:30" ht="13.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spans="1:30" ht="13.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spans="1:30" ht="13.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spans="1:30" ht="13.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spans="1:30" ht="13.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spans="1:30" ht="13.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spans="1:30" ht="13.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spans="1:30" ht="13.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spans="1:30" ht="13.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spans="1:30" ht="13.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spans="1:30" ht="13.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spans="1:30" ht="13.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spans="1:30" ht="13.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spans="1:30" ht="13.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spans="1:30" ht="13.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spans="1:30" ht="13.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spans="1:30" ht="13.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spans="1:30" ht="13.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spans="1:30" ht="13.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spans="1:30" ht="13.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spans="1:30" ht="13.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spans="1:30" ht="13.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spans="1:30" ht="13.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spans="1:30" ht="13.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spans="1:30" ht="13.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spans="1:30" ht="13.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spans="1:30" ht="13.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spans="1:30" ht="13.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spans="1:30" ht="13.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spans="1:30" ht="13.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spans="1:30" ht="13.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spans="1:30" ht="13.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spans="1:30" ht="13.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spans="1:30" ht="13.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spans="1:30" ht="13.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spans="1:30" ht="13.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spans="1:30" ht="13.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spans="1:30" ht="13.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spans="1:30" ht="13.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spans="1:30" ht="13.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spans="1:30" ht="13.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spans="1:30" ht="13.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spans="1:30" ht="13.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spans="1:30" ht="13.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spans="1:30" ht="13.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spans="1:30" ht="13.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spans="1:30" ht="13.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spans="1:30" ht="13.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spans="1:30" ht="13.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spans="1:30" ht="13.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spans="1:30" ht="13.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spans="1:30" ht="13.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spans="1:30" ht="13.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spans="1:30" ht="13.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spans="1:30" ht="13.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spans="1:30" ht="13.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spans="1:30" ht="13.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spans="1:30" ht="13.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spans="1:30" ht="13.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spans="1:30" ht="13.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spans="1:30" ht="13.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spans="1:30" ht="13.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spans="1:30" ht="13.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spans="1:30" ht="13.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spans="1:30" ht="13.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spans="1:30" ht="13.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spans="1:30" ht="13.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spans="1:30" ht="13.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spans="1:30" ht="13.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spans="1:30" ht="13.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spans="1:30" ht="13.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spans="1:30" ht="13.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spans="1:30" ht="13.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spans="1:30" ht="13.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spans="1:30" ht="13.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spans="1:30" ht="13.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spans="1:30" ht="13.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spans="1:30" ht="13.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spans="1:30" ht="13.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spans="1:30" ht="13.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spans="1:30" ht="13.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spans="1:30" ht="13.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spans="1:30" ht="13.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spans="1:30" ht="13.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spans="1:30" ht="13.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spans="1:30" ht="13.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spans="1:30" ht="13.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spans="1:30" ht="13.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spans="1:30" ht="13.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spans="1:30" ht="13.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spans="1:30" ht="13.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spans="1:30" ht="13.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spans="1:30" ht="13.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spans="1:30" ht="13.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spans="1:30" ht="13.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spans="1:30" ht="13.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spans="1:30" ht="13.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spans="1:30" ht="13.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spans="1:30" ht="13.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spans="1:30" ht="13.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spans="1:30" ht="13.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spans="1:30" ht="13.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spans="1:30" ht="13.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spans="1:30" ht="13.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spans="1:30" ht="13.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spans="1:30" ht="13.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spans="1:30" ht="13.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spans="1:30" ht="13.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spans="1:30" ht="13.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spans="1:30" ht="13.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spans="1:30" ht="13.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spans="1:30" ht="13.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spans="1:30" ht="13.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spans="1:30" ht="13.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spans="1:30" ht="13.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spans="1:30" ht="13.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spans="1:30" ht="13.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spans="1:30" ht="13.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spans="1:30" ht="13.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spans="1:30" ht="13.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spans="1:30" ht="13.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spans="1:30" ht="13.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spans="1:30" ht="13.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spans="1:30" ht="13.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spans="1:30" ht="13.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spans="1:30" ht="13.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spans="1:30" ht="13.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spans="1:30" ht="13.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spans="1:30" ht="13.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spans="1:30" ht="13.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spans="1:30" ht="13.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spans="1:30" ht="13.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spans="1:30" ht="13.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spans="1:30" ht="13.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spans="1:30" ht="13.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spans="1:30" ht="13.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spans="1:30" ht="13.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spans="1:30" ht="13.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spans="1:30" ht="13.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spans="1:30" ht="13.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spans="1:30" ht="13.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spans="1:30" ht="13.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spans="1:30" ht="13.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spans="1:30" ht="13.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spans="1:30" ht="13.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spans="1:30" ht="13.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spans="1:30" ht="13.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spans="1:30" ht="13.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spans="1:30" ht="13.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spans="1:30" ht="13.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spans="1:30" ht="13.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spans="1:30" ht="13.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spans="1:30" ht="13.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spans="1:30" ht="13.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spans="1:30" ht="13.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spans="1:30" ht="13.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spans="1:30" ht="13.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spans="1:30" ht="13.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spans="1:30" ht="13.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spans="1:30" ht="13.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spans="1:30" ht="13.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spans="1:30" ht="13.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spans="1:30" ht="13.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spans="1:30" ht="13.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spans="1:30" ht="13.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spans="1:30" ht="13.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spans="1:30" ht="13.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spans="1:30" ht="13.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spans="1:30" ht="13.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spans="1:30" ht="13.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spans="1:30" ht="13.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spans="1:30" ht="13.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spans="1:30" ht="13.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spans="1:30" ht="13.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spans="1:30" ht="13.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spans="1:30" ht="13.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spans="1:30" ht="13.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spans="1:30" ht="13.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spans="1:30" ht="13.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spans="1:30" ht="13.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spans="1:30" ht="13.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spans="1:30" ht="13.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spans="1:30" ht="13.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spans="1:30" ht="13.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spans="1:30" ht="13.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spans="1:30" ht="13.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spans="1:30" ht="13.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spans="1:30" ht="13.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spans="1:30" ht="13.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spans="1:30" ht="13.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spans="1:30" ht="13.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spans="1:30" ht="13.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spans="1:30" ht="13.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spans="1:30" ht="13.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spans="1:30" ht="13.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spans="1:30" ht="13.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spans="1:30" ht="13.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spans="1:30" ht="13.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spans="1:30" ht="13.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spans="1:30" ht="13.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spans="1:30" ht="13.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spans="1:30" ht="13.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spans="1:30" ht="13.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spans="1:30" ht="13.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spans="1:30" ht="13.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spans="1:30" ht="13.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spans="1:30" ht="13.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spans="1:30" ht="13.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spans="1:30" ht="13.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spans="1:30" ht="13.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spans="1:30" ht="13.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spans="1:30" ht="13.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spans="1:30" ht="13.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spans="1:30" ht="13.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spans="1:30" ht="13.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spans="1:30" ht="13.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spans="1:30" ht="13.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spans="1:30" ht="13.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spans="1:30" ht="13.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spans="1:30" ht="13.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spans="1:30" ht="13.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spans="1:30" ht="13.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spans="1:30" ht="13.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spans="1:30" ht="13.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spans="1:30" ht="13.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spans="1:30" ht="13.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spans="1:30" ht="13.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spans="1:30" ht="13.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spans="1:30" ht="13.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spans="1:30" ht="13.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spans="1:30" ht="13.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spans="1:30" ht="13.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spans="1:30" ht="13.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spans="1:30" ht="13.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spans="1:30" ht="13.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spans="1:30" ht="13.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spans="1:30" ht="13.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spans="1:30" ht="13.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spans="1:30" ht="13.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spans="1:30" ht="13.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spans="1:30" ht="13.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spans="1:30" ht="13.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spans="1:30" ht="13.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spans="1:30" ht="13.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spans="1:30" ht="13.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spans="1:30" ht="13.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spans="1:30" ht="13.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spans="1:30" ht="13.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spans="1:30" ht="13.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spans="1:30" ht="13.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spans="1:30" ht="13.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spans="1:30" ht="13.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spans="1:30" ht="13.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spans="1:30" ht="13.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spans="1:30" ht="13.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spans="1:30" ht="13.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spans="1:30" ht="13.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spans="1:30" ht="13.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spans="1:30" ht="13.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spans="1:30" ht="13.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spans="1:30" ht="13.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spans="1:30" ht="13.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spans="1:30" ht="13.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spans="1:30" ht="13.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spans="1:30" ht="13.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spans="1:30" ht="13.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spans="1:30" ht="13.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spans="1:30" ht="13.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spans="1:30" ht="13.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spans="1:30" ht="13.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spans="1:30" ht="13.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spans="1:30" ht="13.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spans="1:30" ht="13.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spans="1:30" ht="13.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spans="1:30" ht="13.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spans="1:30" ht="13.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spans="1:30" ht="13.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spans="1:30" ht="13.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spans="1:30" ht="13.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spans="1:30" ht="13.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spans="1:30" ht="13.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spans="1:30" ht="13.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spans="1:30" ht="13.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spans="1:30" ht="13.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spans="1:30" ht="13.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spans="1:30" ht="13.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spans="1:30" ht="13.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spans="1:30" ht="13.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spans="1:30" ht="13.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spans="1:30" ht="13.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spans="1:30" ht="13.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spans="1:30" ht="13.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spans="1:30" ht="13.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spans="1:30" ht="13.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spans="1:30" ht="13.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spans="1:30" ht="13.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spans="1:30" ht="13.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spans="1:30" ht="13.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spans="1:30" ht="13.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spans="1:30" ht="13.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spans="1:30" ht="13.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spans="1:30" ht="13.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spans="1:30" ht="13.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spans="1:30" ht="13.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spans="1:30" ht="13.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spans="1:30" ht="13.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spans="1:30" ht="13.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spans="1:30" ht="13.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spans="1:30" ht="13.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spans="1:30" ht="13.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spans="1:30" ht="13.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spans="1:30" ht="13.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spans="1:30" ht="13.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spans="1:30" ht="13.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spans="1:30" ht="13.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spans="1:30" ht="13.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spans="1:30" ht="13.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spans="1:30" ht="13.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spans="1:30" ht="13.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spans="1:30" ht="13.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spans="1:30" ht="13.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spans="1:30" ht="13.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spans="1:30" ht="13.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spans="1:30" ht="13.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spans="1:30" ht="13.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spans="1:30" ht="13.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spans="1:30" ht="13.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spans="1:30" ht="13.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spans="1:30" ht="13.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spans="1:30" ht="13.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spans="1:30" ht="13.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spans="1:30" ht="13.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spans="1:30" ht="13.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spans="1:30" ht="13.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spans="1:30" ht="13.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spans="1:30" ht="13.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spans="1:30" ht="13.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spans="1:30" ht="13.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spans="1:30" ht="13.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spans="1:30" ht="13.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spans="1:30" ht="13.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spans="1:30" ht="13.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spans="1:30" ht="13.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spans="1:30" ht="13.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spans="1:30" ht="13.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spans="1:30" ht="13.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spans="1:30" ht="13.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spans="1:30" ht="13.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spans="1:30" ht="13.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spans="1:30" ht="13.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spans="1:30" ht="13.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spans="1:30" ht="13.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spans="1:30" ht="13.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spans="1:30" ht="13.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spans="1:30" ht="13.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spans="1:30" ht="13.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spans="1:30" ht="13.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spans="1:30" ht="13.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spans="1:30" ht="13.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spans="1:30" ht="13.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spans="1:30" ht="13.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spans="1:30" ht="13.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spans="1:30" ht="13.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spans="1:30" ht="13.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spans="1:30" ht="13.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spans="1:30" ht="13.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spans="1:30" ht="13.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spans="1:30" ht="13.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spans="1:30" ht="13.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spans="1:30" ht="13.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spans="1:30" ht="13.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spans="1:30" ht="13.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spans="1:30" ht="13.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spans="1:30" ht="13.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spans="1:30" ht="13.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spans="1:30" ht="13.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spans="1:30" ht="13.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spans="1:30" ht="13.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spans="1:30" ht="13.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spans="1:30" ht="13.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spans="1:30" ht="13.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spans="1:30" ht="13.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spans="1:30" ht="13.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spans="1:30" ht="13.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spans="1:30" ht="13.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spans="1:30" ht="13.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spans="1:30" ht="13.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spans="1:30" ht="13.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spans="1:30" ht="13.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spans="1:30" ht="13.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spans="1:30" ht="13.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spans="1:30" ht="13.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spans="1:30" ht="13.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spans="1:30" ht="13.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spans="1:30" ht="13.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spans="1:30" ht="13.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spans="1:30" ht="13.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spans="1:30" ht="13.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spans="1:30" ht="13.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spans="1:30" ht="13.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spans="1:30" ht="13.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spans="1:30" ht="13.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spans="1:30" ht="13.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spans="1:30" ht="13.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spans="1:30" ht="13.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spans="1:30" ht="13.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spans="1:30" ht="13.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spans="1:30" ht="13.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spans="1:30" ht="13.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spans="1:30" ht="13.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spans="1:30" ht="13.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spans="1:30" ht="13.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spans="1:30" ht="13.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spans="1:30" ht="13.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spans="1:30" ht="13.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spans="1:30" ht="13.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spans="1:30" ht="13.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spans="1:30" ht="13.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spans="1:30" ht="13.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spans="1:30" ht="13.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spans="1:30" ht="13.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spans="1:30" ht="13.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spans="1:30" ht="13.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spans="1:30" ht="13.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spans="1:30" ht="13.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spans="1:30" ht="13.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spans="1:30" ht="13.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spans="1:30" ht="13.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spans="1:30" ht="13.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spans="1:30" ht="13.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spans="1:30" ht="13.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spans="1:30" ht="13.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spans="1:30" ht="13.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spans="1:30" ht="13.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spans="1:30" ht="13.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spans="1:30" ht="13.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spans="1:30" ht="13.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spans="1:30" ht="13.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spans="1:30" ht="13.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spans="1:30" ht="13.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spans="1:30" ht="13.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spans="1:30" ht="13.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spans="1:30" ht="13.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spans="1:30" ht="13.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spans="1:30" ht="13.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spans="1:30" ht="13.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spans="1:30" ht="13.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spans="1:30" ht="13.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spans="1:30" ht="13.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spans="1:30" ht="13.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spans="1:30" ht="13.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spans="1:30" ht="13.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spans="1:30" ht="13.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spans="1:30" ht="13.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spans="1:30" ht="13.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spans="1:30" ht="13.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spans="1:30" ht="13.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spans="1:30" ht="13.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spans="1:30" ht="13.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spans="1:30" ht="13.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spans="1:30" ht="13.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spans="1:30" ht="13.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spans="1:30" ht="13.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spans="1:30" ht="13.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spans="1:30" ht="13.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spans="1:30" ht="13.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spans="1:30" ht="13.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spans="1:30" ht="13.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spans="1:30" ht="13.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spans="1:30" ht="13.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spans="1:30" ht="13.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spans="1:30" ht="13.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spans="1:30" ht="13.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spans="1:30" ht="13.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spans="1:30" ht="13.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spans="1:30" ht="13.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spans="1:30" ht="13.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spans="1:30" ht="13.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spans="1:30" ht="13.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spans="1:30" ht="13.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spans="1:30" ht="13.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spans="1:30" ht="13.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spans="1:30" ht="13.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spans="1:30" ht="13.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spans="1:30" ht="13.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spans="1:30" ht="13.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spans="1:30" ht="13.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spans="1:30" ht="13.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spans="1:30" ht="13.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spans="1:30" ht="13.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spans="1:30" ht="13.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spans="1:30" ht="13.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spans="1:30" ht="13.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spans="1:30" ht="13.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spans="1:30" ht="13.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spans="1:30" ht="13.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spans="1:30" ht="13.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row r="1001" spans="1:30" ht="13.5" customHeight="1" x14ac:dyDescent="0.2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row>
  </sheetData>
  <mergeCells count="2">
    <mergeCell ref="F178:H178"/>
    <mergeCell ref="N179:P179"/>
  </mergeCells>
  <pageMargins left="0.7" right="0.7" top="0.75" bottom="0.75" header="0" footer="0"/>
  <pageSetup orientation="portrait" r:id="rId1"/>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F7F7F"/>
  </sheetPr>
  <dimension ref="A1:Z1000"/>
  <sheetViews>
    <sheetView showGridLines="0" zoomScale="80" zoomScaleNormal="80" workbookViewId="0">
      <pane ySplit="2" topLeftCell="A3" activePane="bottomLeft" state="frozen"/>
      <selection pane="bottomLeft"/>
    </sheetView>
  </sheetViews>
  <sheetFormatPr defaultColWidth="14.42578125" defaultRowHeight="15" customHeight="1" x14ac:dyDescent="0.25"/>
  <cols>
    <col min="1" max="2" width="1.7109375" customWidth="1"/>
    <col min="3" max="17" width="10.5703125" customWidth="1"/>
    <col min="18" max="18" width="2.5703125" customWidth="1"/>
    <col min="19" max="26" width="8.7109375" customWidth="1"/>
  </cols>
  <sheetData>
    <row r="1" spans="1:26" ht="13.5" customHeight="1" x14ac:dyDescent="0.35">
      <c r="A1" s="4"/>
      <c r="B1" s="4"/>
      <c r="C1" s="5" t="str">
        <f ca="1">Company_Name&amp;" - "&amp;MID(CELL("filename",A1),FIND("]",CELL("filename",A1))+1,255)&amp;": "&amp;Case_Scenario&amp;" Case"</f>
        <v>American Express Company - Benchmark: Base Case</v>
      </c>
      <c r="D1" s="4"/>
      <c r="E1" s="4"/>
      <c r="F1" s="4"/>
      <c r="G1" s="4"/>
      <c r="H1" s="4"/>
      <c r="I1" s="4"/>
      <c r="J1" s="4"/>
      <c r="K1" s="4"/>
      <c r="L1" s="4"/>
      <c r="M1" s="4"/>
      <c r="N1" s="4"/>
      <c r="O1" s="4"/>
      <c r="P1" s="4"/>
      <c r="Q1" s="4"/>
      <c r="R1" s="4"/>
      <c r="S1" s="4"/>
      <c r="T1" s="4"/>
      <c r="U1" s="4"/>
      <c r="V1" s="4"/>
      <c r="W1" s="4"/>
      <c r="X1" s="4"/>
      <c r="Y1" s="4"/>
      <c r="Z1" s="4"/>
    </row>
    <row r="2" spans="1:26" ht="13.5" customHeight="1" x14ac:dyDescent="0.25">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row>
    <row r="3" spans="1:26" ht="13.5" customHeight="1" x14ac:dyDescent="0.25">
      <c r="A3" s="3"/>
      <c r="B3" s="9"/>
      <c r="C3" s="243"/>
      <c r="D3" s="9"/>
      <c r="E3" s="9"/>
      <c r="F3" s="9"/>
      <c r="G3" s="9"/>
      <c r="H3" s="9"/>
      <c r="I3" s="9"/>
      <c r="J3" s="9"/>
      <c r="K3" s="9"/>
      <c r="L3" s="9"/>
      <c r="M3" s="9"/>
      <c r="N3" s="9"/>
      <c r="O3" s="9"/>
      <c r="P3" s="9"/>
      <c r="Q3" s="9"/>
      <c r="R3" s="9"/>
      <c r="S3" s="9"/>
      <c r="T3" s="9"/>
      <c r="U3" s="9"/>
      <c r="V3" s="9"/>
      <c r="W3" s="9"/>
      <c r="X3" s="9"/>
      <c r="Y3" s="9"/>
      <c r="Z3" s="9"/>
    </row>
    <row r="4" spans="1:26" ht="13.5" customHeight="1" x14ac:dyDescent="0.25">
      <c r="A4" s="10"/>
      <c r="B4" s="9"/>
      <c r="C4" s="137" t="s">
        <v>798</v>
      </c>
      <c r="D4" s="96"/>
      <c r="E4" s="790">
        <f>EDATE(E5,-12)</f>
        <v>45782</v>
      </c>
      <c r="F4" s="9"/>
      <c r="G4" s="64"/>
      <c r="H4" s="64"/>
      <c r="I4" s="64"/>
      <c r="J4" s="64"/>
      <c r="K4" s="64"/>
      <c r="L4" s="64"/>
      <c r="M4" s="9"/>
      <c r="N4" s="9"/>
      <c r="O4" s="9"/>
      <c r="P4" s="9"/>
      <c r="Q4" s="9"/>
      <c r="R4" s="9"/>
      <c r="S4" s="9"/>
      <c r="T4" s="9"/>
      <c r="U4" s="9"/>
      <c r="V4" s="9"/>
      <c r="W4" s="9"/>
      <c r="X4" s="9"/>
      <c r="Y4" s="9"/>
      <c r="Z4" s="9"/>
    </row>
    <row r="5" spans="1:26" ht="13.5" customHeight="1" x14ac:dyDescent="0.25">
      <c r="A5" s="10"/>
      <c r="B5" s="9"/>
      <c r="C5" s="135" t="s">
        <v>799</v>
      </c>
      <c r="D5" s="9"/>
      <c r="E5" s="791">
        <f>Current_Date</f>
        <v>46147</v>
      </c>
      <c r="F5" s="9"/>
      <c r="G5" s="749" t="str">
        <f>Comparables!F10</f>
        <v>AXP</v>
      </c>
      <c r="H5" s="749" t="str">
        <f>Comparables!F12</f>
        <v>V</v>
      </c>
      <c r="I5" s="749" t="str">
        <f>Comparables!F13</f>
        <v>MA</v>
      </c>
      <c r="J5" s="749" t="str">
        <f>Comparables!F14</f>
        <v>COF</v>
      </c>
      <c r="K5" s="749" t="str">
        <f>Comparables!F15</f>
        <v>JPM</v>
      </c>
      <c r="L5" s="749" t="s">
        <v>1155</v>
      </c>
      <c r="M5" s="9"/>
      <c r="N5" s="9"/>
      <c r="O5" s="9"/>
      <c r="P5" s="9"/>
      <c r="Q5" s="9"/>
      <c r="R5" s="9"/>
      <c r="S5" s="9"/>
      <c r="T5" s="9"/>
      <c r="U5" s="9"/>
      <c r="V5" s="9"/>
      <c r="W5" s="9"/>
      <c r="X5" s="9"/>
      <c r="Y5" s="9"/>
      <c r="Z5" s="9"/>
    </row>
    <row r="6" spans="1:26" ht="13.5" customHeight="1" x14ac:dyDescent="0.25">
      <c r="A6" s="10"/>
      <c r="B6" s="9"/>
      <c r="C6" s="139" t="s">
        <v>800</v>
      </c>
      <c r="D6" s="95"/>
      <c r="E6" s="792">
        <f>EDATE(E5,24)</f>
        <v>46878</v>
      </c>
      <c r="F6" s="9"/>
      <c r="G6" s="9"/>
      <c r="H6" s="9"/>
      <c r="I6" s="9"/>
      <c r="J6" s="9"/>
      <c r="K6" s="9"/>
      <c r="L6" s="9"/>
      <c r="M6" s="9"/>
      <c r="N6" s="9"/>
      <c r="O6" s="9"/>
      <c r="P6" s="9"/>
      <c r="Q6" s="9"/>
      <c r="R6" s="9"/>
      <c r="S6" s="9"/>
      <c r="T6" s="9"/>
      <c r="U6" s="9"/>
      <c r="V6" s="9"/>
      <c r="W6" s="9"/>
      <c r="X6" s="9"/>
      <c r="Y6" s="9"/>
      <c r="Z6" s="9"/>
    </row>
    <row r="7" spans="1:26" ht="13.5" customHeight="1" x14ac:dyDescent="0.25">
      <c r="A7" s="10"/>
      <c r="B7" s="9"/>
      <c r="C7" s="9"/>
      <c r="D7" s="9"/>
      <c r="E7" s="9"/>
      <c r="F7" s="9"/>
      <c r="G7" s="9"/>
      <c r="H7" s="9"/>
      <c r="I7" s="9"/>
      <c r="J7" s="9"/>
      <c r="K7" s="9"/>
      <c r="L7" s="9"/>
      <c r="M7" s="9"/>
      <c r="N7" s="9"/>
      <c r="O7" s="9"/>
      <c r="P7" s="9"/>
      <c r="Q7" s="9"/>
      <c r="R7" s="9"/>
      <c r="S7" s="9"/>
      <c r="T7" s="9"/>
      <c r="U7" s="9"/>
      <c r="V7" s="9"/>
      <c r="W7" s="9"/>
      <c r="X7" s="9"/>
      <c r="Y7" s="9"/>
      <c r="Z7" s="9"/>
    </row>
    <row r="8" spans="1:26" ht="13.5" customHeight="1" x14ac:dyDescent="0.25">
      <c r="A8" s="10" t="s">
        <v>0</v>
      </c>
      <c r="B8" s="9"/>
      <c r="C8" s="932" t="str">
        <f>"Revenue Growth "&amp;TEXT(E5,"yyyy")&amp;"e"</f>
        <v>Revenue Growth 2026e</v>
      </c>
      <c r="D8" s="933"/>
      <c r="E8" s="933"/>
      <c r="F8" s="933"/>
      <c r="G8" s="933"/>
      <c r="H8" s="933"/>
      <c r="I8" s="933"/>
      <c r="J8" s="933"/>
      <c r="K8" s="933"/>
      <c r="L8" s="933"/>
      <c r="M8" s="933"/>
      <c r="N8" s="933"/>
      <c r="O8" s="933"/>
      <c r="P8" s="933"/>
      <c r="Q8" s="933"/>
      <c r="R8" s="1003"/>
      <c r="S8" s="9"/>
      <c r="T8" s="9"/>
      <c r="U8" s="9"/>
      <c r="V8" s="9"/>
      <c r="W8" s="9"/>
      <c r="X8" s="9"/>
      <c r="Y8" s="9"/>
      <c r="Z8" s="9"/>
    </row>
    <row r="9" spans="1:26" ht="13.5" customHeight="1" x14ac:dyDescent="0.25">
      <c r="A9" s="10"/>
      <c r="B9" s="9"/>
      <c r="C9" s="9"/>
      <c r="D9" s="9"/>
      <c r="E9" s="9"/>
      <c r="F9" s="9"/>
      <c r="G9" s="9"/>
      <c r="H9" s="9"/>
      <c r="I9" s="9"/>
      <c r="J9" s="9"/>
      <c r="K9" s="9"/>
      <c r="L9" s="9"/>
      <c r="M9" s="9"/>
      <c r="N9" s="9"/>
      <c r="O9" s="9"/>
      <c r="P9" s="9"/>
      <c r="Q9" s="9"/>
      <c r="R9" s="9"/>
      <c r="S9" s="9"/>
      <c r="T9" s="9"/>
      <c r="U9" s="9"/>
      <c r="V9" s="9"/>
      <c r="W9" s="9"/>
      <c r="X9" s="9"/>
      <c r="Y9" s="9"/>
      <c r="Z9" s="9"/>
    </row>
    <row r="10" spans="1:26" ht="13.5" customHeight="1" x14ac:dyDescent="0.25">
      <c r="A10" s="10"/>
      <c r="B10" s="9"/>
      <c r="C10" s="1007" t="s">
        <v>801</v>
      </c>
      <c r="D10" s="954"/>
      <c r="E10" s="955"/>
      <c r="F10" s="37"/>
      <c r="G10" s="9"/>
      <c r="H10" s="9"/>
      <c r="I10" s="9"/>
      <c r="J10" s="9"/>
      <c r="K10" s="9"/>
      <c r="L10" s="9"/>
      <c r="M10" s="9"/>
      <c r="N10" s="9"/>
      <c r="O10" s="1007" t="s">
        <v>802</v>
      </c>
      <c r="P10" s="954"/>
      <c r="Q10" s="955"/>
      <c r="R10" s="9"/>
      <c r="S10" s="9"/>
      <c r="T10" s="9"/>
      <c r="U10" s="9"/>
      <c r="V10" s="9"/>
      <c r="W10" s="9"/>
      <c r="X10" s="9"/>
      <c r="Y10" s="9"/>
      <c r="Z10" s="9"/>
    </row>
    <row r="11" spans="1:26" ht="13.5" customHeight="1" x14ac:dyDescent="0.25">
      <c r="A11" s="10"/>
      <c r="B11" s="9"/>
      <c r="C11" s="9"/>
      <c r="D11" s="9"/>
      <c r="E11" s="9"/>
      <c r="F11" s="9"/>
      <c r="G11" s="9"/>
      <c r="H11" s="9"/>
      <c r="I11" s="9"/>
      <c r="J11" s="9"/>
      <c r="K11" s="9"/>
      <c r="L11" s="9"/>
      <c r="M11" s="9"/>
      <c r="N11" s="9"/>
      <c r="O11" s="9"/>
      <c r="P11" s="9"/>
      <c r="Q11" s="9"/>
      <c r="R11" s="9"/>
      <c r="S11" s="9"/>
      <c r="T11" s="9"/>
      <c r="U11" s="9"/>
      <c r="V11" s="9"/>
      <c r="W11" s="9"/>
      <c r="X11" s="9"/>
      <c r="Y11" s="9"/>
      <c r="Z11" s="9"/>
    </row>
    <row r="12" spans="1:26" ht="13.5" customHeight="1" x14ac:dyDescent="0.25">
      <c r="A12" s="10"/>
      <c r="B12" s="9"/>
      <c r="C12" s="793" t="str">
        <f t="array" ref="C12:C17">TRANSPOSE(G5:L5)</f>
        <v>AXP</v>
      </c>
      <c r="D12" s="794">
        <f>Comparables!J10</f>
        <v>0.17651237558419064</v>
      </c>
      <c r="E12" s="797">
        <f ca="1">MEDIAN(D12:D16)</f>
        <v>0.15442559397643948</v>
      </c>
      <c r="F12" s="9"/>
      <c r="G12" s="9"/>
      <c r="H12" s="9"/>
      <c r="I12" s="9"/>
      <c r="J12" s="9"/>
      <c r="K12" s="9"/>
      <c r="L12" s="9"/>
      <c r="M12" s="9"/>
      <c r="N12" s="9"/>
      <c r="O12" s="793" t="str">
        <f t="shared" ref="O12:P16" si="0">C12</f>
        <v>AXP</v>
      </c>
      <c r="P12" s="795">
        <f t="shared" si="0"/>
        <v>0.17651237558419064</v>
      </c>
      <c r="Q12" s="795">
        <f ca="1">+E12</f>
        <v>0.15442559397643948</v>
      </c>
      <c r="R12" s="9"/>
      <c r="S12" s="9"/>
      <c r="T12" s="9"/>
      <c r="U12" s="9"/>
      <c r="V12" s="9"/>
      <c r="W12" s="9"/>
      <c r="X12" s="9"/>
      <c r="Y12" s="9"/>
      <c r="Z12" s="9"/>
    </row>
    <row r="13" spans="1:26" ht="13.5" customHeight="1" x14ac:dyDescent="0.25">
      <c r="A13" s="10"/>
      <c r="B13" s="37">
        <v>1</v>
      </c>
      <c r="C13" s="661" t="str">
        <v>V</v>
      </c>
      <c r="D13" s="796">
        <f ca="1">Comparables!J12+RAND()/1000000</f>
        <v>0.11538760770708574</v>
      </c>
      <c r="E13" s="797">
        <f ca="1">+E12</f>
        <v>0.15442559397643948</v>
      </c>
      <c r="F13" s="9"/>
      <c r="G13" s="9"/>
      <c r="H13" s="9"/>
      <c r="I13" s="9"/>
      <c r="J13" s="9"/>
      <c r="K13" s="9"/>
      <c r="L13" s="9"/>
      <c r="M13" s="9"/>
      <c r="N13" s="9"/>
      <c r="O13" s="661" t="str">
        <f>+C13</f>
        <v>V</v>
      </c>
      <c r="P13" s="795">
        <f t="shared" ca="1" si="0"/>
        <v>0.11538760770708574</v>
      </c>
      <c r="Q13" s="795">
        <f t="shared" ref="Q13:Q16" ca="1" si="1">+E13</f>
        <v>0.15442559397643948</v>
      </c>
      <c r="R13" s="797"/>
      <c r="S13" s="9"/>
      <c r="T13" s="9"/>
      <c r="U13" s="9"/>
      <c r="V13" s="9"/>
      <c r="W13" s="9"/>
      <c r="X13" s="9"/>
      <c r="Y13" s="9"/>
      <c r="Z13" s="9"/>
    </row>
    <row r="14" spans="1:26" ht="13.5" customHeight="1" x14ac:dyDescent="0.25">
      <c r="A14" s="10"/>
      <c r="B14" s="9">
        <f t="shared" ref="B14:B17" si="2">B13+1</f>
        <v>2</v>
      </c>
      <c r="C14" s="661" t="str">
        <v>MA</v>
      </c>
      <c r="D14" s="796">
        <f ca="1">Comparables!J13+RAND()/1000000</f>
        <v>0.1283003498780963</v>
      </c>
      <c r="E14" s="797">
        <f t="shared" ref="E14:E16" ca="1" si="3">+E13</f>
        <v>0.15442559397643948</v>
      </c>
      <c r="F14" s="9"/>
      <c r="G14" s="9"/>
      <c r="H14" s="9"/>
      <c r="I14" s="9"/>
      <c r="J14" s="9"/>
      <c r="K14" s="9"/>
      <c r="L14" s="9"/>
      <c r="M14" s="9"/>
      <c r="N14" s="9"/>
      <c r="O14" s="661" t="str">
        <f t="shared" ref="O14:O16" si="4">+C14</f>
        <v>MA</v>
      </c>
      <c r="P14" s="795">
        <f t="shared" ca="1" si="0"/>
        <v>0.1283003498780963</v>
      </c>
      <c r="Q14" s="795">
        <f t="shared" ca="1" si="1"/>
        <v>0.15442559397643948</v>
      </c>
      <c r="R14" s="797"/>
      <c r="S14" s="9"/>
      <c r="T14" s="9"/>
      <c r="U14" s="9"/>
      <c r="V14" s="9"/>
      <c r="W14" s="9"/>
      <c r="X14" s="9"/>
      <c r="Y14" s="9"/>
      <c r="Z14" s="9"/>
    </row>
    <row r="15" spans="1:26" ht="13.5" customHeight="1" x14ac:dyDescent="0.25">
      <c r="A15" s="10"/>
      <c r="B15" s="9">
        <f t="shared" si="2"/>
        <v>3</v>
      </c>
      <c r="C15" s="661" t="str">
        <v>COF</v>
      </c>
      <c r="D15" s="796">
        <f ca="1">Comparables!J14+RAND()/1000000</f>
        <v>0.93595396600245528</v>
      </c>
      <c r="E15" s="797">
        <f t="shared" ca="1" si="3"/>
        <v>0.15442559397643948</v>
      </c>
      <c r="F15" s="9"/>
      <c r="G15" s="9"/>
      <c r="H15" s="9"/>
      <c r="I15" s="9"/>
      <c r="J15" s="9"/>
      <c r="K15" s="9"/>
      <c r="L15" s="9"/>
      <c r="M15" s="9"/>
      <c r="N15" s="9"/>
      <c r="O15" s="661" t="str">
        <f t="shared" si="4"/>
        <v>COF</v>
      </c>
      <c r="P15" s="795">
        <f t="shared" ca="1" si="0"/>
        <v>0.93595396600245528</v>
      </c>
      <c r="Q15" s="795">
        <f t="shared" ca="1" si="1"/>
        <v>0.15442559397643948</v>
      </c>
      <c r="R15" s="797"/>
      <c r="S15" s="9"/>
      <c r="T15" s="9"/>
      <c r="U15" s="9"/>
      <c r="V15" s="9"/>
      <c r="W15" s="9"/>
      <c r="X15" s="9"/>
      <c r="Y15" s="9"/>
      <c r="Z15" s="9"/>
    </row>
    <row r="16" spans="1:26" ht="13.5" customHeight="1" x14ac:dyDescent="0.25">
      <c r="A16" s="10"/>
      <c r="B16" s="9">
        <f t="shared" si="2"/>
        <v>4</v>
      </c>
      <c r="C16" s="661" t="str">
        <v>JPM</v>
      </c>
      <c r="D16" s="796">
        <f ca="1">Comparables!J15+RAND()/1000000</f>
        <v>0.15442559397643948</v>
      </c>
      <c r="E16" s="797">
        <f t="shared" ca="1" si="3"/>
        <v>0.15442559397643948</v>
      </c>
      <c r="F16" s="9"/>
      <c r="G16" s="9"/>
      <c r="H16" s="9"/>
      <c r="I16" s="9"/>
      <c r="J16" s="9"/>
      <c r="K16" s="9"/>
      <c r="L16" s="9"/>
      <c r="M16" s="9"/>
      <c r="N16" s="9"/>
      <c r="O16" s="661" t="str">
        <f t="shared" si="4"/>
        <v>JPM</v>
      </c>
      <c r="P16" s="795">
        <f t="shared" ca="1" si="0"/>
        <v>0.15442559397643948</v>
      </c>
      <c r="Q16" s="795">
        <f t="shared" ca="1" si="1"/>
        <v>0.15442559397643948</v>
      </c>
      <c r="R16" s="797"/>
      <c r="S16" s="9"/>
      <c r="T16" s="9"/>
      <c r="U16" s="9"/>
      <c r="V16" s="9"/>
      <c r="W16" s="9"/>
      <c r="X16" s="9"/>
      <c r="Y16" s="9"/>
      <c r="Z16" s="9"/>
    </row>
    <row r="17" spans="1:26" ht="13.5" customHeight="1" x14ac:dyDescent="0.25">
      <c r="A17" s="10"/>
      <c r="B17" s="9">
        <f t="shared" si="2"/>
        <v>5</v>
      </c>
      <c r="C17" s="37" t="str">
        <v>N/A</v>
      </c>
      <c r="D17" s="37" t="s">
        <v>1155</v>
      </c>
      <c r="E17" s="797"/>
      <c r="F17" s="9"/>
      <c r="G17" s="9"/>
      <c r="H17" s="9"/>
      <c r="I17" s="9"/>
      <c r="J17" s="9"/>
      <c r="K17" s="9"/>
      <c r="L17" s="9"/>
      <c r="M17" s="9"/>
      <c r="N17" s="9"/>
      <c r="O17" s="661"/>
      <c r="P17" s="797"/>
      <c r="Q17" s="797"/>
      <c r="R17" s="797"/>
      <c r="S17" s="9"/>
      <c r="T17" s="9"/>
      <c r="U17" s="9"/>
      <c r="V17" s="9"/>
      <c r="W17" s="9"/>
      <c r="X17" s="9"/>
      <c r="Y17" s="9"/>
      <c r="Z17" s="9"/>
    </row>
    <row r="18" spans="1:26" ht="13.5" customHeight="1" x14ac:dyDescent="0.25">
      <c r="A18" s="10"/>
      <c r="B18" s="9"/>
      <c r="C18" s="9"/>
      <c r="D18" s="9"/>
      <c r="E18" s="9"/>
      <c r="F18" s="9"/>
      <c r="G18" s="9"/>
      <c r="H18" s="9"/>
      <c r="I18" s="9"/>
      <c r="J18" s="9"/>
      <c r="K18" s="9"/>
      <c r="L18" s="9"/>
      <c r="M18" s="9"/>
      <c r="N18" s="9"/>
      <c r="O18" s="9"/>
      <c r="P18" s="9"/>
      <c r="Q18" s="9"/>
      <c r="R18" s="9"/>
      <c r="S18" s="9"/>
      <c r="T18" s="9"/>
      <c r="U18" s="9"/>
      <c r="V18" s="9"/>
      <c r="W18" s="9"/>
      <c r="X18" s="9"/>
      <c r="Y18" s="9"/>
      <c r="Z18" s="9"/>
    </row>
    <row r="19" spans="1:26" ht="13.5" customHeight="1" x14ac:dyDescent="0.25">
      <c r="A19" s="10"/>
      <c r="B19" s="9"/>
      <c r="C19" s="9"/>
      <c r="D19" s="9"/>
      <c r="E19" s="798" t="str">
        <f ca="1">"Median "&amp;TEXT(E13,"0.0%")</f>
        <v>Median 15.4%</v>
      </c>
      <c r="F19" s="9"/>
      <c r="G19" s="9"/>
      <c r="H19" s="9"/>
      <c r="I19" s="9"/>
      <c r="J19" s="9"/>
      <c r="K19" s="9"/>
      <c r="L19" s="9"/>
      <c r="M19" s="9"/>
      <c r="N19" s="9"/>
      <c r="O19" s="9"/>
      <c r="P19" s="9"/>
      <c r="Q19" s="798"/>
      <c r="R19" s="9"/>
      <c r="S19" s="9"/>
      <c r="T19" s="9"/>
      <c r="U19" s="9"/>
      <c r="V19" s="9"/>
      <c r="W19" s="9"/>
      <c r="X19" s="9"/>
      <c r="Y19" s="9"/>
      <c r="Z19" s="9"/>
    </row>
    <row r="20" spans="1:26" ht="13.5" customHeight="1" x14ac:dyDescent="0.25">
      <c r="A20" s="10"/>
      <c r="B20" s="9"/>
      <c r="C20" s="9"/>
      <c r="D20" s="9"/>
      <c r="E20" s="9"/>
      <c r="F20" s="9"/>
      <c r="G20" s="9"/>
      <c r="H20" s="9"/>
      <c r="I20" s="9"/>
      <c r="J20" s="9"/>
      <c r="K20" s="9"/>
      <c r="L20" s="9"/>
      <c r="M20" s="9"/>
      <c r="N20" s="9"/>
      <c r="O20" s="9"/>
      <c r="P20" s="797"/>
      <c r="Q20" s="9"/>
      <c r="R20" s="9"/>
      <c r="S20" s="9"/>
      <c r="T20" s="9"/>
      <c r="U20" s="9"/>
      <c r="V20" s="9"/>
      <c r="W20" s="9"/>
      <c r="X20" s="9"/>
      <c r="Y20" s="9"/>
      <c r="Z20" s="9"/>
    </row>
    <row r="21" spans="1:26" ht="13.5" customHeight="1" x14ac:dyDescent="0.25">
      <c r="A21" s="10"/>
      <c r="B21" s="9"/>
      <c r="C21" s="9"/>
      <c r="D21" s="9"/>
      <c r="E21" s="9"/>
      <c r="F21" s="9"/>
      <c r="G21" s="9"/>
      <c r="H21" s="9"/>
      <c r="I21" s="9"/>
      <c r="J21" s="9"/>
      <c r="K21" s="9"/>
      <c r="L21" s="9"/>
      <c r="M21" s="9"/>
      <c r="N21" s="9"/>
      <c r="O21" s="9"/>
      <c r="P21" s="797"/>
      <c r="Q21" s="9"/>
      <c r="R21" s="9"/>
      <c r="S21" s="9"/>
      <c r="T21" s="9"/>
      <c r="U21" s="9"/>
      <c r="V21" s="9"/>
      <c r="W21" s="9"/>
      <c r="X21" s="9"/>
      <c r="Y21" s="9"/>
      <c r="Z21" s="9"/>
    </row>
    <row r="22" spans="1:26" ht="13.5" customHeight="1" x14ac:dyDescent="0.25">
      <c r="A22" s="10"/>
      <c r="B22" s="9"/>
      <c r="C22" s="9"/>
      <c r="D22" s="9"/>
      <c r="E22" s="9"/>
      <c r="F22" s="9"/>
      <c r="G22" s="9"/>
      <c r="H22" s="9"/>
      <c r="I22" s="9"/>
      <c r="J22" s="9"/>
      <c r="K22" s="9"/>
      <c r="L22" s="9"/>
      <c r="M22" s="9"/>
      <c r="N22" s="9"/>
      <c r="O22" s="9"/>
      <c r="P22" s="797"/>
      <c r="Q22" s="9"/>
      <c r="R22" s="9"/>
      <c r="S22" s="9"/>
      <c r="T22" s="9"/>
      <c r="U22" s="9"/>
      <c r="V22" s="9"/>
      <c r="W22" s="9"/>
      <c r="X22" s="9"/>
      <c r="Y22" s="9"/>
      <c r="Z22" s="9"/>
    </row>
    <row r="23" spans="1:26" ht="13.5" customHeight="1" x14ac:dyDescent="0.25">
      <c r="A23" s="10"/>
      <c r="B23" s="9"/>
      <c r="C23" s="9"/>
      <c r="D23" s="9"/>
      <c r="E23" s="9"/>
      <c r="F23" s="9"/>
      <c r="G23" s="9"/>
      <c r="H23" s="9"/>
      <c r="I23" s="9"/>
      <c r="J23" s="9"/>
      <c r="K23" s="9"/>
      <c r="L23" s="9"/>
      <c r="M23" s="9"/>
      <c r="N23" s="9"/>
      <c r="O23" s="9"/>
      <c r="P23" s="797"/>
      <c r="Q23" s="9"/>
      <c r="R23" s="9"/>
      <c r="S23" s="9"/>
      <c r="T23" s="9"/>
      <c r="U23" s="9"/>
      <c r="V23" s="9"/>
      <c r="W23" s="9"/>
      <c r="X23" s="9"/>
      <c r="Y23" s="9"/>
      <c r="Z23" s="9"/>
    </row>
    <row r="24" spans="1:26" ht="13.5" customHeight="1" x14ac:dyDescent="0.25">
      <c r="A24" s="10" t="s">
        <v>0</v>
      </c>
      <c r="B24" s="9"/>
      <c r="C24" s="932" t="str">
        <f>"EPS Growth "&amp;TEXT(E5,"yyyy")&amp;"e"</f>
        <v>EPS Growth 2026e</v>
      </c>
      <c r="D24" s="933"/>
      <c r="E24" s="933"/>
      <c r="F24" s="933"/>
      <c r="G24" s="933"/>
      <c r="H24" s="933"/>
      <c r="I24" s="933"/>
      <c r="J24" s="933"/>
      <c r="K24" s="933"/>
      <c r="L24" s="933"/>
      <c r="M24" s="933"/>
      <c r="N24" s="933"/>
      <c r="O24" s="933"/>
      <c r="P24" s="933"/>
      <c r="Q24" s="934"/>
      <c r="R24" s="9"/>
      <c r="S24" s="9"/>
      <c r="T24" s="9"/>
      <c r="U24" s="9"/>
      <c r="V24" s="9"/>
      <c r="W24" s="9"/>
      <c r="X24" s="9"/>
      <c r="Y24" s="9"/>
      <c r="Z24" s="9"/>
    </row>
    <row r="25" spans="1:26" ht="13.5" customHeight="1" x14ac:dyDescent="0.25">
      <c r="A25" s="10"/>
      <c r="B25" s="9"/>
      <c r="C25" s="9"/>
      <c r="D25" s="9"/>
      <c r="E25" s="9"/>
      <c r="F25" s="9"/>
      <c r="G25" s="9"/>
      <c r="H25" s="9"/>
      <c r="I25" s="9"/>
      <c r="J25" s="9"/>
      <c r="K25" s="9"/>
      <c r="L25" s="9"/>
      <c r="M25" s="9"/>
      <c r="N25" s="9"/>
      <c r="O25" s="9"/>
      <c r="P25" s="9"/>
      <c r="Q25" s="9"/>
      <c r="R25" s="9"/>
      <c r="S25" s="9"/>
      <c r="T25" s="9"/>
      <c r="U25" s="9"/>
      <c r="V25" s="9"/>
      <c r="W25" s="9"/>
      <c r="X25" s="9"/>
      <c r="Y25" s="9"/>
      <c r="Z25" s="9"/>
    </row>
    <row r="26" spans="1:26" ht="13.5" customHeight="1" x14ac:dyDescent="0.25">
      <c r="A26" s="10"/>
      <c r="B26" s="9"/>
      <c r="C26" s="1007" t="str">
        <f>C10</f>
        <v>Raw Data</v>
      </c>
      <c r="D26" s="954"/>
      <c r="E26" s="955"/>
      <c r="F26" s="37"/>
      <c r="G26" s="9"/>
      <c r="H26" s="9"/>
      <c r="I26" s="9"/>
      <c r="J26" s="9"/>
      <c r="K26" s="9"/>
      <c r="L26" s="9"/>
      <c r="M26" s="9"/>
      <c r="N26" s="9"/>
      <c r="O26" s="1007" t="str">
        <f>O10</f>
        <v>Chart Data</v>
      </c>
      <c r="P26" s="954"/>
      <c r="Q26" s="955"/>
      <c r="R26" s="9"/>
      <c r="S26" s="9"/>
      <c r="T26" s="9"/>
      <c r="U26" s="9"/>
      <c r="V26" s="9"/>
      <c r="W26" s="9"/>
      <c r="X26" s="9"/>
      <c r="Y26" s="9"/>
      <c r="Z26" s="9"/>
    </row>
    <row r="27" spans="1:26" ht="13.5" customHeight="1" x14ac:dyDescent="0.25">
      <c r="A27" s="10"/>
      <c r="B27" s="9"/>
      <c r="C27" s="9"/>
      <c r="D27" s="9"/>
      <c r="E27" s="9"/>
      <c r="F27" s="9"/>
      <c r="G27" s="9"/>
      <c r="H27" s="9"/>
      <c r="I27" s="9"/>
      <c r="J27" s="9"/>
      <c r="K27" s="9"/>
      <c r="L27" s="9"/>
      <c r="M27" s="9"/>
      <c r="N27" s="9"/>
      <c r="O27" s="9"/>
      <c r="P27" s="9"/>
      <c r="Q27" s="9"/>
      <c r="R27" s="9"/>
      <c r="S27" s="9"/>
      <c r="T27" s="9"/>
      <c r="U27" s="9"/>
      <c r="V27" s="9"/>
      <c r="W27" s="9"/>
      <c r="X27" s="9"/>
      <c r="Y27" s="9"/>
      <c r="Z27" s="9"/>
    </row>
    <row r="28" spans="1:26" ht="13.5" customHeight="1" x14ac:dyDescent="0.25">
      <c r="A28" s="10"/>
      <c r="B28" s="573"/>
      <c r="C28" s="793" t="str">
        <f t="shared" ref="C28:C33" si="5">C12</f>
        <v>AXP</v>
      </c>
      <c r="D28" s="794">
        <f>Comparables!L10</f>
        <v>0.14373797139141731</v>
      </c>
      <c r="E28" s="797">
        <f ca="1">MEDIAN(D28:D32)</f>
        <v>0.18623376018040683</v>
      </c>
      <c r="F28" s="9"/>
      <c r="G28" s="9"/>
      <c r="H28" s="9"/>
      <c r="I28" s="9"/>
      <c r="J28" s="9"/>
      <c r="K28" s="9"/>
      <c r="L28" s="9"/>
      <c r="M28" s="9"/>
      <c r="N28" s="9"/>
      <c r="O28" s="793" t="str">
        <f t="shared" ref="O28:P33" si="6">C28</f>
        <v>AXP</v>
      </c>
      <c r="P28" s="795">
        <f t="shared" si="6"/>
        <v>0.14373797139141731</v>
      </c>
      <c r="Q28" s="795">
        <f ca="1">+E28</f>
        <v>0.18623376018040683</v>
      </c>
      <c r="R28" s="9"/>
      <c r="S28" s="9"/>
      <c r="T28" s="9"/>
      <c r="U28" s="9"/>
      <c r="V28" s="9"/>
      <c r="W28" s="9"/>
      <c r="X28" s="9"/>
      <c r="Y28" s="9"/>
      <c r="Z28" s="9"/>
    </row>
    <row r="29" spans="1:26" ht="13.5" customHeight="1" x14ac:dyDescent="0.25">
      <c r="A29" s="10"/>
      <c r="B29" s="573"/>
      <c r="C29" s="661" t="str">
        <f t="shared" si="5"/>
        <v>V</v>
      </c>
      <c r="D29" s="796">
        <f ca="1">Comparables!L12+RAND()/1000000</f>
        <v>0.25985329337915136</v>
      </c>
      <c r="E29" s="797">
        <f ca="1">+E28</f>
        <v>0.18623376018040683</v>
      </c>
      <c r="F29" s="9"/>
      <c r="G29" s="9"/>
      <c r="H29" s="9"/>
      <c r="I29" s="9"/>
      <c r="J29" s="9"/>
      <c r="K29" s="9"/>
      <c r="L29" s="9"/>
      <c r="M29" s="9"/>
      <c r="N29" s="9"/>
      <c r="O29" s="661" t="str">
        <f>+C29</f>
        <v>V</v>
      </c>
      <c r="P29" s="795">
        <f t="shared" ca="1" si="6"/>
        <v>0.25985329337915136</v>
      </c>
      <c r="Q29" s="797">
        <f t="shared" ref="Q29:Q33" ca="1" si="7">E29</f>
        <v>0.18623376018040683</v>
      </c>
      <c r="R29" s="9"/>
      <c r="S29" s="9"/>
      <c r="T29" s="9"/>
      <c r="U29" s="9"/>
      <c r="V29" s="9"/>
      <c r="W29" s="9"/>
      <c r="X29" s="9"/>
      <c r="Y29" s="9"/>
      <c r="Z29" s="9"/>
    </row>
    <row r="30" spans="1:26" ht="13.5" customHeight="1" x14ac:dyDescent="0.25">
      <c r="A30" s="10"/>
      <c r="B30" s="9">
        <f t="shared" ref="B30:B33" si="8">B29+1</f>
        <v>1</v>
      </c>
      <c r="C30" s="661" t="str">
        <f t="shared" si="5"/>
        <v>MA</v>
      </c>
      <c r="D30" s="796">
        <f ca="1">Comparables!L13+RAND()/1000000</f>
        <v>0.18623376018040683</v>
      </c>
      <c r="E30" s="797">
        <f t="shared" ref="E30:E33" ca="1" si="9">E29</f>
        <v>0.18623376018040683</v>
      </c>
      <c r="F30" s="9"/>
      <c r="G30" s="9"/>
      <c r="H30" s="9"/>
      <c r="I30" s="9"/>
      <c r="J30" s="9"/>
      <c r="K30" s="9"/>
      <c r="L30" s="9"/>
      <c r="M30" s="9"/>
      <c r="N30" s="9"/>
      <c r="O30" s="661" t="str">
        <f t="shared" ref="O30:O33" si="10">+C30</f>
        <v>MA</v>
      </c>
      <c r="P30" s="795">
        <f t="shared" ca="1" si="6"/>
        <v>0.18623376018040683</v>
      </c>
      <c r="Q30" s="797">
        <f t="shared" ca="1" si="7"/>
        <v>0.18623376018040683</v>
      </c>
      <c r="R30" s="9"/>
      <c r="S30" s="9"/>
      <c r="T30" s="9"/>
      <c r="U30" s="9"/>
      <c r="V30" s="9"/>
      <c r="W30" s="9"/>
      <c r="X30" s="9"/>
      <c r="Y30" s="9"/>
      <c r="Z30" s="9"/>
    </row>
    <row r="31" spans="1:26" ht="13.5" customHeight="1" x14ac:dyDescent="0.25">
      <c r="A31" s="10"/>
      <c r="B31" s="9">
        <f t="shared" si="8"/>
        <v>2</v>
      </c>
      <c r="C31" s="661" t="str">
        <f t="shared" si="5"/>
        <v>COF</v>
      </c>
      <c r="D31" s="796">
        <f ca="1">Comparables!L14+RAND()/1000000</f>
        <v>4.0367016716739492</v>
      </c>
      <c r="E31" s="797">
        <f t="shared" ca="1" si="9"/>
        <v>0.18623376018040683</v>
      </c>
      <c r="F31" s="9"/>
      <c r="G31" s="9"/>
      <c r="H31" s="9"/>
      <c r="I31" s="9"/>
      <c r="J31" s="9"/>
      <c r="K31" s="9"/>
      <c r="L31" s="9"/>
      <c r="M31" s="9"/>
      <c r="N31" s="9"/>
      <c r="O31" s="661" t="str">
        <f t="shared" si="10"/>
        <v>COF</v>
      </c>
      <c r="P31" s="795">
        <f t="shared" ca="1" si="6"/>
        <v>4.0367016716739492</v>
      </c>
      <c r="Q31" s="797">
        <f t="shared" ca="1" si="7"/>
        <v>0.18623376018040683</v>
      </c>
      <c r="R31" s="9"/>
      <c r="S31" s="9"/>
      <c r="T31" s="9"/>
      <c r="U31" s="9"/>
      <c r="V31" s="9"/>
      <c r="W31" s="9"/>
      <c r="X31" s="9"/>
      <c r="Y31" s="9"/>
      <c r="Z31" s="9"/>
    </row>
    <row r="32" spans="1:26" ht="13.5" customHeight="1" x14ac:dyDescent="0.25">
      <c r="A32" s="10"/>
      <c r="B32" s="9">
        <f t="shared" si="8"/>
        <v>3</v>
      </c>
      <c r="C32" s="661" t="str">
        <f t="shared" si="5"/>
        <v>JPM</v>
      </c>
      <c r="D32" s="796">
        <f ca="1">Comparables!L15+RAND()/1000000</f>
        <v>8.3899012859338845E-2</v>
      </c>
      <c r="E32" s="797">
        <f t="shared" ca="1" si="9"/>
        <v>0.18623376018040683</v>
      </c>
      <c r="F32" s="9"/>
      <c r="G32" s="9"/>
      <c r="H32" s="9"/>
      <c r="I32" s="9"/>
      <c r="J32" s="9"/>
      <c r="K32" s="9"/>
      <c r="L32" s="9"/>
      <c r="M32" s="9"/>
      <c r="N32" s="9"/>
      <c r="O32" s="661" t="str">
        <f t="shared" si="10"/>
        <v>JPM</v>
      </c>
      <c r="P32" s="795">
        <f t="shared" ca="1" si="6"/>
        <v>8.3899012859338845E-2</v>
      </c>
      <c r="Q32" s="797">
        <f t="shared" ca="1" si="7"/>
        <v>0.18623376018040683</v>
      </c>
      <c r="R32" s="9"/>
      <c r="S32" s="9"/>
      <c r="T32" s="9"/>
      <c r="U32" s="9"/>
      <c r="V32" s="9"/>
      <c r="W32" s="9"/>
      <c r="X32" s="9"/>
      <c r="Y32" s="9"/>
      <c r="Z32" s="9"/>
    </row>
    <row r="33" spans="1:26" ht="13.5" customHeight="1" x14ac:dyDescent="0.25">
      <c r="A33" s="10"/>
      <c r="B33" s="9">
        <f t="shared" si="8"/>
        <v>4</v>
      </c>
      <c r="C33" s="37" t="str">
        <f t="shared" si="5"/>
        <v>N/A</v>
      </c>
      <c r="D33" s="916" t="e">
        <f ca="1">Comparables!#REF!+RAND()/1000000</f>
        <v>#REF!</v>
      </c>
      <c r="E33" s="916">
        <f t="shared" ca="1" si="9"/>
        <v>0.18623376018040683</v>
      </c>
      <c r="F33" s="9"/>
      <c r="G33" s="9"/>
      <c r="H33" s="9"/>
      <c r="I33" s="9"/>
      <c r="J33" s="9"/>
      <c r="K33" s="9"/>
      <c r="L33" s="9"/>
      <c r="M33" s="9"/>
      <c r="N33" s="9"/>
      <c r="O33" s="37" t="str">
        <f t="shared" si="10"/>
        <v>N/A</v>
      </c>
      <c r="P33" s="916" t="e">
        <f t="shared" ca="1" si="6"/>
        <v>#REF!</v>
      </c>
      <c r="Q33" s="916">
        <f t="shared" ca="1" si="7"/>
        <v>0.18623376018040683</v>
      </c>
      <c r="R33" s="9"/>
      <c r="S33" s="9"/>
      <c r="T33" s="9"/>
      <c r="U33" s="9"/>
      <c r="V33" s="9"/>
      <c r="W33" s="9"/>
      <c r="X33" s="9"/>
      <c r="Y33" s="9"/>
      <c r="Z33" s="9"/>
    </row>
    <row r="34" spans="1:26" ht="13.5" customHeight="1" x14ac:dyDescent="0.25">
      <c r="A34" s="10"/>
      <c r="B34" s="9"/>
      <c r="C34" s="9"/>
      <c r="D34" s="9"/>
      <c r="E34" s="9"/>
      <c r="F34" s="9"/>
      <c r="G34" s="9"/>
      <c r="H34" s="9"/>
      <c r="I34" s="9"/>
      <c r="J34" s="9"/>
      <c r="K34" s="9"/>
      <c r="L34" s="9"/>
      <c r="M34" s="9"/>
      <c r="N34" s="9"/>
      <c r="O34" s="9"/>
      <c r="P34" s="9"/>
      <c r="Q34" s="9"/>
      <c r="R34" s="9"/>
      <c r="S34" s="9"/>
      <c r="T34" s="9"/>
      <c r="U34" s="9"/>
      <c r="V34" s="9"/>
      <c r="W34" s="9"/>
      <c r="X34" s="9"/>
      <c r="Y34" s="9"/>
      <c r="Z34" s="9"/>
    </row>
    <row r="35" spans="1:26" ht="13.5" customHeight="1" x14ac:dyDescent="0.25">
      <c r="A35" s="10"/>
      <c r="B35" s="9"/>
      <c r="C35" s="9"/>
      <c r="D35" s="9"/>
      <c r="E35" s="798" t="str">
        <f ca="1">"Median "&amp;TEXT(E29,"0.0%")</f>
        <v>Median 18.6%</v>
      </c>
      <c r="F35" s="9"/>
      <c r="G35" s="9"/>
      <c r="H35" s="9"/>
      <c r="I35" s="9"/>
      <c r="J35" s="9"/>
      <c r="K35" s="9"/>
      <c r="L35" s="9"/>
      <c r="M35" s="9"/>
      <c r="N35" s="9"/>
      <c r="O35" s="9"/>
      <c r="P35" s="9"/>
      <c r="Q35" s="798" t="str">
        <f ca="1">E35</f>
        <v>Median 18.6%</v>
      </c>
      <c r="R35" s="9"/>
      <c r="S35" s="9"/>
      <c r="T35" s="9"/>
      <c r="U35" s="9"/>
      <c r="V35" s="9"/>
      <c r="W35" s="9"/>
      <c r="X35" s="9"/>
      <c r="Y35" s="9"/>
      <c r="Z35" s="9"/>
    </row>
    <row r="36" spans="1:26" ht="13.5" customHeight="1" x14ac:dyDescent="0.25">
      <c r="A36" s="10"/>
      <c r="B36" s="9"/>
      <c r="C36" s="9"/>
      <c r="D36" s="9"/>
      <c r="E36" s="9"/>
      <c r="F36" s="9"/>
      <c r="G36" s="9"/>
      <c r="H36" s="9"/>
      <c r="I36" s="9"/>
      <c r="J36" s="9"/>
      <c r="K36" s="9"/>
      <c r="L36" s="9"/>
      <c r="M36" s="9"/>
      <c r="N36" s="9"/>
      <c r="O36" s="9"/>
      <c r="P36" s="9"/>
      <c r="Q36" s="9"/>
      <c r="R36" s="9"/>
      <c r="S36" s="9"/>
      <c r="T36" s="9"/>
      <c r="U36" s="9"/>
      <c r="V36" s="9"/>
      <c r="W36" s="9"/>
      <c r="X36" s="9"/>
      <c r="Y36" s="9"/>
      <c r="Z36" s="9"/>
    </row>
    <row r="37" spans="1:26" ht="13.5" customHeight="1" x14ac:dyDescent="0.25">
      <c r="A37" s="10"/>
      <c r="B37" s="9"/>
      <c r="C37" s="9"/>
      <c r="D37" s="9"/>
      <c r="E37" s="9"/>
      <c r="F37" s="9"/>
      <c r="G37" s="9"/>
      <c r="H37" s="9"/>
      <c r="I37" s="9"/>
      <c r="J37" s="9"/>
      <c r="K37" s="9"/>
      <c r="L37" s="9"/>
      <c r="M37" s="9"/>
      <c r="N37" s="9"/>
      <c r="O37" s="9"/>
      <c r="P37" s="9"/>
      <c r="Q37" s="9"/>
      <c r="R37" s="9"/>
      <c r="S37" s="9"/>
      <c r="T37" s="9"/>
      <c r="U37" s="9"/>
      <c r="V37" s="9"/>
      <c r="W37" s="9"/>
      <c r="X37" s="9"/>
      <c r="Y37" s="9"/>
      <c r="Z37" s="9"/>
    </row>
    <row r="38" spans="1:26" ht="13.5" customHeight="1" x14ac:dyDescent="0.25">
      <c r="A38" s="10"/>
      <c r="B38" s="9"/>
      <c r="C38" s="9"/>
      <c r="D38" s="9"/>
      <c r="E38" s="9"/>
      <c r="F38" s="9"/>
      <c r="G38" s="9"/>
      <c r="H38" s="9"/>
      <c r="I38" s="9"/>
      <c r="J38" s="9"/>
      <c r="K38" s="9"/>
      <c r="L38" s="9"/>
      <c r="M38" s="9"/>
      <c r="N38" s="9"/>
      <c r="O38" s="9"/>
      <c r="P38" s="9"/>
      <c r="Q38" s="9"/>
      <c r="R38" s="9"/>
      <c r="S38" s="9"/>
      <c r="T38" s="9"/>
      <c r="U38" s="9"/>
      <c r="V38" s="9"/>
      <c r="W38" s="9"/>
      <c r="X38" s="9"/>
      <c r="Y38" s="9"/>
      <c r="Z38" s="9"/>
    </row>
    <row r="39" spans="1:26" ht="13.5" customHeight="1" x14ac:dyDescent="0.25">
      <c r="A39" s="10"/>
      <c r="B39" s="9"/>
      <c r="C39" s="9"/>
      <c r="D39" s="9"/>
      <c r="E39" s="9"/>
      <c r="F39" s="9"/>
      <c r="G39" s="9"/>
      <c r="H39" s="9"/>
      <c r="I39" s="9"/>
      <c r="J39" s="9"/>
      <c r="K39" s="9"/>
      <c r="L39" s="9"/>
      <c r="M39" s="9"/>
      <c r="N39" s="9"/>
      <c r="O39" s="9"/>
      <c r="P39" s="9"/>
      <c r="Q39" s="9"/>
      <c r="R39" s="9"/>
      <c r="S39" s="9"/>
      <c r="T39" s="9"/>
      <c r="U39" s="9"/>
      <c r="V39" s="9"/>
      <c r="W39" s="9"/>
      <c r="X39" s="9"/>
      <c r="Y39" s="9"/>
      <c r="Z39" s="9"/>
    </row>
    <row r="40" spans="1:26" ht="13.5" customHeight="1" x14ac:dyDescent="0.25">
      <c r="A40" s="10" t="s">
        <v>0</v>
      </c>
      <c r="B40" s="9"/>
      <c r="C40" s="932" t="s">
        <v>803</v>
      </c>
      <c r="D40" s="933"/>
      <c r="E40" s="933"/>
      <c r="F40" s="933"/>
      <c r="G40" s="933"/>
      <c r="H40" s="933"/>
      <c r="I40" s="933"/>
      <c r="J40" s="933"/>
      <c r="K40" s="933"/>
      <c r="L40" s="933"/>
      <c r="M40" s="933"/>
      <c r="N40" s="933"/>
      <c r="O40" s="933"/>
      <c r="P40" s="933"/>
      <c r="Q40" s="934"/>
      <c r="R40" s="9"/>
      <c r="S40" s="9"/>
      <c r="T40" s="9"/>
      <c r="U40" s="9"/>
      <c r="V40" s="9"/>
      <c r="W40" s="9"/>
      <c r="X40" s="9"/>
      <c r="Y40" s="9"/>
      <c r="Z40" s="9"/>
    </row>
    <row r="41" spans="1:26" ht="13.5" customHeight="1" x14ac:dyDescent="0.25">
      <c r="A41" s="10"/>
      <c r="B41" s="9"/>
      <c r="C41" s="9"/>
      <c r="D41" s="9"/>
      <c r="E41" s="9"/>
      <c r="F41" s="9"/>
      <c r="G41" s="9"/>
      <c r="H41" s="9"/>
      <c r="I41" s="9"/>
      <c r="J41" s="9"/>
      <c r="K41" s="9"/>
      <c r="L41" s="9"/>
      <c r="M41" s="9"/>
      <c r="N41" s="9"/>
      <c r="O41" s="9"/>
      <c r="P41" s="9"/>
      <c r="Q41" s="9"/>
      <c r="R41" s="9"/>
      <c r="S41" s="9"/>
      <c r="T41" s="9"/>
      <c r="U41" s="9"/>
      <c r="V41" s="9"/>
      <c r="W41" s="9"/>
      <c r="X41" s="9"/>
      <c r="Y41" s="9"/>
      <c r="Z41" s="9"/>
    </row>
    <row r="42" spans="1:26" ht="13.5" customHeight="1" x14ac:dyDescent="0.25">
      <c r="A42" s="10"/>
      <c r="B42" s="9"/>
      <c r="C42" s="1007" t="str">
        <f>C26</f>
        <v>Raw Data</v>
      </c>
      <c r="D42" s="954"/>
      <c r="E42" s="955"/>
      <c r="F42" s="37"/>
      <c r="G42" s="9"/>
      <c r="H42" s="9"/>
      <c r="I42" s="9"/>
      <c r="J42" s="9"/>
      <c r="K42" s="9"/>
      <c r="L42" s="9"/>
      <c r="M42" s="9"/>
      <c r="N42" s="9"/>
      <c r="O42" s="1007" t="str">
        <f>O26</f>
        <v>Chart Data</v>
      </c>
      <c r="P42" s="954"/>
      <c r="Q42" s="955"/>
      <c r="R42" s="9"/>
      <c r="S42" s="9"/>
      <c r="T42" s="9"/>
      <c r="U42" s="9"/>
      <c r="V42" s="9"/>
      <c r="W42" s="9"/>
      <c r="X42" s="9"/>
      <c r="Y42" s="9"/>
      <c r="Z42" s="9"/>
    </row>
    <row r="43" spans="1:26" ht="13.5" customHeight="1" x14ac:dyDescent="0.25">
      <c r="A43" s="10"/>
      <c r="B43" s="9"/>
      <c r="C43" s="9"/>
      <c r="D43" s="9"/>
      <c r="E43" s="9"/>
      <c r="F43" s="9"/>
      <c r="G43" s="9"/>
      <c r="H43" s="9"/>
      <c r="I43" s="9"/>
      <c r="J43" s="9"/>
      <c r="K43" s="9"/>
      <c r="L43" s="9"/>
      <c r="M43" s="9"/>
      <c r="N43" s="9"/>
      <c r="O43" s="9"/>
      <c r="P43" s="9"/>
      <c r="Q43" s="9"/>
      <c r="R43" s="9"/>
      <c r="S43" s="9"/>
      <c r="T43" s="9"/>
      <c r="U43" s="9"/>
      <c r="V43" s="9"/>
      <c r="W43" s="9"/>
      <c r="X43" s="9"/>
      <c r="Y43" s="9"/>
      <c r="Z43" s="9"/>
    </row>
    <row r="44" spans="1:26" ht="13.5" customHeight="1" x14ac:dyDescent="0.25">
      <c r="A44" s="10"/>
      <c r="B44" s="9"/>
      <c r="C44" s="793" t="str">
        <f t="shared" ref="C44:C48" si="11">C28</f>
        <v>AXP</v>
      </c>
      <c r="D44" s="917">
        <f>+Comparables!R10</f>
        <v>12.6</v>
      </c>
      <c r="E44" s="802">
        <f ca="1">MEDIAN(D44:D48)</f>
        <v>12.6</v>
      </c>
      <c r="F44" s="9"/>
      <c r="G44" s="9"/>
      <c r="H44" s="9"/>
      <c r="I44" s="9"/>
      <c r="J44" s="9"/>
      <c r="K44" s="9"/>
      <c r="L44" s="9"/>
      <c r="M44" s="9"/>
      <c r="N44" s="9"/>
      <c r="O44" s="793" t="str">
        <f t="shared" ref="O44" si="12">C44</f>
        <v>AXP</v>
      </c>
      <c r="P44" s="800">
        <f t="shared" ref="P44:P48" si="13">D44</f>
        <v>12.6</v>
      </c>
      <c r="Q44" s="800">
        <f ca="1">E44</f>
        <v>12.6</v>
      </c>
      <c r="R44" s="9"/>
      <c r="S44" s="9"/>
      <c r="T44" s="9"/>
      <c r="U44" s="9"/>
      <c r="V44" s="9"/>
      <c r="W44" s="9"/>
      <c r="X44" s="9"/>
      <c r="Y44" s="9"/>
      <c r="Z44" s="9"/>
    </row>
    <row r="45" spans="1:26" ht="13.5" customHeight="1" x14ac:dyDescent="0.25">
      <c r="A45" s="10"/>
      <c r="B45" s="573"/>
      <c r="C45" s="661" t="str">
        <f t="shared" si="11"/>
        <v>V</v>
      </c>
      <c r="D45" s="801">
        <f ca="1">Comparables!R12+RAND()/1000000</f>
        <v>18.092404635514459</v>
      </c>
      <c r="E45" s="802">
        <f ca="1">E44</f>
        <v>12.6</v>
      </c>
      <c r="F45" s="9"/>
      <c r="G45" s="9"/>
      <c r="H45" s="9"/>
      <c r="I45" s="9"/>
      <c r="J45" s="9"/>
      <c r="K45" s="9"/>
      <c r="L45" s="9"/>
      <c r="M45" s="9"/>
      <c r="N45" s="9"/>
      <c r="O45" s="661" t="str">
        <f t="shared" ref="O45:O48" ca="1" si="14">INDEX($C$45:$C$49,MATCH(P45,$D$45:$D$49,0),1)</f>
        <v>V</v>
      </c>
      <c r="P45" s="800">
        <f t="shared" ca="1" si="13"/>
        <v>18.092404635514459</v>
      </c>
      <c r="Q45" s="802">
        <f ca="1">E44</f>
        <v>12.6</v>
      </c>
      <c r="R45" s="9"/>
      <c r="S45" s="9"/>
      <c r="T45" s="9"/>
      <c r="U45" s="9"/>
      <c r="V45" s="9"/>
      <c r="W45" s="9"/>
      <c r="X45" s="9"/>
      <c r="Y45" s="9"/>
      <c r="Z45" s="9"/>
    </row>
    <row r="46" spans="1:26" ht="13.5" customHeight="1" x14ac:dyDescent="0.25">
      <c r="A46" s="10"/>
      <c r="B46" s="9">
        <f t="shared" ref="B46:B49" si="15">B45+1</f>
        <v>1</v>
      </c>
      <c r="C46" s="661" t="str">
        <f t="shared" si="11"/>
        <v>MA</v>
      </c>
      <c r="D46" s="801">
        <f ca="1">Comparables!R13+RAND()/1000000</f>
        <v>18.909666103399132</v>
      </c>
      <c r="E46" s="802">
        <f ca="1">E45</f>
        <v>12.6</v>
      </c>
      <c r="F46" s="9"/>
      <c r="G46" s="9"/>
      <c r="H46" s="9"/>
      <c r="I46" s="9"/>
      <c r="J46" s="9"/>
      <c r="K46" s="9"/>
      <c r="L46" s="9"/>
      <c r="M46" s="9"/>
      <c r="N46" s="9"/>
      <c r="O46" s="661" t="str">
        <f t="shared" ca="1" si="14"/>
        <v>MA</v>
      </c>
      <c r="P46" s="800">
        <f t="shared" ca="1" si="13"/>
        <v>18.909666103399132</v>
      </c>
      <c r="Q46" s="802">
        <f t="shared" ref="Q46:Q48" ca="1" si="16">E46</f>
        <v>12.6</v>
      </c>
      <c r="R46" s="9"/>
      <c r="S46" s="9"/>
      <c r="T46" s="9"/>
      <c r="U46" s="9"/>
      <c r="V46" s="9"/>
      <c r="W46" s="9"/>
      <c r="X46" s="9"/>
      <c r="Y46" s="9"/>
      <c r="Z46" s="9"/>
    </row>
    <row r="47" spans="1:26" ht="13.5" customHeight="1" x14ac:dyDescent="0.25">
      <c r="A47" s="10"/>
      <c r="B47" s="9">
        <f t="shared" si="15"/>
        <v>2</v>
      </c>
      <c r="C47" s="661" t="str">
        <f t="shared" si="11"/>
        <v>COF</v>
      </c>
      <c r="D47" s="801">
        <f ca="1">Comparables!R14+RAND()/1000000</f>
        <v>4.2038599458789629E-7</v>
      </c>
      <c r="E47" s="802">
        <f t="shared" ref="E47:E48" ca="1" si="17">E46</f>
        <v>12.6</v>
      </c>
      <c r="F47" s="9"/>
      <c r="G47" s="9"/>
      <c r="H47" s="9"/>
      <c r="I47" s="9"/>
      <c r="J47" s="9"/>
      <c r="K47" s="9"/>
      <c r="L47" s="9"/>
      <c r="M47" s="9"/>
      <c r="N47" s="9"/>
      <c r="O47" s="661" t="str">
        <f t="shared" ca="1" si="14"/>
        <v>COF</v>
      </c>
      <c r="P47" s="800">
        <f t="shared" ca="1" si="13"/>
        <v>4.2038599458789629E-7</v>
      </c>
      <c r="Q47" s="802">
        <f t="shared" ca="1" si="16"/>
        <v>12.6</v>
      </c>
      <c r="R47" s="9"/>
      <c r="S47" s="9"/>
      <c r="T47" s="9"/>
      <c r="U47" s="9"/>
      <c r="V47" s="9"/>
      <c r="W47" s="9"/>
      <c r="X47" s="9"/>
      <c r="Y47" s="9"/>
      <c r="Z47" s="9"/>
    </row>
    <row r="48" spans="1:26" ht="13.5" customHeight="1" x14ac:dyDescent="0.25">
      <c r="A48" s="10"/>
      <c r="B48" s="9">
        <f t="shared" si="15"/>
        <v>3</v>
      </c>
      <c r="C48" s="661" t="str">
        <f t="shared" si="11"/>
        <v>JPM</v>
      </c>
      <c r="D48" s="801">
        <f ca="1">Comparables!R15+RAND()/1000000</f>
        <v>1.6866489776016379E-7</v>
      </c>
      <c r="E48" s="802">
        <f t="shared" ca="1" si="17"/>
        <v>12.6</v>
      </c>
      <c r="F48" s="9"/>
      <c r="G48" s="9"/>
      <c r="H48" s="9"/>
      <c r="I48" s="9"/>
      <c r="J48" s="9"/>
      <c r="K48" s="9"/>
      <c r="L48" s="9"/>
      <c r="M48" s="9"/>
      <c r="N48" s="9"/>
      <c r="O48" s="661" t="str">
        <f t="shared" ca="1" si="14"/>
        <v>JPM</v>
      </c>
      <c r="P48" s="800">
        <f t="shared" ca="1" si="13"/>
        <v>1.6866489776016379E-7</v>
      </c>
      <c r="Q48" s="802">
        <f t="shared" ca="1" si="16"/>
        <v>12.6</v>
      </c>
      <c r="R48" s="9"/>
      <c r="S48" s="9"/>
      <c r="T48" s="9"/>
      <c r="U48" s="9"/>
      <c r="V48" s="9"/>
      <c r="W48" s="9"/>
      <c r="X48" s="9"/>
      <c r="Y48" s="9"/>
      <c r="Z48" s="9"/>
    </row>
    <row r="49" spans="1:26" ht="13.5" customHeight="1" x14ac:dyDescent="0.25">
      <c r="A49" s="10"/>
      <c r="B49" s="9">
        <f t="shared" si="15"/>
        <v>4</v>
      </c>
      <c r="C49" s="661"/>
      <c r="D49" s="801"/>
      <c r="E49" s="802"/>
      <c r="F49" s="9"/>
      <c r="G49" s="9"/>
      <c r="H49" s="9"/>
      <c r="I49" s="9"/>
      <c r="J49" s="9"/>
      <c r="K49" s="9"/>
      <c r="L49" s="9"/>
      <c r="M49" s="9"/>
      <c r="N49" s="9"/>
      <c r="O49" s="661"/>
      <c r="P49" s="802"/>
      <c r="Q49" s="802"/>
      <c r="R49" s="9"/>
      <c r="S49" s="9"/>
      <c r="T49" s="9"/>
      <c r="U49" s="9"/>
      <c r="V49" s="9"/>
      <c r="W49" s="9"/>
      <c r="X49" s="9"/>
      <c r="Y49" s="9"/>
      <c r="Z49" s="9"/>
    </row>
    <row r="50" spans="1:26" ht="13.5" customHeight="1" x14ac:dyDescent="0.25">
      <c r="A50" s="10"/>
      <c r="B50" s="9"/>
      <c r="C50" s="9"/>
      <c r="D50" s="9"/>
      <c r="E50" s="9"/>
      <c r="F50" s="9"/>
      <c r="G50" s="9"/>
      <c r="H50" s="9"/>
      <c r="I50" s="9"/>
      <c r="J50" s="9"/>
      <c r="K50" s="9"/>
      <c r="L50" s="9"/>
      <c r="M50" s="9"/>
      <c r="N50" s="9"/>
      <c r="O50" s="9"/>
      <c r="P50" s="9"/>
      <c r="Q50" s="9"/>
      <c r="R50" s="9"/>
      <c r="S50" s="9"/>
      <c r="T50" s="9"/>
      <c r="U50" s="9"/>
      <c r="V50" s="9"/>
      <c r="W50" s="9"/>
      <c r="X50" s="9"/>
      <c r="Y50" s="9"/>
      <c r="Z50" s="9"/>
    </row>
    <row r="51" spans="1:26" ht="13.5" customHeight="1" x14ac:dyDescent="0.25">
      <c r="A51" s="10"/>
      <c r="B51" s="9"/>
      <c r="C51" s="9"/>
      <c r="D51" s="9"/>
      <c r="E51" s="798" t="str">
        <f ca="1">"Median "&amp;TEXT(E44,"0.0x")</f>
        <v>Median 12.6x</v>
      </c>
      <c r="F51" s="9"/>
      <c r="G51" s="9"/>
      <c r="H51" s="9"/>
      <c r="I51" s="9"/>
      <c r="J51" s="9"/>
      <c r="K51" s="9"/>
      <c r="L51" s="9"/>
      <c r="M51" s="9"/>
      <c r="N51" s="9"/>
      <c r="O51" s="9"/>
      <c r="P51" s="9"/>
      <c r="Q51" s="798" t="str">
        <f ca="1">E51</f>
        <v>Median 12.6x</v>
      </c>
      <c r="R51" s="9"/>
      <c r="S51" s="9"/>
      <c r="T51" s="9"/>
      <c r="U51" s="9"/>
      <c r="V51" s="9"/>
      <c r="W51" s="9"/>
      <c r="X51" s="9"/>
      <c r="Y51" s="9"/>
      <c r="Z51" s="9"/>
    </row>
    <row r="52" spans="1:26" ht="13.5" customHeight="1" x14ac:dyDescent="0.25">
      <c r="A52" s="10"/>
      <c r="B52" s="9"/>
      <c r="C52" s="9"/>
      <c r="D52" s="9"/>
      <c r="E52" s="9"/>
      <c r="F52" s="9"/>
      <c r="G52" s="9"/>
      <c r="H52" s="9"/>
      <c r="I52" s="9"/>
      <c r="J52" s="9"/>
      <c r="K52" s="9"/>
      <c r="L52" s="9"/>
      <c r="M52" s="9"/>
      <c r="N52" s="9"/>
      <c r="O52" s="9"/>
      <c r="P52" s="9"/>
      <c r="Q52" s="9"/>
      <c r="R52" s="9"/>
      <c r="S52" s="9"/>
      <c r="T52" s="9"/>
      <c r="U52" s="9"/>
      <c r="V52" s="9"/>
      <c r="W52" s="9"/>
      <c r="X52" s="9"/>
      <c r="Y52" s="9"/>
      <c r="Z52" s="9"/>
    </row>
    <row r="53" spans="1:26" ht="13.5" customHeight="1" x14ac:dyDescent="0.25">
      <c r="A53" s="10"/>
      <c r="B53" s="9"/>
      <c r="C53" s="9"/>
      <c r="D53" s="9"/>
      <c r="E53" s="9"/>
      <c r="F53" s="9"/>
      <c r="G53" s="9"/>
      <c r="H53" s="9"/>
      <c r="I53" s="9"/>
      <c r="J53" s="9"/>
      <c r="K53" s="9"/>
      <c r="L53" s="9"/>
      <c r="M53" s="9"/>
      <c r="N53" s="9"/>
      <c r="O53" s="9"/>
      <c r="P53" s="9"/>
      <c r="Q53" s="9"/>
      <c r="R53" s="9"/>
      <c r="S53" s="9"/>
      <c r="T53" s="9"/>
      <c r="U53" s="9"/>
      <c r="V53" s="9"/>
      <c r="W53" s="9"/>
      <c r="X53" s="9"/>
      <c r="Y53" s="9"/>
      <c r="Z53" s="9"/>
    </row>
    <row r="54" spans="1:26" ht="13.5" customHeight="1" x14ac:dyDescent="0.25">
      <c r="A54" s="10"/>
      <c r="B54" s="9"/>
      <c r="C54" s="9"/>
      <c r="D54" s="9"/>
      <c r="E54" s="9"/>
      <c r="F54" s="9"/>
      <c r="G54" s="9"/>
      <c r="H54" s="9"/>
      <c r="I54" s="9"/>
      <c r="J54" s="9"/>
      <c r="K54" s="9"/>
      <c r="L54" s="9"/>
      <c r="M54" s="9"/>
      <c r="N54" s="9"/>
      <c r="O54" s="9"/>
      <c r="P54" s="9"/>
      <c r="Q54" s="9"/>
      <c r="R54" s="9"/>
      <c r="S54" s="9"/>
      <c r="T54" s="9"/>
      <c r="U54" s="9"/>
      <c r="V54" s="9"/>
      <c r="W54" s="9"/>
      <c r="X54" s="9"/>
      <c r="Y54" s="9"/>
      <c r="Z54" s="9"/>
    </row>
    <row r="55" spans="1:26" ht="13.5" customHeight="1" x14ac:dyDescent="0.25">
      <c r="A55" s="10"/>
      <c r="B55" s="9"/>
      <c r="C55" s="9"/>
      <c r="D55" s="9"/>
      <c r="E55" s="9"/>
      <c r="F55" s="9"/>
      <c r="G55" s="9"/>
      <c r="H55" s="9"/>
      <c r="I55" s="9"/>
      <c r="J55" s="9"/>
      <c r="K55" s="9"/>
      <c r="L55" s="9"/>
      <c r="M55" s="9"/>
      <c r="N55" s="9"/>
      <c r="O55" s="9"/>
      <c r="P55" s="9"/>
      <c r="Q55" s="9"/>
      <c r="R55" s="9"/>
      <c r="S55" s="9"/>
      <c r="T55" s="9"/>
      <c r="U55" s="9"/>
      <c r="V55" s="9"/>
      <c r="W55" s="9"/>
      <c r="X55" s="9"/>
      <c r="Y55" s="9"/>
      <c r="Z55" s="9"/>
    </row>
    <row r="56" spans="1:26" ht="13.5" customHeight="1" x14ac:dyDescent="0.25">
      <c r="A56" s="10" t="s">
        <v>0</v>
      </c>
      <c r="B56" s="9"/>
      <c r="C56" s="932" t="s">
        <v>804</v>
      </c>
      <c r="D56" s="933"/>
      <c r="E56" s="933"/>
      <c r="F56" s="933"/>
      <c r="G56" s="933"/>
      <c r="H56" s="933"/>
      <c r="I56" s="933"/>
      <c r="J56" s="933"/>
      <c r="K56" s="933"/>
      <c r="L56" s="933"/>
      <c r="M56" s="933"/>
      <c r="N56" s="933"/>
      <c r="O56" s="933"/>
      <c r="P56" s="933"/>
      <c r="Q56" s="934"/>
      <c r="R56" s="9"/>
      <c r="S56" s="9"/>
      <c r="T56" s="9"/>
      <c r="U56" s="9"/>
      <c r="V56" s="9"/>
      <c r="W56" s="9"/>
      <c r="X56" s="9"/>
      <c r="Y56" s="9"/>
      <c r="Z56" s="9"/>
    </row>
    <row r="57" spans="1:26" ht="13.5" customHeight="1" x14ac:dyDescent="0.25">
      <c r="A57" s="10"/>
      <c r="B57" s="9"/>
      <c r="C57" s="9"/>
      <c r="D57" s="9"/>
      <c r="E57" s="9"/>
      <c r="F57" s="9"/>
      <c r="G57" s="9"/>
      <c r="H57" s="9"/>
      <c r="I57" s="9"/>
      <c r="J57" s="9"/>
      <c r="K57" s="9"/>
      <c r="L57" s="9"/>
      <c r="M57" s="9"/>
      <c r="N57" s="9"/>
      <c r="O57" s="9"/>
      <c r="P57" s="9"/>
      <c r="Q57" s="9"/>
      <c r="R57" s="9"/>
      <c r="S57" s="9"/>
      <c r="T57" s="9"/>
      <c r="U57" s="9"/>
      <c r="V57" s="9"/>
      <c r="W57" s="9"/>
      <c r="X57" s="9"/>
      <c r="Y57" s="9"/>
      <c r="Z57" s="9"/>
    </row>
    <row r="58" spans="1:26" ht="13.5" customHeight="1" x14ac:dyDescent="0.25">
      <c r="A58" s="10"/>
      <c r="B58" s="9"/>
      <c r="C58" s="1007" t="str">
        <f>C42</f>
        <v>Raw Data</v>
      </c>
      <c r="D58" s="954"/>
      <c r="E58" s="955"/>
      <c r="F58" s="37"/>
      <c r="G58" s="9"/>
      <c r="H58" s="9"/>
      <c r="I58" s="9"/>
      <c r="J58" s="9"/>
      <c r="K58" s="9"/>
      <c r="L58" s="9"/>
      <c r="M58" s="9"/>
      <c r="N58" s="9"/>
      <c r="O58" s="1007" t="str">
        <f>O42</f>
        <v>Chart Data</v>
      </c>
      <c r="P58" s="954"/>
      <c r="Q58" s="955"/>
      <c r="R58" s="9"/>
      <c r="S58" s="9"/>
      <c r="T58" s="9"/>
      <c r="U58" s="9"/>
      <c r="V58" s="9"/>
      <c r="W58" s="9"/>
      <c r="X58" s="9"/>
      <c r="Y58" s="9"/>
      <c r="Z58" s="9"/>
    </row>
    <row r="59" spans="1:26" ht="13.5" customHeight="1" x14ac:dyDescent="0.25">
      <c r="A59" s="10"/>
      <c r="B59" s="9"/>
      <c r="C59" s="9"/>
      <c r="D59" s="9"/>
      <c r="E59" s="9"/>
      <c r="F59" s="9"/>
      <c r="G59" s="9"/>
      <c r="H59" s="9"/>
      <c r="I59" s="9"/>
      <c r="J59" s="9"/>
      <c r="K59" s="9"/>
      <c r="L59" s="9"/>
      <c r="M59" s="9"/>
      <c r="N59" s="9"/>
      <c r="O59" s="9"/>
      <c r="P59" s="9"/>
      <c r="Q59" s="9"/>
      <c r="R59" s="9"/>
      <c r="S59" s="9"/>
      <c r="T59" s="9"/>
      <c r="U59" s="9"/>
      <c r="V59" s="9"/>
      <c r="W59" s="9"/>
      <c r="X59" s="9"/>
      <c r="Y59" s="9"/>
      <c r="Z59" s="9"/>
    </row>
    <row r="60" spans="1:26" ht="13.5" customHeight="1" x14ac:dyDescent="0.25">
      <c r="A60" s="10"/>
      <c r="B60" s="9"/>
      <c r="C60" s="793" t="str">
        <f t="shared" ref="C60:C64" si="18">C44</f>
        <v>AXP</v>
      </c>
      <c r="D60" s="799">
        <f>Comparables!V10</f>
        <v>16.755862633410693</v>
      </c>
      <c r="E60" s="802">
        <f ca="1">MEDIAN(D60:D64)</f>
        <v>16.755862633410693</v>
      </c>
      <c r="F60" s="9"/>
      <c r="G60" s="9"/>
      <c r="H60" s="9"/>
      <c r="I60" s="9"/>
      <c r="J60" s="9"/>
      <c r="K60" s="9"/>
      <c r="L60" s="9"/>
      <c r="M60" s="9"/>
      <c r="N60" s="9"/>
      <c r="O60" s="793" t="str">
        <f t="shared" ref="O60:P60" si="19">C60</f>
        <v>AXP</v>
      </c>
      <c r="P60" s="800">
        <f t="shared" si="19"/>
        <v>16.755862633410693</v>
      </c>
      <c r="Q60" s="800">
        <f t="shared" ref="Q60:Q64" ca="1" si="20">E60</f>
        <v>16.755862633410693</v>
      </c>
      <c r="R60" s="9"/>
      <c r="S60" s="9"/>
      <c r="T60" s="9"/>
      <c r="U60" s="9"/>
      <c r="V60" s="9"/>
      <c r="W60" s="9"/>
      <c r="X60" s="9"/>
      <c r="Y60" s="9"/>
      <c r="Z60" s="9"/>
    </row>
    <row r="61" spans="1:26" ht="13.5" customHeight="1" x14ac:dyDescent="0.25">
      <c r="A61" s="10"/>
      <c r="B61" s="37">
        <v>1</v>
      </c>
      <c r="C61" s="661" t="str">
        <f t="shared" si="18"/>
        <v>V</v>
      </c>
      <c r="D61" s="801">
        <f ca="1">Comparables!V12+RAND()/1000000</f>
        <v>22.902762089801854</v>
      </c>
      <c r="E61" s="802">
        <f t="shared" ref="E61:E64" ca="1" si="21">E60</f>
        <v>16.755862633410693</v>
      </c>
      <c r="F61" s="9"/>
      <c r="G61" s="9"/>
      <c r="H61" s="9"/>
      <c r="I61" s="9"/>
      <c r="J61" s="9"/>
      <c r="K61" s="9"/>
      <c r="L61" s="9"/>
      <c r="M61" s="9"/>
      <c r="N61" s="9"/>
      <c r="O61" s="661" t="str">
        <f t="shared" ref="O61:O64" ca="1" si="22">INDEX($C$61:$C$65,MATCH(P61,$D$61:$D$65,0),1)</f>
        <v>MA</v>
      </c>
      <c r="P61" s="802">
        <f t="shared" ref="P61:P64" ca="1" si="23">LARGE($D$61:$D$65,B61)</f>
        <v>24.873324025086493</v>
      </c>
      <c r="Q61" s="802">
        <f t="shared" ca="1" si="20"/>
        <v>16.755862633410693</v>
      </c>
      <c r="R61" s="9"/>
      <c r="S61" s="9"/>
      <c r="T61" s="9"/>
      <c r="U61" s="9"/>
      <c r="V61" s="9"/>
      <c r="W61" s="9"/>
      <c r="X61" s="9"/>
      <c r="Y61" s="9"/>
      <c r="Z61" s="9"/>
    </row>
    <row r="62" spans="1:26" ht="13.5" customHeight="1" x14ac:dyDescent="0.25">
      <c r="A62" s="10"/>
      <c r="B62" s="9">
        <f t="shared" ref="B62:B65" si="24">B61+1</f>
        <v>2</v>
      </c>
      <c r="C62" s="661" t="str">
        <f t="shared" si="18"/>
        <v>MA</v>
      </c>
      <c r="D62" s="801">
        <f ca="1">Comparables!V13+RAND()/1000000</f>
        <v>24.873324025086493</v>
      </c>
      <c r="E62" s="802">
        <f t="shared" ca="1" si="21"/>
        <v>16.755862633410693</v>
      </c>
      <c r="F62" s="9"/>
      <c r="G62" s="9"/>
      <c r="H62" s="9"/>
      <c r="I62" s="9"/>
      <c r="J62" s="9"/>
      <c r="K62" s="9"/>
      <c r="L62" s="9"/>
      <c r="M62" s="9"/>
      <c r="N62" s="9"/>
      <c r="O62" s="661" t="str">
        <f t="shared" ca="1" si="22"/>
        <v>V</v>
      </c>
      <c r="P62" s="802">
        <f t="shared" ca="1" si="23"/>
        <v>22.902762089801854</v>
      </c>
      <c r="Q62" s="802">
        <f t="shared" ca="1" si="20"/>
        <v>16.755862633410693</v>
      </c>
      <c r="R62" s="9"/>
      <c r="S62" s="9"/>
      <c r="T62" s="9"/>
      <c r="U62" s="9"/>
      <c r="V62" s="9"/>
      <c r="W62" s="9"/>
      <c r="X62" s="9"/>
      <c r="Y62" s="9"/>
      <c r="Z62" s="9"/>
    </row>
    <row r="63" spans="1:26" ht="13.5" customHeight="1" x14ac:dyDescent="0.25">
      <c r="A63" s="10"/>
      <c r="B63" s="9">
        <f t="shared" si="24"/>
        <v>3</v>
      </c>
      <c r="C63" s="661" t="str">
        <f t="shared" si="18"/>
        <v>COF</v>
      </c>
      <c r="D63" s="801">
        <f ca="1">Comparables!V14+RAND()/1000000</f>
        <v>8.9793777528841439</v>
      </c>
      <c r="E63" s="802">
        <f t="shared" ca="1" si="21"/>
        <v>16.755862633410693</v>
      </c>
      <c r="F63" s="9"/>
      <c r="G63" s="9"/>
      <c r="H63" s="9"/>
      <c r="I63" s="9"/>
      <c r="J63" s="9"/>
      <c r="K63" s="9"/>
      <c r="L63" s="9"/>
      <c r="M63" s="9"/>
      <c r="N63" s="9"/>
      <c r="O63" s="661" t="str">
        <f t="shared" ca="1" si="22"/>
        <v>JPM</v>
      </c>
      <c r="P63" s="802">
        <f t="shared" ca="1" si="23"/>
        <v>13.043407457692155</v>
      </c>
      <c r="Q63" s="802">
        <f t="shared" ca="1" si="20"/>
        <v>16.755862633410693</v>
      </c>
      <c r="R63" s="9"/>
      <c r="S63" s="9"/>
      <c r="T63" s="9"/>
      <c r="U63" s="9"/>
      <c r="V63" s="9"/>
      <c r="W63" s="9"/>
      <c r="X63" s="9"/>
      <c r="Y63" s="9"/>
      <c r="Z63" s="9"/>
    </row>
    <row r="64" spans="1:26" ht="13.5" customHeight="1" x14ac:dyDescent="0.25">
      <c r="A64" s="10"/>
      <c r="B64" s="9">
        <f t="shared" si="24"/>
        <v>4</v>
      </c>
      <c r="C64" s="661" t="str">
        <f t="shared" si="18"/>
        <v>JPM</v>
      </c>
      <c r="D64" s="801">
        <f ca="1">Comparables!V15+RAND()/1000000</f>
        <v>13.043407457692155</v>
      </c>
      <c r="E64" s="802">
        <f t="shared" ca="1" si="21"/>
        <v>16.755862633410693</v>
      </c>
      <c r="F64" s="9"/>
      <c r="G64" s="9"/>
      <c r="H64" s="9"/>
      <c r="I64" s="9"/>
      <c r="J64" s="9"/>
      <c r="K64" s="9"/>
      <c r="L64" s="9"/>
      <c r="M64" s="9"/>
      <c r="N64" s="9"/>
      <c r="O64" s="661" t="str">
        <f t="shared" ca="1" si="22"/>
        <v>COF</v>
      </c>
      <c r="P64" s="802">
        <f t="shared" ca="1" si="23"/>
        <v>8.9793777528841439</v>
      </c>
      <c r="Q64" s="802">
        <f t="shared" ca="1" si="20"/>
        <v>16.755862633410693</v>
      </c>
      <c r="R64" s="9"/>
      <c r="S64" s="9"/>
      <c r="T64" s="9"/>
      <c r="U64" s="9"/>
      <c r="V64" s="9"/>
      <c r="W64" s="9"/>
      <c r="X64" s="9"/>
      <c r="Y64" s="9"/>
      <c r="Z64" s="9"/>
    </row>
    <row r="65" spans="1:26" ht="13.5" customHeight="1" x14ac:dyDescent="0.25">
      <c r="A65" s="10"/>
      <c r="B65" s="9">
        <f t="shared" si="24"/>
        <v>5</v>
      </c>
      <c r="C65" s="661"/>
      <c r="D65" s="801"/>
      <c r="E65" s="802"/>
      <c r="F65" s="9"/>
      <c r="G65" s="9"/>
      <c r="H65" s="9"/>
      <c r="I65" s="9"/>
      <c r="J65" s="9"/>
      <c r="K65" s="9"/>
      <c r="L65" s="9"/>
      <c r="M65" s="9"/>
      <c r="N65" s="9"/>
      <c r="O65" s="661"/>
      <c r="P65" s="802"/>
      <c r="Q65" s="802"/>
      <c r="R65" s="9"/>
      <c r="S65" s="9"/>
      <c r="T65" s="9"/>
      <c r="U65" s="9"/>
      <c r="V65" s="9"/>
      <c r="W65" s="9"/>
      <c r="X65" s="9"/>
      <c r="Y65" s="9"/>
      <c r="Z65" s="9"/>
    </row>
    <row r="66" spans="1:26" ht="13.5" customHeight="1" x14ac:dyDescent="0.25">
      <c r="A66" s="10"/>
      <c r="B66" s="9"/>
      <c r="C66" s="9"/>
      <c r="D66" s="9"/>
      <c r="E66" s="9"/>
      <c r="F66" s="9"/>
      <c r="G66" s="9"/>
      <c r="H66" s="9"/>
      <c r="I66" s="9"/>
      <c r="J66" s="9"/>
      <c r="K66" s="9"/>
      <c r="L66" s="9"/>
      <c r="M66" s="9"/>
      <c r="N66" s="9"/>
      <c r="O66" s="9"/>
      <c r="P66" s="9"/>
      <c r="Q66" s="9"/>
      <c r="R66" s="9"/>
      <c r="S66" s="9"/>
      <c r="T66" s="9"/>
      <c r="U66" s="9"/>
      <c r="V66" s="9"/>
      <c r="W66" s="9"/>
      <c r="X66" s="9"/>
      <c r="Y66" s="9"/>
      <c r="Z66" s="9"/>
    </row>
    <row r="67" spans="1:26" ht="13.5" customHeight="1" x14ac:dyDescent="0.25">
      <c r="A67" s="10"/>
      <c r="B67" s="9"/>
      <c r="C67" s="9"/>
      <c r="D67" s="9"/>
      <c r="E67" s="798" t="str">
        <f ca="1">"Median "&amp;TEXT(E61,"0.0x")</f>
        <v>Median 16.8x</v>
      </c>
      <c r="F67" s="9"/>
      <c r="G67" s="9"/>
      <c r="H67" s="9"/>
      <c r="I67" s="9"/>
      <c r="J67" s="9"/>
      <c r="K67" s="9"/>
      <c r="L67" s="9"/>
      <c r="M67" s="9"/>
      <c r="N67" s="9"/>
      <c r="O67" s="9"/>
      <c r="P67" s="9"/>
      <c r="Q67" s="798" t="str">
        <f ca="1">E67</f>
        <v>Median 16.8x</v>
      </c>
      <c r="R67" s="9"/>
      <c r="S67" s="9"/>
      <c r="T67" s="9"/>
      <c r="U67" s="9"/>
      <c r="V67" s="9"/>
      <c r="W67" s="9"/>
      <c r="X67" s="9"/>
      <c r="Y67" s="9"/>
      <c r="Z67" s="9"/>
    </row>
    <row r="68" spans="1:26" ht="13.5" customHeight="1" x14ac:dyDescent="0.25">
      <c r="A68" s="10"/>
      <c r="B68" s="9"/>
      <c r="C68" s="9"/>
      <c r="D68" s="9"/>
      <c r="E68" s="9"/>
      <c r="F68" s="9"/>
      <c r="G68" s="9"/>
      <c r="H68" s="9"/>
      <c r="I68" s="9"/>
      <c r="J68" s="9"/>
      <c r="K68" s="9"/>
      <c r="L68" s="9"/>
      <c r="M68" s="9"/>
      <c r="N68" s="9"/>
      <c r="O68" s="9"/>
      <c r="P68" s="9"/>
      <c r="Q68" s="9"/>
      <c r="R68" s="9"/>
      <c r="S68" s="9"/>
      <c r="T68" s="9"/>
      <c r="U68" s="9"/>
      <c r="V68" s="9"/>
      <c r="W68" s="9"/>
      <c r="X68" s="9"/>
      <c r="Y68" s="9"/>
      <c r="Z68" s="9"/>
    </row>
    <row r="69" spans="1:26" ht="13.5" customHeight="1" x14ac:dyDescent="0.25">
      <c r="A69" s="10"/>
      <c r="B69" s="9"/>
      <c r="C69" s="9"/>
      <c r="D69" s="9"/>
      <c r="E69" s="9"/>
      <c r="F69" s="9"/>
      <c r="G69" s="9"/>
      <c r="H69" s="9"/>
      <c r="I69" s="9"/>
      <c r="J69" s="9"/>
      <c r="K69" s="9"/>
      <c r="L69" s="9"/>
      <c r="M69" s="9"/>
      <c r="N69" s="9"/>
      <c r="O69" s="9"/>
      <c r="P69" s="9"/>
      <c r="Q69" s="9"/>
      <c r="R69" s="9"/>
      <c r="S69" s="9"/>
      <c r="T69" s="9"/>
      <c r="U69" s="9"/>
      <c r="V69" s="9"/>
      <c r="W69" s="9"/>
      <c r="X69" s="9"/>
      <c r="Y69" s="9"/>
      <c r="Z69" s="9"/>
    </row>
    <row r="70" spans="1:26" ht="13.5" customHeight="1" x14ac:dyDescent="0.25">
      <c r="A70" s="10"/>
      <c r="B70" s="9"/>
      <c r="C70" s="9"/>
      <c r="D70" s="9"/>
      <c r="E70" s="9"/>
      <c r="F70" s="9"/>
      <c r="G70" s="9"/>
      <c r="H70" s="9"/>
      <c r="I70" s="9"/>
      <c r="J70" s="9"/>
      <c r="K70" s="9"/>
      <c r="L70" s="9"/>
      <c r="M70" s="9"/>
      <c r="N70" s="9"/>
      <c r="O70" s="9"/>
      <c r="P70" s="9"/>
      <c r="Q70" s="9"/>
      <c r="R70" s="9"/>
      <c r="S70" s="9"/>
      <c r="T70" s="9"/>
      <c r="U70" s="9"/>
      <c r="V70" s="9"/>
      <c r="W70" s="9"/>
      <c r="X70" s="9"/>
      <c r="Y70" s="9"/>
      <c r="Z70" s="9"/>
    </row>
    <row r="71" spans="1:26" ht="13.5" customHeight="1" x14ac:dyDescent="0.25">
      <c r="A71" s="10"/>
      <c r="B71" s="9"/>
      <c r="C71" s="9"/>
      <c r="D71" s="9"/>
      <c r="E71" s="9"/>
      <c r="F71" s="9"/>
      <c r="G71" s="9"/>
      <c r="H71" s="9"/>
      <c r="I71" s="9"/>
      <c r="J71" s="9"/>
      <c r="K71" s="9"/>
      <c r="L71" s="9"/>
      <c r="M71" s="9"/>
      <c r="N71" s="9"/>
      <c r="O71" s="9"/>
      <c r="P71" s="9"/>
      <c r="Q71" s="9"/>
      <c r="R71" s="9"/>
      <c r="S71" s="9"/>
      <c r="T71" s="9"/>
      <c r="U71" s="9"/>
      <c r="V71" s="9"/>
      <c r="W71" s="9"/>
      <c r="X71" s="9"/>
      <c r="Y71" s="9"/>
      <c r="Z71" s="9"/>
    </row>
    <row r="72" spans="1:26" ht="13.5" customHeight="1" x14ac:dyDescent="0.25">
      <c r="A72" s="10" t="s">
        <v>0</v>
      </c>
      <c r="B72" s="9"/>
      <c r="C72" s="932" t="s">
        <v>805</v>
      </c>
      <c r="D72" s="933"/>
      <c r="E72" s="933"/>
      <c r="F72" s="933"/>
      <c r="G72" s="933"/>
      <c r="H72" s="933"/>
      <c r="I72" s="933"/>
      <c r="J72" s="933"/>
      <c r="K72" s="933"/>
      <c r="L72" s="933"/>
      <c r="M72" s="933"/>
      <c r="N72" s="933"/>
      <c r="O72" s="933"/>
      <c r="P72" s="933"/>
      <c r="Q72" s="934"/>
      <c r="R72" s="9"/>
      <c r="S72" s="9"/>
      <c r="T72" s="9"/>
      <c r="U72" s="9"/>
      <c r="V72" s="9"/>
      <c r="W72" s="9"/>
      <c r="X72" s="9"/>
      <c r="Y72" s="9"/>
      <c r="Z72" s="9"/>
    </row>
    <row r="73" spans="1:26" ht="13.5" customHeight="1" x14ac:dyDescent="0.25">
      <c r="A73" s="10"/>
      <c r="B73" s="9"/>
      <c r="C73" s="9"/>
      <c r="D73" s="9"/>
      <c r="E73" s="9"/>
      <c r="F73" s="9"/>
      <c r="G73" s="9"/>
      <c r="H73" s="9"/>
      <c r="I73" s="9"/>
      <c r="J73" s="9"/>
      <c r="K73" s="9"/>
      <c r="L73" s="9"/>
      <c r="M73" s="9"/>
      <c r="N73" s="9"/>
      <c r="O73" s="9"/>
      <c r="P73" s="9"/>
      <c r="Q73" s="9"/>
      <c r="R73" s="9"/>
      <c r="S73" s="9"/>
      <c r="T73" s="9"/>
      <c r="U73" s="9"/>
      <c r="V73" s="9"/>
      <c r="W73" s="9"/>
      <c r="X73" s="9"/>
      <c r="Y73" s="9"/>
      <c r="Z73" s="9"/>
    </row>
    <row r="74" spans="1:26" ht="13.5" customHeight="1" x14ac:dyDescent="0.25">
      <c r="A74" s="10"/>
      <c r="B74" s="9"/>
      <c r="C74" s="1007" t="str">
        <f>C58</f>
        <v>Raw Data</v>
      </c>
      <c r="D74" s="954"/>
      <c r="E74" s="955"/>
      <c r="F74" s="37"/>
      <c r="G74" s="9"/>
      <c r="H74" s="9"/>
      <c r="I74" s="9"/>
      <c r="J74" s="9"/>
      <c r="K74" s="9"/>
      <c r="L74" s="9"/>
      <c r="M74" s="9"/>
      <c r="N74" s="9"/>
      <c r="O74" s="1007" t="str">
        <f>O58</f>
        <v>Chart Data</v>
      </c>
      <c r="P74" s="954"/>
      <c r="Q74" s="955"/>
      <c r="R74" s="9"/>
      <c r="S74" s="9"/>
      <c r="T74" s="9"/>
      <c r="U74" s="9"/>
      <c r="V74" s="9"/>
      <c r="W74" s="9"/>
      <c r="X74" s="9"/>
      <c r="Y74" s="9"/>
      <c r="Z74" s="9"/>
    </row>
    <row r="75" spans="1:26" ht="13.5" customHeight="1" x14ac:dyDescent="0.25">
      <c r="A75" s="10"/>
      <c r="B75" s="9"/>
      <c r="C75" s="9"/>
      <c r="D75" s="9"/>
      <c r="E75" s="9"/>
      <c r="F75" s="9"/>
      <c r="G75" s="9"/>
      <c r="H75" s="9"/>
      <c r="I75" s="9"/>
      <c r="J75" s="9"/>
      <c r="K75" s="9"/>
      <c r="L75" s="9"/>
      <c r="M75" s="9"/>
      <c r="N75" s="9"/>
      <c r="O75" s="9"/>
      <c r="P75" s="9"/>
      <c r="Q75" s="9"/>
      <c r="R75" s="9"/>
      <c r="S75" s="9"/>
      <c r="T75" s="9"/>
      <c r="U75" s="9"/>
      <c r="V75" s="9"/>
      <c r="W75" s="9"/>
      <c r="X75" s="9"/>
      <c r="Y75" s="9"/>
      <c r="Z75" s="9"/>
    </row>
    <row r="76" spans="1:26" ht="13.5" customHeight="1" x14ac:dyDescent="0.25">
      <c r="A76" s="10"/>
      <c r="B76" s="9"/>
      <c r="C76" s="793" t="str">
        <f t="shared" ref="C76:C80" si="25">C60</f>
        <v>AXP</v>
      </c>
      <c r="D76" s="799">
        <f>Comparables!N27</f>
        <v>2.2999999999999998</v>
      </c>
      <c r="E76" s="802">
        <f ca="1">MEDIAN(D76:D80)</f>
        <v>0.92421065062643493</v>
      </c>
      <c r="F76" s="9"/>
      <c r="G76" s="9"/>
      <c r="H76" s="9"/>
      <c r="I76" s="9"/>
      <c r="J76" s="9"/>
      <c r="K76" s="9"/>
      <c r="L76" s="9"/>
      <c r="M76" s="9"/>
      <c r="N76" s="9"/>
      <c r="O76" s="793" t="str">
        <f t="shared" ref="O76:P76" si="26">C76</f>
        <v>AXP</v>
      </c>
      <c r="P76" s="800">
        <f t="shared" si="26"/>
        <v>2.2999999999999998</v>
      </c>
      <c r="Q76" s="800">
        <f t="shared" ref="Q76:Q80" ca="1" si="27">E76</f>
        <v>0.92421065062643493</v>
      </c>
      <c r="R76" s="9"/>
      <c r="S76" s="9"/>
      <c r="T76" s="9"/>
      <c r="U76" s="9"/>
      <c r="V76" s="9"/>
      <c r="W76" s="9"/>
      <c r="X76" s="9"/>
      <c r="Y76" s="9"/>
      <c r="Z76" s="9"/>
    </row>
    <row r="77" spans="1:26" ht="13.5" customHeight="1" x14ac:dyDescent="0.25">
      <c r="A77" s="10"/>
      <c r="B77" s="573"/>
      <c r="C77" s="661" t="str">
        <f t="shared" si="25"/>
        <v>V</v>
      </c>
      <c r="D77" s="801">
        <f ca="1">Comparables!N29+RAND()/1000000</f>
        <v>0.92421065062643493</v>
      </c>
      <c r="E77" s="802">
        <f t="shared" ref="E77:E80" ca="1" si="28">E76</f>
        <v>0.92421065062643493</v>
      </c>
      <c r="F77" s="9"/>
      <c r="G77" s="9"/>
      <c r="H77" s="9"/>
      <c r="I77" s="9"/>
      <c r="J77" s="9"/>
      <c r="K77" s="9"/>
      <c r="L77" s="9"/>
      <c r="M77" s="9"/>
      <c r="N77" s="9"/>
      <c r="O77" s="661" t="str">
        <f>C77</f>
        <v>V</v>
      </c>
      <c r="P77" s="802">
        <f ca="1">D77</f>
        <v>0.92421065062643493</v>
      </c>
      <c r="Q77" s="802">
        <f t="shared" ca="1" si="27"/>
        <v>0.92421065062643493</v>
      </c>
      <c r="R77" s="9"/>
      <c r="S77" s="9"/>
      <c r="T77" s="9"/>
      <c r="U77" s="9"/>
      <c r="V77" s="9"/>
      <c r="W77" s="9"/>
      <c r="X77" s="9"/>
      <c r="Y77" s="9"/>
      <c r="Z77" s="9"/>
    </row>
    <row r="78" spans="1:26" ht="13.5" customHeight="1" x14ac:dyDescent="0.25">
      <c r="A78" s="10"/>
      <c r="B78" s="9">
        <f t="shared" ref="B78:B81" si="29">B77+1</f>
        <v>1</v>
      </c>
      <c r="C78" s="661" t="str">
        <f t="shared" si="25"/>
        <v>MA</v>
      </c>
      <c r="D78" s="801">
        <f ca="1">Comparables!O30+RAND()/1000000</f>
        <v>2.56041865022523</v>
      </c>
      <c r="E78" s="802">
        <f t="shared" ca="1" si="28"/>
        <v>0.92421065062643493</v>
      </c>
      <c r="F78" s="9"/>
      <c r="G78" s="9"/>
      <c r="H78" s="9"/>
      <c r="I78" s="9"/>
      <c r="J78" s="9"/>
      <c r="K78" s="9"/>
      <c r="L78" s="9"/>
      <c r="M78" s="9"/>
      <c r="N78" s="9"/>
      <c r="O78" s="661" t="str">
        <f t="shared" ref="O78" ca="1" si="30">INDEX($C$77:$C$81,MATCH(P78,$D$77:$D$81,0),1)</f>
        <v>MA</v>
      </c>
      <c r="P78" s="802">
        <f t="shared" ref="P78:P80" ca="1" si="31">LARGE($D$77:$D$81,B78)</f>
        <v>2.56041865022523</v>
      </c>
      <c r="Q78" s="802">
        <f t="shared" ca="1" si="27"/>
        <v>0.92421065062643493</v>
      </c>
      <c r="R78" s="9"/>
      <c r="S78" s="9"/>
      <c r="T78" s="9"/>
      <c r="U78" s="9"/>
      <c r="V78" s="9"/>
      <c r="W78" s="9"/>
      <c r="X78" s="9"/>
      <c r="Y78" s="9"/>
      <c r="Z78" s="9"/>
    </row>
    <row r="79" spans="1:26" ht="13.5" customHeight="1" x14ac:dyDescent="0.25">
      <c r="A79" s="10"/>
      <c r="B79" s="9">
        <f t="shared" si="29"/>
        <v>2</v>
      </c>
      <c r="C79" s="661" t="str">
        <f t="shared" si="25"/>
        <v>COF</v>
      </c>
      <c r="D79" s="801">
        <f ca="1">Comparables!O31+RAND()/1000000</f>
        <v>3.2841850019869189E-7</v>
      </c>
      <c r="E79" s="802">
        <f t="shared" ca="1" si="28"/>
        <v>0.92421065062643493</v>
      </c>
      <c r="F79" s="9"/>
      <c r="G79" s="9"/>
      <c r="H79" s="9"/>
      <c r="I79" s="9"/>
      <c r="J79" s="9"/>
      <c r="K79" s="9"/>
      <c r="L79" s="9"/>
      <c r="M79" s="9"/>
      <c r="N79" s="9"/>
      <c r="O79" s="661" t="str">
        <f>C79</f>
        <v>COF</v>
      </c>
      <c r="P79" s="802">
        <f t="shared" ca="1" si="31"/>
        <v>0.92421065062643493</v>
      </c>
      <c r="Q79" s="802">
        <f t="shared" ca="1" si="27"/>
        <v>0.92421065062643493</v>
      </c>
      <c r="R79" s="9"/>
      <c r="S79" s="9"/>
      <c r="T79" s="9"/>
      <c r="U79" s="9"/>
      <c r="V79" s="9"/>
      <c r="W79" s="9"/>
      <c r="X79" s="9"/>
      <c r="Y79" s="9"/>
      <c r="Z79" s="9"/>
    </row>
    <row r="80" spans="1:26" ht="13.5" customHeight="1" x14ac:dyDescent="0.25">
      <c r="A80" s="10"/>
      <c r="B80" s="9">
        <f t="shared" si="29"/>
        <v>3</v>
      </c>
      <c r="C80" s="661" t="str">
        <f t="shared" si="25"/>
        <v>JPM</v>
      </c>
      <c r="D80" s="801">
        <f ca="1">Comparables!O32+RAND()/1000000</f>
        <v>9.7883283838021653E-7</v>
      </c>
      <c r="E80" s="802">
        <f t="shared" ca="1" si="28"/>
        <v>0.92421065062643493</v>
      </c>
      <c r="F80" s="9"/>
      <c r="G80" s="9"/>
      <c r="H80" s="9"/>
      <c r="I80" s="9"/>
      <c r="J80" s="9"/>
      <c r="K80" s="9"/>
      <c r="L80" s="9"/>
      <c r="M80" s="9"/>
      <c r="N80" s="9"/>
      <c r="O80" s="661" t="str">
        <f>C80</f>
        <v>JPM</v>
      </c>
      <c r="P80" s="802">
        <f t="shared" ca="1" si="31"/>
        <v>9.7883283838021653E-7</v>
      </c>
      <c r="Q80" s="802">
        <f t="shared" ca="1" si="27"/>
        <v>0.92421065062643493</v>
      </c>
      <c r="R80" s="9"/>
      <c r="S80" s="9"/>
      <c r="T80" s="9"/>
      <c r="U80" s="9"/>
      <c r="V80" s="9"/>
      <c r="W80" s="9"/>
      <c r="X80" s="9"/>
      <c r="Y80" s="9"/>
      <c r="Z80" s="9"/>
    </row>
    <row r="81" spans="1:26" ht="13.5" customHeight="1" x14ac:dyDescent="0.25">
      <c r="A81" s="10"/>
      <c r="B81" s="9">
        <f t="shared" si="29"/>
        <v>4</v>
      </c>
      <c r="C81" s="661"/>
      <c r="D81" s="801"/>
      <c r="E81" s="802"/>
      <c r="F81" s="9"/>
      <c r="G81" s="9"/>
      <c r="H81" s="9"/>
      <c r="I81" s="9"/>
      <c r="J81" s="9"/>
      <c r="K81" s="9"/>
      <c r="L81" s="9"/>
      <c r="M81" s="9"/>
      <c r="N81" s="9"/>
      <c r="O81" s="9"/>
      <c r="P81" s="9"/>
      <c r="Q81" s="9"/>
      <c r="R81" s="9"/>
      <c r="S81" s="9"/>
      <c r="T81" s="9"/>
      <c r="U81" s="9"/>
      <c r="V81" s="9"/>
      <c r="W81" s="9"/>
      <c r="X81" s="9"/>
      <c r="Y81" s="9"/>
      <c r="Z81" s="9"/>
    </row>
    <row r="82" spans="1:26" ht="13.5" customHeight="1" x14ac:dyDescent="0.25">
      <c r="A82" s="10"/>
      <c r="B82" s="9"/>
      <c r="C82" s="9"/>
      <c r="D82" s="9"/>
      <c r="E82" s="9"/>
      <c r="F82" s="9"/>
      <c r="G82" s="9"/>
      <c r="H82" s="9"/>
      <c r="I82" s="9"/>
      <c r="J82" s="9"/>
      <c r="K82" s="9"/>
      <c r="L82" s="9"/>
      <c r="M82" s="9"/>
      <c r="N82" s="9"/>
      <c r="O82" s="9"/>
      <c r="P82" s="9"/>
      <c r="Q82" s="9"/>
      <c r="R82" s="9"/>
      <c r="S82" s="9"/>
      <c r="T82" s="9"/>
      <c r="U82" s="9"/>
      <c r="V82" s="9"/>
      <c r="W82" s="9"/>
      <c r="X82" s="9"/>
      <c r="Y82" s="9"/>
      <c r="Z82" s="9"/>
    </row>
    <row r="83" spans="1:26" ht="13.5" customHeight="1" x14ac:dyDescent="0.25">
      <c r="A83" s="10"/>
      <c r="B83" s="9"/>
      <c r="C83" s="9"/>
      <c r="D83" s="9"/>
      <c r="E83" s="798" t="str">
        <f ca="1">"Median "&amp;TEXT(E77,"0.0x")</f>
        <v>Median 0.9x</v>
      </c>
      <c r="F83" s="9"/>
      <c r="G83" s="9"/>
      <c r="H83" s="9"/>
      <c r="I83" s="9"/>
      <c r="J83" s="9"/>
      <c r="K83" s="9"/>
      <c r="L83" s="9"/>
      <c r="M83" s="9"/>
      <c r="N83" s="9"/>
      <c r="O83" s="9"/>
      <c r="P83" s="9"/>
      <c r="Q83" s="798" t="str">
        <f ca="1">E83</f>
        <v>Median 0.9x</v>
      </c>
      <c r="R83" s="9"/>
      <c r="S83" s="9"/>
      <c r="T83" s="9"/>
      <c r="U83" s="9"/>
      <c r="V83" s="9"/>
      <c r="W83" s="9"/>
      <c r="X83" s="9"/>
      <c r="Y83" s="9"/>
      <c r="Z83" s="9"/>
    </row>
    <row r="84" spans="1:26" ht="13.5" customHeight="1" x14ac:dyDescent="0.25">
      <c r="A84" s="10"/>
      <c r="B84" s="9"/>
      <c r="C84" s="9"/>
      <c r="D84" s="9"/>
      <c r="E84" s="9"/>
      <c r="F84" s="9"/>
      <c r="G84" s="9"/>
      <c r="H84" s="9"/>
      <c r="I84" s="9"/>
      <c r="J84" s="9"/>
      <c r="K84" s="9"/>
      <c r="L84" s="9"/>
      <c r="M84" s="9"/>
      <c r="N84" s="9"/>
      <c r="O84" s="9"/>
      <c r="P84" s="9"/>
      <c r="Q84" s="9"/>
      <c r="R84" s="9"/>
      <c r="S84" s="9"/>
      <c r="T84" s="9"/>
      <c r="U84" s="9"/>
      <c r="V84" s="9"/>
      <c r="W84" s="9"/>
      <c r="X84" s="9"/>
      <c r="Y84" s="9"/>
      <c r="Z84" s="9"/>
    </row>
    <row r="85" spans="1:26" ht="13.5" customHeight="1" x14ac:dyDescent="0.25">
      <c r="A85" s="10"/>
      <c r="B85" s="9"/>
      <c r="C85" s="9"/>
      <c r="D85" s="9"/>
      <c r="E85" s="9"/>
      <c r="F85" s="9"/>
      <c r="G85" s="9"/>
      <c r="H85" s="9"/>
      <c r="I85" s="9"/>
      <c r="J85" s="9"/>
      <c r="K85" s="9"/>
      <c r="L85" s="9"/>
      <c r="M85" s="9"/>
      <c r="N85" s="9"/>
      <c r="O85" s="9"/>
      <c r="P85" s="9"/>
      <c r="Q85" s="9"/>
      <c r="R85" s="9"/>
      <c r="S85" s="9"/>
      <c r="T85" s="9"/>
      <c r="U85" s="9"/>
      <c r="V85" s="9"/>
      <c r="W85" s="9"/>
      <c r="X85" s="9"/>
      <c r="Y85" s="9"/>
      <c r="Z85" s="9"/>
    </row>
    <row r="86" spans="1:26" ht="13.5" customHeight="1" x14ac:dyDescent="0.25">
      <c r="A86" s="10"/>
      <c r="B86" s="9"/>
      <c r="C86" s="9"/>
      <c r="D86" s="9"/>
      <c r="E86" s="9"/>
      <c r="F86" s="9"/>
      <c r="G86" s="9"/>
      <c r="H86" s="9"/>
      <c r="I86" s="9"/>
      <c r="J86" s="9"/>
      <c r="K86" s="9"/>
      <c r="L86" s="9"/>
      <c r="M86" s="9"/>
      <c r="N86" s="9"/>
      <c r="O86" s="9"/>
      <c r="P86" s="9"/>
      <c r="Q86" s="9"/>
      <c r="R86" s="9"/>
      <c r="S86" s="9"/>
      <c r="T86" s="9"/>
      <c r="U86" s="9"/>
      <c r="V86" s="9"/>
      <c r="W86" s="9"/>
      <c r="X86" s="9"/>
      <c r="Y86" s="9"/>
      <c r="Z86" s="9"/>
    </row>
    <row r="87" spans="1:26" ht="13.5" customHeight="1" x14ac:dyDescent="0.25">
      <c r="A87" s="10"/>
      <c r="B87" s="9"/>
      <c r="C87" s="9"/>
      <c r="D87" s="9"/>
      <c r="E87" s="9"/>
      <c r="F87" s="9"/>
      <c r="G87" s="9"/>
      <c r="H87" s="9"/>
      <c r="I87" s="9"/>
      <c r="J87" s="9"/>
      <c r="K87" s="9"/>
      <c r="L87" s="9"/>
      <c r="M87" s="9"/>
      <c r="N87" s="9"/>
      <c r="O87" s="9"/>
      <c r="P87" s="9"/>
      <c r="Q87" s="9"/>
      <c r="R87" s="9"/>
      <c r="S87" s="9"/>
      <c r="T87" s="9"/>
      <c r="U87" s="9"/>
      <c r="V87" s="9"/>
      <c r="W87" s="9"/>
      <c r="X87" s="9"/>
      <c r="Y87" s="9"/>
      <c r="Z87" s="9"/>
    </row>
    <row r="88" spans="1:26" ht="13.5" customHeight="1" x14ac:dyDescent="0.25">
      <c r="A88" s="10" t="s">
        <v>0</v>
      </c>
      <c r="B88" s="9"/>
      <c r="C88" s="932" t="str">
        <f>TEXT(E4,"yyyy")&amp;" EBITDA / Interest Expense"</f>
        <v>2025 EBITDA / Interest Expense</v>
      </c>
      <c r="D88" s="933"/>
      <c r="E88" s="933"/>
      <c r="F88" s="933"/>
      <c r="G88" s="933"/>
      <c r="H88" s="933"/>
      <c r="I88" s="933"/>
      <c r="J88" s="933"/>
      <c r="K88" s="933"/>
      <c r="L88" s="933"/>
      <c r="M88" s="933"/>
      <c r="N88" s="933"/>
      <c r="O88" s="933"/>
      <c r="P88" s="933"/>
      <c r="Q88" s="934"/>
      <c r="R88" s="9"/>
      <c r="S88" s="9"/>
      <c r="T88" s="9"/>
      <c r="U88" s="9"/>
      <c r="V88" s="9"/>
      <c r="W88" s="9"/>
      <c r="X88" s="9"/>
      <c r="Y88" s="9"/>
      <c r="Z88" s="9"/>
    </row>
    <row r="89" spans="1:26" ht="13.5" customHeight="1" x14ac:dyDescent="0.25">
      <c r="A89" s="10"/>
      <c r="B89" s="9"/>
      <c r="C89" s="9"/>
      <c r="D89" s="9"/>
      <c r="E89" s="9"/>
      <c r="F89" s="9"/>
      <c r="G89" s="9"/>
      <c r="H89" s="9"/>
      <c r="I89" s="9"/>
      <c r="J89" s="9"/>
      <c r="K89" s="9"/>
      <c r="L89" s="9"/>
      <c r="M89" s="9"/>
      <c r="N89" s="9"/>
      <c r="O89" s="9"/>
      <c r="P89" s="9"/>
      <c r="Q89" s="9"/>
      <c r="R89" s="9"/>
      <c r="S89" s="9"/>
      <c r="T89" s="9"/>
      <c r="U89" s="9"/>
      <c r="V89" s="9"/>
      <c r="W89" s="9"/>
      <c r="X89" s="9"/>
      <c r="Y89" s="9"/>
      <c r="Z89" s="9"/>
    </row>
    <row r="90" spans="1:26" ht="13.5" customHeight="1" x14ac:dyDescent="0.25">
      <c r="A90" s="10"/>
      <c r="B90" s="9"/>
      <c r="C90" s="1007" t="str">
        <f>C74</f>
        <v>Raw Data</v>
      </c>
      <c r="D90" s="954"/>
      <c r="E90" s="955"/>
      <c r="F90" s="37"/>
      <c r="G90" s="9"/>
      <c r="H90" s="9"/>
      <c r="I90" s="9"/>
      <c r="J90" s="9"/>
      <c r="K90" s="9"/>
      <c r="L90" s="9"/>
      <c r="M90" s="9"/>
      <c r="N90" s="9"/>
      <c r="O90" s="1007" t="str">
        <f>O74</f>
        <v>Chart Data</v>
      </c>
      <c r="P90" s="954"/>
      <c r="Q90" s="955"/>
      <c r="R90" s="9"/>
      <c r="S90" s="9"/>
      <c r="T90" s="9"/>
      <c r="U90" s="9"/>
      <c r="V90" s="9"/>
      <c r="W90" s="9"/>
      <c r="X90" s="9"/>
      <c r="Y90" s="9"/>
      <c r="Z90" s="9"/>
    </row>
    <row r="91" spans="1:26" ht="13.5" customHeight="1" x14ac:dyDescent="0.25">
      <c r="A91" s="10"/>
      <c r="B91" s="9"/>
      <c r="C91" s="9"/>
      <c r="D91" s="9"/>
      <c r="E91" s="9"/>
      <c r="F91" s="9"/>
      <c r="G91" s="9"/>
      <c r="H91" s="9"/>
      <c r="I91" s="9"/>
      <c r="J91" s="9"/>
      <c r="K91" s="9"/>
      <c r="L91" s="9"/>
      <c r="M91" s="9"/>
      <c r="N91" s="9"/>
      <c r="O91" s="9"/>
      <c r="P91" s="9"/>
      <c r="Q91" s="9"/>
      <c r="R91" s="9"/>
      <c r="S91" s="9"/>
      <c r="T91" s="9"/>
      <c r="U91" s="9"/>
      <c r="V91" s="9"/>
      <c r="W91" s="9"/>
      <c r="X91" s="9"/>
      <c r="Y91" s="9"/>
      <c r="Z91" s="9"/>
    </row>
    <row r="92" spans="1:26" ht="13.5" customHeight="1" x14ac:dyDescent="0.25">
      <c r="A92" s="10"/>
      <c r="B92" s="9"/>
      <c r="C92" s="793" t="str">
        <f t="shared" ref="C92:C96" si="32">C76</f>
        <v>AXP</v>
      </c>
      <c r="D92" s="799">
        <f>Comparables!P27</f>
        <v>2.9</v>
      </c>
      <c r="E92" s="802">
        <f ca="1">MEDIAN(D92:D96)</f>
        <v>2.9</v>
      </c>
      <c r="F92" s="9"/>
      <c r="G92" s="9"/>
      <c r="H92" s="9"/>
      <c r="I92" s="9"/>
      <c r="J92" s="9"/>
      <c r="K92" s="9"/>
      <c r="L92" s="9"/>
      <c r="M92" s="9"/>
      <c r="N92" s="9"/>
      <c r="O92" s="793" t="str">
        <f t="shared" ref="O92:P92" si="33">C92</f>
        <v>AXP</v>
      </c>
      <c r="P92" s="800">
        <f t="shared" si="33"/>
        <v>2.9</v>
      </c>
      <c r="Q92" s="800">
        <f t="shared" ref="Q92:Q96" ca="1" si="34">E92</f>
        <v>2.9</v>
      </c>
      <c r="R92" s="9"/>
      <c r="S92" s="9"/>
      <c r="T92" s="9"/>
      <c r="U92" s="9"/>
      <c r="V92" s="9"/>
      <c r="W92" s="9"/>
      <c r="X92" s="9"/>
      <c r="Y92" s="9"/>
      <c r="Z92" s="9"/>
    </row>
    <row r="93" spans="1:26" ht="13.5" customHeight="1" x14ac:dyDescent="0.25">
      <c r="A93" s="10"/>
      <c r="B93" s="573"/>
      <c r="C93" s="661" t="str">
        <f t="shared" si="32"/>
        <v>V</v>
      </c>
      <c r="D93" s="801">
        <f ca="1">Comparables!P29+RAND()/1000000</f>
        <v>47.916810880720462</v>
      </c>
      <c r="E93" s="802">
        <f ca="1">MEDIAN(D93:D97)</f>
        <v>14.227145616229354</v>
      </c>
      <c r="F93" s="9"/>
      <c r="G93" s="9"/>
      <c r="H93" s="9"/>
      <c r="I93" s="9"/>
      <c r="J93" s="9"/>
      <c r="K93" s="9"/>
      <c r="L93" s="9"/>
      <c r="M93" s="9"/>
      <c r="N93" s="9"/>
      <c r="O93" s="661" t="str">
        <f>C93</f>
        <v>V</v>
      </c>
      <c r="P93" s="802">
        <f ca="1">D93</f>
        <v>47.916810880720462</v>
      </c>
      <c r="Q93" s="802">
        <f t="shared" ca="1" si="34"/>
        <v>14.227145616229354</v>
      </c>
      <c r="R93" s="9"/>
      <c r="S93" s="9"/>
      <c r="T93" s="9"/>
      <c r="U93" s="9"/>
      <c r="V93" s="9"/>
      <c r="W93" s="9"/>
      <c r="X93" s="9"/>
      <c r="Y93" s="9"/>
      <c r="Z93" s="9"/>
    </row>
    <row r="94" spans="1:26" ht="13.5" customHeight="1" x14ac:dyDescent="0.25">
      <c r="A94" s="10"/>
      <c r="B94" s="9">
        <f t="shared" ref="B94:B97" si="35">B93+1</f>
        <v>1</v>
      </c>
      <c r="C94" s="661" t="str">
        <f t="shared" si="32"/>
        <v>MA</v>
      </c>
      <c r="D94" s="801">
        <f ca="1">Comparables!P30+RAND()/1000000</f>
        <v>28.454290703149219</v>
      </c>
      <c r="E94" s="802">
        <f t="shared" ref="E94:E96" ca="1" si="36">E93</f>
        <v>14.227145616229354</v>
      </c>
      <c r="F94" s="9"/>
      <c r="G94" s="9"/>
      <c r="H94" s="9"/>
      <c r="I94" s="9"/>
      <c r="J94" s="9"/>
      <c r="K94" s="9"/>
      <c r="L94" s="9"/>
      <c r="M94" s="9"/>
      <c r="N94" s="9"/>
      <c r="O94" s="661" t="str">
        <f>C94</f>
        <v>MA</v>
      </c>
      <c r="P94" s="802">
        <f ca="1">D94</f>
        <v>28.454290703149219</v>
      </c>
      <c r="Q94" s="802">
        <f t="shared" ca="1" si="34"/>
        <v>14.227145616229354</v>
      </c>
      <c r="R94" s="9"/>
      <c r="S94" s="9"/>
      <c r="T94" s="9"/>
      <c r="U94" s="9"/>
      <c r="V94" s="9"/>
      <c r="W94" s="9"/>
      <c r="X94" s="9"/>
      <c r="Y94" s="9"/>
      <c r="Z94" s="9"/>
    </row>
    <row r="95" spans="1:26" ht="13.5" customHeight="1" x14ac:dyDescent="0.25">
      <c r="A95" s="10"/>
      <c r="B95" s="9">
        <f t="shared" si="35"/>
        <v>2</v>
      </c>
      <c r="C95" s="661" t="str">
        <f t="shared" si="32"/>
        <v>COF</v>
      </c>
      <c r="D95" s="801">
        <f ca="1">Comparables!P31+RAND()/1000000</f>
        <v>4.1671411537843762E-7</v>
      </c>
      <c r="E95" s="802">
        <f t="shared" ca="1" si="36"/>
        <v>14.227145616229354</v>
      </c>
      <c r="F95" s="9"/>
      <c r="G95" s="9"/>
      <c r="H95" s="9"/>
      <c r="I95" s="9"/>
      <c r="J95" s="9"/>
      <c r="K95" s="9"/>
      <c r="L95" s="9"/>
      <c r="M95" s="9"/>
      <c r="N95" s="9"/>
      <c r="O95" s="661" t="str">
        <f>C95</f>
        <v>COF</v>
      </c>
      <c r="P95" s="802">
        <f t="shared" ref="P95:P96" ca="1" si="37">D95</f>
        <v>4.1671411537843762E-7</v>
      </c>
      <c r="Q95" s="802">
        <f t="shared" ca="1" si="34"/>
        <v>14.227145616229354</v>
      </c>
      <c r="R95" s="9"/>
      <c r="S95" s="9"/>
      <c r="T95" s="9"/>
      <c r="U95" s="9"/>
      <c r="V95" s="9"/>
      <c r="W95" s="9"/>
      <c r="X95" s="9"/>
      <c r="Y95" s="9"/>
      <c r="Z95" s="9"/>
    </row>
    <row r="96" spans="1:26" ht="13.5" customHeight="1" x14ac:dyDescent="0.25">
      <c r="A96" s="10"/>
      <c r="B96" s="9">
        <f t="shared" si="35"/>
        <v>3</v>
      </c>
      <c r="C96" s="661" t="str">
        <f t="shared" si="32"/>
        <v>JPM</v>
      </c>
      <c r="D96" s="801">
        <f ca="1">Comparables!P32+RAND()/1000000</f>
        <v>5.2930948793491829E-7</v>
      </c>
      <c r="E96" s="802">
        <f t="shared" ca="1" si="36"/>
        <v>14.227145616229354</v>
      </c>
      <c r="F96" s="9"/>
      <c r="G96" s="9"/>
      <c r="H96" s="9"/>
      <c r="I96" s="9"/>
      <c r="J96" s="9"/>
      <c r="K96" s="9"/>
      <c r="L96" s="9"/>
      <c r="M96" s="9"/>
      <c r="N96" s="9"/>
      <c r="O96" s="661" t="str">
        <f>C96</f>
        <v>JPM</v>
      </c>
      <c r="P96" s="802">
        <f t="shared" ca="1" si="37"/>
        <v>5.2930948793491829E-7</v>
      </c>
      <c r="Q96" s="802">
        <f t="shared" ca="1" si="34"/>
        <v>14.227145616229354</v>
      </c>
      <c r="R96" s="9"/>
      <c r="S96" s="9"/>
      <c r="T96" s="9"/>
      <c r="U96" s="9"/>
      <c r="V96" s="9"/>
      <c r="W96" s="9"/>
      <c r="X96" s="9"/>
      <c r="Y96" s="9"/>
      <c r="Z96" s="9"/>
    </row>
    <row r="97" spans="1:26" ht="13.5" customHeight="1" x14ac:dyDescent="0.25">
      <c r="A97" s="10"/>
      <c r="B97" s="9">
        <f t="shared" si="35"/>
        <v>4</v>
      </c>
      <c r="C97" s="9"/>
      <c r="D97" s="9"/>
      <c r="E97" s="9"/>
      <c r="F97" s="9"/>
      <c r="G97" s="9"/>
      <c r="H97" s="9"/>
      <c r="I97" s="9"/>
      <c r="J97" s="9"/>
      <c r="K97" s="9"/>
      <c r="L97" s="9"/>
      <c r="M97" s="9"/>
      <c r="N97" s="9"/>
      <c r="O97" s="9"/>
      <c r="P97" s="9"/>
      <c r="Q97" s="9"/>
      <c r="R97" s="9"/>
      <c r="S97" s="9"/>
      <c r="T97" s="9"/>
      <c r="U97" s="9"/>
      <c r="V97" s="9"/>
      <c r="W97" s="9"/>
      <c r="X97" s="9"/>
      <c r="Y97" s="9"/>
      <c r="Z97" s="9"/>
    </row>
    <row r="98" spans="1:26" ht="13.5" customHeight="1" x14ac:dyDescent="0.25">
      <c r="A98" s="10"/>
      <c r="B98" s="9"/>
      <c r="C98" s="9"/>
      <c r="D98" s="9"/>
      <c r="E98" s="9"/>
      <c r="F98" s="9"/>
      <c r="G98" s="9"/>
      <c r="H98" s="9"/>
      <c r="I98" s="9"/>
      <c r="J98" s="9"/>
      <c r="K98" s="9"/>
      <c r="L98" s="9"/>
      <c r="M98" s="9"/>
      <c r="N98" s="9"/>
      <c r="O98" s="9"/>
      <c r="P98" s="9"/>
      <c r="Q98" s="9"/>
      <c r="R98" s="9"/>
      <c r="S98" s="9"/>
      <c r="T98" s="9"/>
      <c r="U98" s="9"/>
      <c r="V98" s="9"/>
      <c r="W98" s="9"/>
      <c r="X98" s="9"/>
      <c r="Y98" s="9"/>
      <c r="Z98" s="9"/>
    </row>
    <row r="99" spans="1:26" ht="13.5" customHeight="1" x14ac:dyDescent="0.25">
      <c r="A99" s="10"/>
      <c r="B99" s="9"/>
      <c r="C99" s="9"/>
      <c r="D99" s="9"/>
      <c r="E99" s="798" t="str">
        <f ca="1">"Median "&amp;TEXT(E93,"0.0x")</f>
        <v>Median 14.2x</v>
      </c>
      <c r="F99" s="9"/>
      <c r="G99" s="9"/>
      <c r="H99" s="9"/>
      <c r="I99" s="9"/>
      <c r="J99" s="9"/>
      <c r="K99" s="9"/>
      <c r="L99" s="9"/>
      <c r="M99" s="9"/>
      <c r="N99" s="9"/>
      <c r="O99" s="9"/>
      <c r="P99" s="9"/>
      <c r="Q99" s="798" t="str">
        <f ca="1">E99</f>
        <v>Median 14.2x</v>
      </c>
      <c r="R99" s="9"/>
      <c r="S99" s="9"/>
      <c r="T99" s="9"/>
      <c r="U99" s="9"/>
      <c r="V99" s="9"/>
      <c r="W99" s="9"/>
      <c r="X99" s="9"/>
      <c r="Y99" s="9"/>
      <c r="Z99" s="9"/>
    </row>
    <row r="100" spans="1:26" ht="13.5" customHeight="1" x14ac:dyDescent="0.25">
      <c r="A100" s="10"/>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3.5" customHeight="1" x14ac:dyDescent="0.25">
      <c r="A101" s="10"/>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3.5" customHeight="1" x14ac:dyDescent="0.25">
      <c r="A102" s="10"/>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3.5" customHeight="1" x14ac:dyDescent="0.25">
      <c r="A103" s="10"/>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3.5" customHeight="1" x14ac:dyDescent="0.25">
      <c r="A104" s="10" t="s">
        <v>0</v>
      </c>
      <c r="B104" s="9"/>
      <c r="C104" s="932" t="s">
        <v>806</v>
      </c>
      <c r="D104" s="933"/>
      <c r="E104" s="933"/>
      <c r="F104" s="933"/>
      <c r="G104" s="933"/>
      <c r="H104" s="933"/>
      <c r="I104" s="933"/>
      <c r="J104" s="933"/>
      <c r="K104" s="933"/>
      <c r="L104" s="933"/>
      <c r="M104" s="933"/>
      <c r="N104" s="933"/>
      <c r="O104" s="933"/>
      <c r="P104" s="933"/>
      <c r="Q104" s="934"/>
      <c r="R104" s="9"/>
      <c r="S104" s="9"/>
      <c r="T104" s="9"/>
      <c r="U104" s="9"/>
      <c r="V104" s="9"/>
      <c r="W104" s="9"/>
      <c r="X104" s="9"/>
      <c r="Y104" s="9"/>
      <c r="Z104" s="9"/>
    </row>
    <row r="105" spans="1:26" ht="13.5" customHeight="1" x14ac:dyDescent="0.25">
      <c r="A105" s="10"/>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3.5" customHeight="1" x14ac:dyDescent="0.25">
      <c r="A106" s="10"/>
      <c r="B106" s="9"/>
      <c r="C106" s="1007" t="str">
        <f>C90</f>
        <v>Raw Data</v>
      </c>
      <c r="D106" s="954"/>
      <c r="E106" s="955"/>
      <c r="F106" s="37"/>
      <c r="G106" s="9"/>
      <c r="H106" s="9"/>
      <c r="I106" s="9"/>
      <c r="J106" s="9"/>
      <c r="K106" s="9"/>
      <c r="L106" s="9"/>
      <c r="M106" s="9"/>
      <c r="N106" s="9"/>
      <c r="O106" s="1007" t="str">
        <f>O90</f>
        <v>Chart Data</v>
      </c>
      <c r="P106" s="954"/>
      <c r="Q106" s="955"/>
      <c r="R106" s="9"/>
      <c r="S106" s="9"/>
      <c r="T106" s="9"/>
      <c r="U106" s="9"/>
      <c r="V106" s="9"/>
      <c r="W106" s="9"/>
      <c r="X106" s="9"/>
      <c r="Y106" s="9"/>
      <c r="Z106" s="9"/>
    </row>
    <row r="107" spans="1:26" ht="13.5" customHeight="1" x14ac:dyDescent="0.25">
      <c r="A107" s="10"/>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3.5" customHeight="1" x14ac:dyDescent="0.25">
      <c r="A108" s="10"/>
      <c r="B108" s="9"/>
      <c r="C108" s="793" t="str">
        <f t="shared" ref="C108:C112" si="38">C92</f>
        <v>AXP</v>
      </c>
      <c r="D108" s="794">
        <f>Comparables!M10</f>
        <v>0.33679999999999999</v>
      </c>
      <c r="E108" s="797">
        <f ca="1">MEDIAN(D108:D112)</f>
        <v>0.56910068812362602</v>
      </c>
      <c r="F108" s="9"/>
      <c r="G108" s="9"/>
      <c r="H108" s="9"/>
      <c r="I108" s="9"/>
      <c r="J108" s="9"/>
      <c r="K108" s="9"/>
      <c r="L108" s="9"/>
      <c r="M108" s="9"/>
      <c r="N108" s="9"/>
      <c r="O108" s="793" t="str">
        <f t="shared" ref="O108:P108" si="39">C108</f>
        <v>AXP</v>
      </c>
      <c r="P108" s="795">
        <f t="shared" si="39"/>
        <v>0.33679999999999999</v>
      </c>
      <c r="Q108" s="795">
        <f ca="1">E108</f>
        <v>0.56910068812362602</v>
      </c>
      <c r="R108" s="9"/>
      <c r="S108" s="9"/>
      <c r="T108" s="9"/>
      <c r="U108" s="9"/>
      <c r="V108" s="9"/>
      <c r="W108" s="9"/>
      <c r="X108" s="9"/>
      <c r="Y108" s="9"/>
      <c r="Z108" s="9"/>
    </row>
    <row r="109" spans="1:26" ht="13.5" customHeight="1" x14ac:dyDescent="0.25">
      <c r="A109" s="10"/>
      <c r="B109" s="573"/>
      <c r="C109" s="661" t="str">
        <f t="shared" si="38"/>
        <v>V</v>
      </c>
      <c r="D109" s="796">
        <f ca="1">Comparables!M12+RAND()/1000000</f>
        <v>0.70032196874707764</v>
      </c>
      <c r="E109" s="797">
        <f t="shared" ref="E109:E112" ca="1" si="40">E108</f>
        <v>0.56910068812362602</v>
      </c>
      <c r="F109" s="9"/>
      <c r="G109" s="9"/>
      <c r="H109" s="9"/>
      <c r="I109" s="9"/>
      <c r="J109" s="9"/>
      <c r="K109" s="9"/>
      <c r="L109" s="9"/>
      <c r="M109" s="9"/>
      <c r="N109" s="9"/>
      <c r="O109" s="661" t="str">
        <f>C109</f>
        <v>V</v>
      </c>
      <c r="P109" s="797">
        <f ca="1">D109</f>
        <v>0.70032196874707764</v>
      </c>
      <c r="Q109" s="797">
        <f t="shared" ref="Q109:Q112" ca="1" si="41">E109</f>
        <v>0.56910068812362602</v>
      </c>
      <c r="R109" s="9"/>
      <c r="S109" s="9"/>
      <c r="T109" s="9"/>
      <c r="U109" s="9"/>
      <c r="V109" s="9"/>
      <c r="W109" s="9"/>
      <c r="X109" s="9"/>
      <c r="Y109" s="9"/>
      <c r="Z109" s="9"/>
    </row>
    <row r="110" spans="1:26" ht="13.5" customHeight="1" x14ac:dyDescent="0.25">
      <c r="A110" s="10"/>
      <c r="B110" s="9">
        <f t="shared" ref="B110:B113" si="42">B109+1</f>
        <v>1</v>
      </c>
      <c r="C110" s="661" t="str">
        <f t="shared" si="38"/>
        <v>MA</v>
      </c>
      <c r="D110" s="796">
        <f ca="1">Comparables!M13+RAND()/1000000</f>
        <v>0.62651391614592633</v>
      </c>
      <c r="E110" s="797">
        <f t="shared" ca="1" si="40"/>
        <v>0.56910068812362602</v>
      </c>
      <c r="F110" s="9"/>
      <c r="G110" s="9"/>
      <c r="H110" s="9"/>
      <c r="I110" s="9"/>
      <c r="J110" s="9"/>
      <c r="K110" s="9"/>
      <c r="L110" s="9"/>
      <c r="M110" s="9"/>
      <c r="N110" s="9"/>
      <c r="O110" s="661" t="str">
        <f t="shared" ref="O110:O112" si="43">C110</f>
        <v>MA</v>
      </c>
      <c r="P110" s="797">
        <f t="shared" ref="P110:P112" ca="1" si="44">D110</f>
        <v>0.62651391614592633</v>
      </c>
      <c r="Q110" s="797">
        <f t="shared" ca="1" si="41"/>
        <v>0.56910068812362602</v>
      </c>
      <c r="R110" s="9"/>
      <c r="S110" s="9"/>
      <c r="T110" s="9"/>
      <c r="U110" s="9"/>
      <c r="V110" s="9"/>
      <c r="W110" s="9"/>
      <c r="X110" s="9"/>
      <c r="Y110" s="9"/>
      <c r="Z110" s="9"/>
    </row>
    <row r="111" spans="1:26" ht="13.5" customHeight="1" x14ac:dyDescent="0.25">
      <c r="A111" s="10"/>
      <c r="B111" s="9">
        <f t="shared" si="42"/>
        <v>2</v>
      </c>
      <c r="C111" s="661" t="str">
        <f t="shared" si="38"/>
        <v>COF</v>
      </c>
      <c r="D111" s="796">
        <f ca="1">Comparables!M14+RAND()/1000000</f>
        <v>0.56910068812362602</v>
      </c>
      <c r="E111" s="797">
        <f t="shared" ca="1" si="40"/>
        <v>0.56910068812362602</v>
      </c>
      <c r="F111" s="9"/>
      <c r="G111" s="9"/>
      <c r="H111" s="9"/>
      <c r="I111" s="9"/>
      <c r="J111" s="9"/>
      <c r="K111" s="9"/>
      <c r="L111" s="9"/>
      <c r="M111" s="9"/>
      <c r="N111" s="9"/>
      <c r="O111" s="661" t="str">
        <f t="shared" si="43"/>
        <v>COF</v>
      </c>
      <c r="P111" s="797">
        <f t="shared" ca="1" si="44"/>
        <v>0.56910068812362602</v>
      </c>
      <c r="Q111" s="797">
        <f t="shared" ca="1" si="41"/>
        <v>0.56910068812362602</v>
      </c>
      <c r="R111" s="9"/>
      <c r="S111" s="9"/>
      <c r="T111" s="9"/>
      <c r="U111" s="9"/>
      <c r="V111" s="9"/>
      <c r="W111" s="9"/>
      <c r="X111" s="9"/>
      <c r="Y111" s="9"/>
      <c r="Z111" s="9"/>
    </row>
    <row r="112" spans="1:26" ht="13.5" customHeight="1" x14ac:dyDescent="0.25">
      <c r="A112" s="10"/>
      <c r="B112" s="9">
        <f t="shared" si="42"/>
        <v>3</v>
      </c>
      <c r="C112" s="661" t="str">
        <f t="shared" si="38"/>
        <v>JPM</v>
      </c>
      <c r="D112" s="796">
        <f ca="1">Comparables!M15+RAND()/1000000</f>
        <v>0.38100035021176704</v>
      </c>
      <c r="E112" s="797">
        <f t="shared" ca="1" si="40"/>
        <v>0.56910068812362602</v>
      </c>
      <c r="F112" s="9"/>
      <c r="G112" s="9"/>
      <c r="H112" s="9"/>
      <c r="I112" s="9"/>
      <c r="J112" s="9"/>
      <c r="K112" s="9"/>
      <c r="L112" s="9"/>
      <c r="M112" s="9"/>
      <c r="N112" s="9"/>
      <c r="O112" s="661" t="str">
        <f t="shared" si="43"/>
        <v>JPM</v>
      </c>
      <c r="P112" s="797">
        <f t="shared" ca="1" si="44"/>
        <v>0.38100035021176704</v>
      </c>
      <c r="Q112" s="797">
        <f t="shared" ca="1" si="41"/>
        <v>0.56910068812362602</v>
      </c>
      <c r="R112" s="9"/>
      <c r="S112" s="9"/>
      <c r="T112" s="9"/>
      <c r="U112" s="9"/>
      <c r="V112" s="9"/>
      <c r="W112" s="9"/>
      <c r="X112" s="9"/>
      <c r="Y112" s="9"/>
      <c r="Z112" s="9"/>
    </row>
    <row r="113" spans="1:26" ht="13.5" customHeight="1" x14ac:dyDescent="0.25">
      <c r="A113" s="10"/>
      <c r="B113" s="9">
        <f t="shared" si="42"/>
        <v>4</v>
      </c>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3.5" customHeight="1" x14ac:dyDescent="0.25">
      <c r="A114" s="10"/>
      <c r="B114" s="9"/>
      <c r="C114" s="9"/>
      <c r="D114" s="9"/>
      <c r="E114" s="132"/>
      <c r="F114" s="9"/>
      <c r="G114" s="9"/>
      <c r="H114" s="9"/>
      <c r="I114" s="9"/>
      <c r="J114" s="9"/>
      <c r="K114" s="9"/>
      <c r="L114" s="9"/>
      <c r="M114" s="9"/>
      <c r="N114" s="9"/>
      <c r="O114" s="9"/>
      <c r="P114" s="9"/>
      <c r="Q114" s="9"/>
      <c r="R114" s="9"/>
      <c r="S114" s="9"/>
      <c r="T114" s="9"/>
      <c r="U114" s="9"/>
      <c r="V114" s="9"/>
      <c r="W114" s="9"/>
      <c r="X114" s="9"/>
      <c r="Y114" s="9"/>
      <c r="Z114" s="9"/>
    </row>
    <row r="115" spans="1:26" ht="13.5" customHeight="1" x14ac:dyDescent="0.25">
      <c r="A115" s="10"/>
      <c r="B115" s="9"/>
      <c r="C115" s="9"/>
      <c r="D115" s="9"/>
      <c r="E115" s="798" t="str">
        <f ca="1">"Median "&amp;TEXT(E109,"0.0%")</f>
        <v>Median 56.9%</v>
      </c>
      <c r="F115" s="9"/>
      <c r="G115" s="9"/>
      <c r="H115" s="9"/>
      <c r="I115" s="9"/>
      <c r="J115" s="9"/>
      <c r="K115" s="9"/>
      <c r="L115" s="9"/>
      <c r="M115" s="9"/>
      <c r="N115" s="9"/>
      <c r="O115" s="9"/>
      <c r="P115" s="9"/>
      <c r="Q115" s="798" t="str">
        <f ca="1">E115</f>
        <v>Median 56.9%</v>
      </c>
      <c r="R115" s="9"/>
      <c r="S115" s="9"/>
      <c r="T115" s="9"/>
      <c r="U115" s="9"/>
      <c r="V115" s="9"/>
      <c r="W115" s="9"/>
      <c r="X115" s="9"/>
      <c r="Y115" s="9"/>
      <c r="Z115" s="9"/>
    </row>
    <row r="116" spans="1:26" ht="13.5" customHeight="1" x14ac:dyDescent="0.25">
      <c r="A116" s="10"/>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3.5" customHeight="1" x14ac:dyDescent="0.25">
      <c r="A117" s="10"/>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3.5" customHeight="1" x14ac:dyDescent="0.25">
      <c r="A118" s="10"/>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3.5" customHeight="1" x14ac:dyDescent="0.25">
      <c r="A119" s="10"/>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3.5" customHeight="1" x14ac:dyDescent="0.25">
      <c r="A120" s="10" t="s">
        <v>0</v>
      </c>
      <c r="B120" s="9"/>
      <c r="C120" s="932" t="s">
        <v>46</v>
      </c>
      <c r="D120" s="933"/>
      <c r="E120" s="933"/>
      <c r="F120" s="933"/>
      <c r="G120" s="933"/>
      <c r="H120" s="933"/>
      <c r="I120" s="933"/>
      <c r="J120" s="933"/>
      <c r="K120" s="933"/>
      <c r="L120" s="933"/>
      <c r="M120" s="933"/>
      <c r="N120" s="933"/>
      <c r="O120" s="933"/>
      <c r="P120" s="933"/>
      <c r="Q120" s="934"/>
      <c r="R120" s="9"/>
      <c r="S120" s="9"/>
      <c r="T120" s="9"/>
      <c r="U120" s="9"/>
      <c r="V120" s="9"/>
      <c r="W120" s="9"/>
      <c r="X120" s="9"/>
      <c r="Y120" s="9"/>
      <c r="Z120" s="9"/>
    </row>
    <row r="121" spans="1:26" ht="13.5" customHeight="1" x14ac:dyDescent="0.25">
      <c r="A121" s="10"/>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3.5" customHeight="1" x14ac:dyDescent="0.25">
      <c r="A122" s="10"/>
      <c r="B122" s="9"/>
      <c r="C122" s="1007" t="str">
        <f>C106</f>
        <v>Raw Data</v>
      </c>
      <c r="D122" s="954"/>
      <c r="E122" s="955"/>
      <c r="F122" s="37"/>
      <c r="G122" s="9"/>
      <c r="H122" s="9"/>
      <c r="I122" s="9"/>
      <c r="J122" s="9"/>
      <c r="K122" s="9"/>
      <c r="L122" s="9"/>
      <c r="M122" s="9"/>
      <c r="N122" s="9"/>
      <c r="O122" s="1007" t="str">
        <f>O106</f>
        <v>Chart Data</v>
      </c>
      <c r="P122" s="954"/>
      <c r="Q122" s="955"/>
      <c r="R122" s="9"/>
      <c r="S122" s="9"/>
      <c r="T122" s="9"/>
      <c r="U122" s="9"/>
      <c r="V122" s="9"/>
      <c r="W122" s="9"/>
      <c r="X122" s="9"/>
      <c r="Y122" s="9"/>
      <c r="Z122" s="9"/>
    </row>
    <row r="123" spans="1:26" ht="13.5" customHeight="1" x14ac:dyDescent="0.25">
      <c r="A123" s="10"/>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3.5" customHeight="1" x14ac:dyDescent="0.25">
      <c r="A124" s="10"/>
      <c r="B124" s="9"/>
      <c r="C124" s="793" t="str">
        <f t="shared" ref="C124:C128" si="45">C108</f>
        <v>AXP</v>
      </c>
      <c r="D124" s="794">
        <f>Comparables!I27</f>
        <v>1.2800000000000001E-2</v>
      </c>
      <c r="E124" s="797">
        <f>MEDIAN(D124:D128)</f>
        <v>1.2800000000000001E-2</v>
      </c>
      <c r="F124" s="9"/>
      <c r="G124" s="9"/>
      <c r="H124" s="9"/>
      <c r="I124" s="9"/>
      <c r="J124" s="9"/>
      <c r="K124" s="9"/>
      <c r="L124" s="9"/>
      <c r="M124" s="9"/>
      <c r="N124" s="9"/>
      <c r="O124" s="793" t="str">
        <f t="shared" ref="O124:P124" si="46">C124</f>
        <v>AXP</v>
      </c>
      <c r="P124" s="795">
        <f t="shared" si="46"/>
        <v>1.2800000000000001E-2</v>
      </c>
      <c r="Q124" s="797">
        <f>E124</f>
        <v>1.2800000000000001E-2</v>
      </c>
      <c r="R124" s="9"/>
      <c r="S124" s="9"/>
      <c r="T124" s="9"/>
      <c r="U124" s="9"/>
      <c r="V124" s="9"/>
      <c r="W124" s="9"/>
      <c r="X124" s="9"/>
      <c r="Y124" s="9"/>
      <c r="Z124" s="9"/>
    </row>
    <row r="125" spans="1:26" ht="13.5" customHeight="1" x14ac:dyDescent="0.25">
      <c r="A125" s="10"/>
      <c r="B125" s="573"/>
      <c r="C125" s="661" t="str">
        <f t="shared" si="45"/>
        <v>V</v>
      </c>
      <c r="D125" s="796">
        <f>Comparables!I29</f>
        <v>8.8999999999999999E-3</v>
      </c>
      <c r="E125" s="797">
        <f t="shared" ref="E125:E128" si="47">E124</f>
        <v>1.2800000000000001E-2</v>
      </c>
      <c r="F125" s="9"/>
      <c r="G125" s="9"/>
      <c r="H125" s="9"/>
      <c r="I125" s="9"/>
      <c r="J125" s="9"/>
      <c r="K125" s="9"/>
      <c r="L125" s="9"/>
      <c r="M125" s="9"/>
      <c r="N125" s="9"/>
      <c r="O125" s="661" t="str">
        <f>C125</f>
        <v>V</v>
      </c>
      <c r="P125" s="797">
        <f>D125</f>
        <v>8.8999999999999999E-3</v>
      </c>
      <c r="Q125" s="797">
        <f t="shared" ref="Q125:Q128" si="48">E125</f>
        <v>1.2800000000000001E-2</v>
      </c>
      <c r="R125" s="9"/>
      <c r="S125" s="9"/>
      <c r="T125" s="9"/>
      <c r="U125" s="9"/>
      <c r="V125" s="9"/>
      <c r="W125" s="9"/>
      <c r="X125" s="9"/>
      <c r="Y125" s="9"/>
      <c r="Z125" s="9"/>
    </row>
    <row r="126" spans="1:26" ht="13.5" customHeight="1" x14ac:dyDescent="0.25">
      <c r="A126" s="10"/>
      <c r="B126" s="9">
        <f t="shared" ref="B126:B129" si="49">B125+1</f>
        <v>1</v>
      </c>
      <c r="C126" s="661" t="str">
        <f t="shared" si="45"/>
        <v>MA</v>
      </c>
      <c r="D126" s="796">
        <f>IF(ISNUMBER(Comparables!I30),Comparables!I30,0)</f>
        <v>7.0000000000000001E-3</v>
      </c>
      <c r="E126" s="797">
        <f t="shared" si="47"/>
        <v>1.2800000000000001E-2</v>
      </c>
      <c r="F126" s="9"/>
      <c r="G126" s="9"/>
      <c r="H126" s="9"/>
      <c r="I126" s="9"/>
      <c r="J126" s="9"/>
      <c r="K126" s="9"/>
      <c r="L126" s="9"/>
      <c r="M126" s="9"/>
      <c r="N126" s="9"/>
      <c r="O126" s="661" t="str">
        <f t="shared" ref="O126:O128" si="50">C126</f>
        <v>MA</v>
      </c>
      <c r="P126" s="797">
        <f t="shared" ref="P126:P128" si="51">D126</f>
        <v>7.0000000000000001E-3</v>
      </c>
      <c r="Q126" s="797">
        <f t="shared" si="48"/>
        <v>1.2800000000000001E-2</v>
      </c>
      <c r="R126" s="9"/>
      <c r="S126" s="9"/>
      <c r="T126" s="9"/>
      <c r="U126" s="9"/>
      <c r="V126" s="9"/>
      <c r="W126" s="9"/>
      <c r="X126" s="9"/>
      <c r="Y126" s="9"/>
      <c r="Z126" s="9"/>
    </row>
    <row r="127" spans="1:26" ht="13.5" customHeight="1" x14ac:dyDescent="0.25">
      <c r="A127" s="10"/>
      <c r="B127" s="9">
        <f t="shared" si="49"/>
        <v>2</v>
      </c>
      <c r="C127" s="661" t="str">
        <f t="shared" si="45"/>
        <v>COF</v>
      </c>
      <c r="D127" s="796">
        <f>Comparables!I31</f>
        <v>1.7999999999999999E-2</v>
      </c>
      <c r="E127" s="797">
        <f t="shared" si="47"/>
        <v>1.2800000000000001E-2</v>
      </c>
      <c r="F127" s="9"/>
      <c r="G127" s="9"/>
      <c r="H127" s="9"/>
      <c r="I127" s="9"/>
      <c r="J127" s="9"/>
      <c r="K127" s="9"/>
      <c r="L127" s="9"/>
      <c r="M127" s="9"/>
      <c r="N127" s="9"/>
      <c r="O127" s="661" t="str">
        <f t="shared" si="50"/>
        <v>COF</v>
      </c>
      <c r="P127" s="797">
        <f t="shared" si="51"/>
        <v>1.7999999999999999E-2</v>
      </c>
      <c r="Q127" s="797">
        <f t="shared" si="48"/>
        <v>1.2800000000000001E-2</v>
      </c>
      <c r="R127" s="9"/>
      <c r="S127" s="9"/>
      <c r="T127" s="9"/>
      <c r="U127" s="9"/>
      <c r="V127" s="9"/>
      <c r="W127" s="9"/>
      <c r="X127" s="9"/>
      <c r="Y127" s="9"/>
      <c r="Z127" s="9"/>
    </row>
    <row r="128" spans="1:26" ht="13.5" customHeight="1" x14ac:dyDescent="0.25">
      <c r="A128" s="10"/>
      <c r="B128" s="9">
        <f t="shared" si="49"/>
        <v>3</v>
      </c>
      <c r="C128" s="661" t="str">
        <f t="shared" si="45"/>
        <v>JPM</v>
      </c>
      <c r="D128" s="796">
        <f>Comparables!I32</f>
        <v>2.1100000000000001E-2</v>
      </c>
      <c r="E128" s="797">
        <f t="shared" si="47"/>
        <v>1.2800000000000001E-2</v>
      </c>
      <c r="F128" s="9"/>
      <c r="G128" s="9"/>
      <c r="H128" s="9"/>
      <c r="I128" s="9"/>
      <c r="J128" s="9"/>
      <c r="K128" s="9"/>
      <c r="L128" s="9"/>
      <c r="M128" s="9"/>
      <c r="N128" s="9"/>
      <c r="O128" s="661" t="str">
        <f t="shared" si="50"/>
        <v>JPM</v>
      </c>
      <c r="P128" s="797">
        <f t="shared" si="51"/>
        <v>2.1100000000000001E-2</v>
      </c>
      <c r="Q128" s="797">
        <f t="shared" si="48"/>
        <v>1.2800000000000001E-2</v>
      </c>
      <c r="R128" s="9"/>
      <c r="S128" s="9"/>
      <c r="T128" s="9"/>
      <c r="U128" s="9"/>
      <c r="V128" s="9"/>
      <c r="W128" s="9"/>
      <c r="X128" s="9"/>
      <c r="Y128" s="9"/>
      <c r="Z128" s="9"/>
    </row>
    <row r="129" spans="1:26" ht="13.5" customHeight="1" x14ac:dyDescent="0.25">
      <c r="A129" s="10"/>
      <c r="B129" s="9">
        <f t="shared" si="49"/>
        <v>4</v>
      </c>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3.5" customHeight="1" x14ac:dyDescent="0.25">
      <c r="A130" s="10"/>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3.5" customHeight="1" x14ac:dyDescent="0.25">
      <c r="A131" s="10"/>
      <c r="B131" s="9"/>
      <c r="C131" s="9"/>
      <c r="D131" s="9"/>
      <c r="E131" s="798" t="str">
        <f>"Median "&amp;TEXT(E125,"0.0%")</f>
        <v>Median 1.3%</v>
      </c>
      <c r="F131" s="9"/>
      <c r="G131" s="9"/>
      <c r="H131" s="9"/>
      <c r="I131" s="9"/>
      <c r="J131" s="9"/>
      <c r="K131" s="9"/>
      <c r="L131" s="9"/>
      <c r="M131" s="9"/>
      <c r="N131" s="9"/>
      <c r="O131" s="9"/>
      <c r="P131" s="9"/>
      <c r="Q131" s="798" t="str">
        <f>E131</f>
        <v>Median 1.3%</v>
      </c>
      <c r="R131" s="9"/>
      <c r="S131" s="9"/>
      <c r="T131" s="9"/>
      <c r="U131" s="9"/>
      <c r="V131" s="9"/>
      <c r="W131" s="9"/>
      <c r="X131" s="9"/>
      <c r="Y131" s="9"/>
      <c r="Z131" s="9"/>
    </row>
    <row r="132" spans="1:26" ht="13.5" customHeight="1" x14ac:dyDescent="0.25">
      <c r="A132" s="10"/>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3.5" customHeight="1" x14ac:dyDescent="0.25">
      <c r="A133" s="10"/>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5" customHeight="1" x14ac:dyDescent="0.25">
      <c r="A134" s="10"/>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5" customHeight="1" x14ac:dyDescent="0.25">
      <c r="A135" s="10"/>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3.5" customHeight="1" x14ac:dyDescent="0.25">
      <c r="A136" s="10" t="s">
        <v>0</v>
      </c>
      <c r="B136" s="9"/>
      <c r="C136" s="932" t="s">
        <v>807</v>
      </c>
      <c r="D136" s="933"/>
      <c r="E136" s="933"/>
      <c r="F136" s="933"/>
      <c r="G136" s="933"/>
      <c r="H136" s="933"/>
      <c r="I136" s="933"/>
      <c r="J136" s="933"/>
      <c r="K136" s="933"/>
      <c r="L136" s="933"/>
      <c r="M136" s="933"/>
      <c r="N136" s="933"/>
      <c r="O136" s="933"/>
      <c r="P136" s="933"/>
      <c r="Q136" s="934"/>
      <c r="R136" s="9"/>
      <c r="S136" s="9"/>
      <c r="T136" s="9"/>
      <c r="U136" s="9"/>
      <c r="V136" s="9"/>
      <c r="W136" s="9"/>
      <c r="X136" s="9"/>
      <c r="Y136" s="9"/>
      <c r="Z136" s="9"/>
    </row>
    <row r="137" spans="1:26" ht="13.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5" customHeight="1" x14ac:dyDescent="0.25">
      <c r="A138" s="2"/>
      <c r="B138" s="2"/>
      <c r="C138" s="1007" t="str">
        <f>C122</f>
        <v>Raw Data</v>
      </c>
      <c r="D138" s="954"/>
      <c r="E138" s="955"/>
      <c r="F138" s="2"/>
      <c r="G138" s="2"/>
      <c r="H138" s="2"/>
      <c r="I138" s="2"/>
      <c r="J138" s="2"/>
      <c r="K138" s="2"/>
      <c r="L138" s="2"/>
      <c r="M138" s="2"/>
      <c r="N138" s="2"/>
      <c r="O138" s="1007" t="str">
        <f>O122</f>
        <v>Chart Data</v>
      </c>
      <c r="P138" s="955"/>
      <c r="Q138" s="2"/>
      <c r="R138" s="2"/>
      <c r="S138" s="2"/>
      <c r="T138" s="2"/>
      <c r="U138" s="2"/>
      <c r="V138" s="2"/>
      <c r="W138" s="2"/>
      <c r="X138" s="2"/>
      <c r="Y138" s="2"/>
      <c r="Z138" s="2"/>
    </row>
    <row r="139" spans="1:26" ht="13.5" customHeight="1" x14ac:dyDescent="0.25">
      <c r="A139" s="2"/>
      <c r="B139" s="2"/>
      <c r="D139" s="2"/>
      <c r="E139" s="2"/>
      <c r="F139" s="2"/>
      <c r="G139" s="2"/>
      <c r="H139" s="2"/>
      <c r="I139" s="2"/>
      <c r="J139" s="2"/>
      <c r="K139" s="2"/>
      <c r="L139" s="2"/>
      <c r="M139" s="2"/>
      <c r="N139" s="2"/>
      <c r="O139" s="9"/>
      <c r="P139" s="9"/>
      <c r="Q139" s="2"/>
      <c r="R139" s="2"/>
      <c r="S139" s="2"/>
      <c r="T139" s="2"/>
      <c r="U139" s="2"/>
      <c r="V139" s="2"/>
      <c r="W139" s="2"/>
      <c r="X139" s="2"/>
      <c r="Y139" s="2"/>
      <c r="Z139" s="2"/>
    </row>
    <row r="140" spans="1:26" ht="13.5" customHeight="1" x14ac:dyDescent="0.25">
      <c r="A140" s="2"/>
      <c r="B140" s="466">
        <v>1</v>
      </c>
      <c r="C140" s="793" t="str">
        <f t="shared" ref="C140:C144" si="52">C124</f>
        <v>AXP</v>
      </c>
      <c r="D140" s="803">
        <v>-0.1946</v>
      </c>
      <c r="E140" s="2"/>
      <c r="F140" s="2"/>
      <c r="G140" s="2"/>
      <c r="H140" s="2"/>
      <c r="I140" s="2"/>
      <c r="J140" s="2"/>
      <c r="K140" s="2"/>
      <c r="L140" s="2"/>
      <c r="M140" s="2"/>
      <c r="N140" s="2"/>
      <c r="O140" s="661" t="str">
        <f>INDEX($C$140:$C$144,MATCH(P140,$D$140:$D$144,0),1)</f>
        <v>JPM</v>
      </c>
      <c r="P140" s="797">
        <f t="shared" ref="P140:P144" si="53">LARGE($D$140:$D$145,B140)</f>
        <v>-9.4899999999999998E-2</v>
      </c>
      <c r="Q140" s="2"/>
      <c r="R140" s="2"/>
      <c r="S140" s="2"/>
      <c r="T140" s="2"/>
      <c r="U140" s="2"/>
      <c r="V140" s="2"/>
      <c r="W140" s="2"/>
      <c r="X140" s="2"/>
      <c r="Y140" s="2"/>
      <c r="Z140" s="2"/>
    </row>
    <row r="141" spans="1:26" ht="13.5" customHeight="1" x14ac:dyDescent="0.25">
      <c r="A141" s="2"/>
      <c r="B141" s="573">
        <f t="shared" ref="B141:B145" si="54">B140+1</f>
        <v>2</v>
      </c>
      <c r="C141" s="661" t="str">
        <f t="shared" si="52"/>
        <v>V</v>
      </c>
      <c r="D141" s="803">
        <v>-0.1318</v>
      </c>
      <c r="E141" s="797"/>
      <c r="F141" s="2"/>
      <c r="G141" s="2"/>
      <c r="H141" s="2"/>
      <c r="I141" s="2"/>
      <c r="J141" s="2"/>
      <c r="K141" s="2"/>
      <c r="L141" s="2"/>
      <c r="M141" s="2"/>
      <c r="N141" s="2"/>
      <c r="O141" s="661" t="str">
        <f t="shared" ref="O141:O143" si="55">INDEX($C$140:$C$144,MATCH(P141,$D$140:$D$144,0),1)</f>
        <v>MA</v>
      </c>
      <c r="P141" s="797">
        <f t="shared" si="53"/>
        <v>-0.12379999999999999</v>
      </c>
      <c r="Q141" s="2"/>
      <c r="R141" s="2"/>
      <c r="S141" s="2"/>
      <c r="T141" s="2"/>
      <c r="U141" s="2"/>
      <c r="V141" s="2"/>
      <c r="W141" s="2"/>
      <c r="X141" s="2"/>
      <c r="Y141" s="2"/>
      <c r="Z141" s="2"/>
    </row>
    <row r="142" spans="1:26" ht="13.5" customHeight="1" x14ac:dyDescent="0.25">
      <c r="A142" s="2"/>
      <c r="B142" s="573">
        <f t="shared" si="54"/>
        <v>3</v>
      </c>
      <c r="C142" s="661" t="str">
        <f t="shared" si="52"/>
        <v>MA</v>
      </c>
      <c r="D142" s="803">
        <v>-0.12379999999999999</v>
      </c>
      <c r="E142" s="797"/>
      <c r="F142" s="2"/>
      <c r="G142" s="2"/>
      <c r="H142" s="2"/>
      <c r="I142" s="2"/>
      <c r="J142" s="2"/>
      <c r="K142" s="2"/>
      <c r="L142" s="2"/>
      <c r="M142" s="2"/>
      <c r="N142" s="2"/>
      <c r="O142" s="661" t="str">
        <f t="shared" si="55"/>
        <v>V</v>
      </c>
      <c r="P142" s="797">
        <f t="shared" si="53"/>
        <v>-0.1318</v>
      </c>
      <c r="Q142" s="2"/>
      <c r="R142" s="2"/>
      <c r="S142" s="2"/>
      <c r="T142" s="2"/>
      <c r="U142" s="2"/>
      <c r="V142" s="2"/>
      <c r="W142" s="2"/>
      <c r="X142" s="2"/>
      <c r="Y142" s="2"/>
      <c r="Z142" s="2"/>
    </row>
    <row r="143" spans="1:26" ht="13.5" customHeight="1" x14ac:dyDescent="0.25">
      <c r="A143" s="2"/>
      <c r="B143" s="573">
        <f t="shared" si="54"/>
        <v>4</v>
      </c>
      <c r="C143" s="661" t="str">
        <f t="shared" si="52"/>
        <v>COF</v>
      </c>
      <c r="D143" s="803">
        <v>-0.26619999999999999</v>
      </c>
      <c r="E143" s="797"/>
      <c r="F143" s="2"/>
      <c r="G143" s="2"/>
      <c r="H143" s="2"/>
      <c r="I143" s="2"/>
      <c r="J143" s="2"/>
      <c r="K143" s="2"/>
      <c r="L143" s="2"/>
      <c r="M143" s="2"/>
      <c r="N143" s="2"/>
      <c r="O143" s="661" t="str">
        <f t="shared" si="55"/>
        <v>AXP</v>
      </c>
      <c r="P143" s="797">
        <f t="shared" si="53"/>
        <v>-0.1946</v>
      </c>
      <c r="Q143" s="2"/>
      <c r="R143" s="2"/>
      <c r="S143" s="2"/>
      <c r="T143" s="2"/>
      <c r="U143" s="2"/>
      <c r="V143" s="2"/>
      <c r="W143" s="2"/>
      <c r="X143" s="2"/>
      <c r="Y143" s="2"/>
      <c r="Z143" s="2"/>
    </row>
    <row r="144" spans="1:26" ht="13.5" customHeight="1" x14ac:dyDescent="0.25">
      <c r="A144" s="2"/>
      <c r="B144" s="573">
        <f t="shared" si="54"/>
        <v>5</v>
      </c>
      <c r="C144" s="661" t="str">
        <f t="shared" si="52"/>
        <v>JPM</v>
      </c>
      <c r="D144" s="803">
        <v>-9.4899999999999998E-2</v>
      </c>
      <c r="E144" s="797"/>
      <c r="F144" s="2"/>
      <c r="G144" s="2"/>
      <c r="H144" s="2"/>
      <c r="I144" s="2"/>
      <c r="J144" s="2"/>
      <c r="K144" s="2"/>
      <c r="L144" s="2"/>
      <c r="M144" s="2"/>
      <c r="N144" s="2"/>
      <c r="O144" s="661" t="str">
        <f>INDEX($C$140:$C$144,MATCH(P144,$D$140:$D$144,0),1)</f>
        <v>COF</v>
      </c>
      <c r="P144" s="797">
        <f t="shared" si="53"/>
        <v>-0.26619999999999999</v>
      </c>
      <c r="Q144" s="2"/>
      <c r="R144" s="2"/>
      <c r="S144" s="2"/>
      <c r="T144" s="2"/>
      <c r="U144" s="2"/>
      <c r="V144" s="2"/>
      <c r="W144" s="2"/>
      <c r="X144" s="2"/>
      <c r="Y144" s="2"/>
      <c r="Z144" s="2"/>
    </row>
    <row r="145" spans="1:26" ht="13.5" customHeight="1" x14ac:dyDescent="0.25">
      <c r="A145" s="2"/>
      <c r="B145" s="573">
        <f t="shared" si="54"/>
        <v>6</v>
      </c>
      <c r="C145" s="2"/>
      <c r="D145" s="2"/>
      <c r="E145" s="797"/>
      <c r="F145" s="2"/>
      <c r="G145" s="2"/>
      <c r="H145" s="2"/>
      <c r="I145" s="2"/>
      <c r="J145" s="2"/>
      <c r="K145" s="2"/>
      <c r="L145" s="2"/>
      <c r="M145" s="2"/>
      <c r="N145" s="2"/>
      <c r="O145" s="9"/>
      <c r="P145" s="9"/>
      <c r="Q145" s="2"/>
      <c r="R145" s="2"/>
      <c r="S145" s="2"/>
      <c r="T145" s="2"/>
      <c r="U145" s="2"/>
      <c r="V145" s="2"/>
      <c r="W145" s="2"/>
      <c r="X145" s="2"/>
      <c r="Y145" s="2"/>
      <c r="Z145" s="2"/>
    </row>
    <row r="146" spans="1:26" ht="13.5" customHeight="1" x14ac:dyDescent="0.25">
      <c r="A146" s="2"/>
      <c r="B146" s="2"/>
      <c r="C146" s="2"/>
      <c r="D146" s="2"/>
      <c r="E146" s="2"/>
      <c r="F146" s="2"/>
      <c r="G146" s="2"/>
      <c r="H146" s="2"/>
      <c r="I146" s="2"/>
      <c r="J146" s="2"/>
      <c r="K146" s="2"/>
      <c r="L146" s="2"/>
      <c r="M146" s="2"/>
      <c r="N146" s="2"/>
      <c r="O146" s="9"/>
      <c r="P146" s="9"/>
      <c r="Q146" s="2"/>
      <c r="R146" s="2"/>
      <c r="S146" s="2"/>
      <c r="T146" s="2"/>
      <c r="U146" s="2"/>
      <c r="V146" s="2"/>
      <c r="W146" s="2"/>
      <c r="X146" s="2"/>
      <c r="Y146" s="2"/>
      <c r="Z146" s="2"/>
    </row>
    <row r="147" spans="1:26" ht="13.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5" customHeight="1" x14ac:dyDescent="0.25">
      <c r="A152" s="2"/>
      <c r="B152" s="2"/>
      <c r="C152" s="932" t="s">
        <v>808</v>
      </c>
      <c r="D152" s="933"/>
      <c r="E152" s="933"/>
      <c r="F152" s="933"/>
      <c r="G152" s="933"/>
      <c r="H152" s="933"/>
      <c r="I152" s="933"/>
      <c r="J152" s="933"/>
      <c r="K152" s="933"/>
      <c r="L152" s="933"/>
      <c r="M152" s="933"/>
      <c r="N152" s="933"/>
      <c r="O152" s="933"/>
      <c r="P152" s="933"/>
      <c r="Q152" s="934"/>
      <c r="R152" s="2"/>
      <c r="S152" s="2"/>
      <c r="T152" s="2"/>
      <c r="U152" s="2"/>
      <c r="V152" s="2"/>
      <c r="W152" s="2"/>
      <c r="X152" s="2"/>
      <c r="Y152" s="2"/>
      <c r="Z152" s="2"/>
    </row>
    <row r="153" spans="1:26" ht="13.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5" customHeight="1" x14ac:dyDescent="0.25">
      <c r="A154" s="2"/>
      <c r="B154" s="2"/>
      <c r="C154" s="1007" t="str">
        <f>C138</f>
        <v>Raw Data</v>
      </c>
      <c r="D154" s="954"/>
      <c r="E154" s="955"/>
      <c r="F154" s="2"/>
      <c r="G154" s="2"/>
      <c r="H154" s="2"/>
      <c r="I154" s="2"/>
      <c r="J154" s="2"/>
      <c r="K154" s="2"/>
      <c r="L154" s="2"/>
      <c r="M154" s="2"/>
      <c r="N154" s="2"/>
      <c r="O154" s="1007" t="str">
        <f>O138</f>
        <v>Chart Data</v>
      </c>
      <c r="P154" s="955"/>
      <c r="Q154" s="2"/>
      <c r="R154" s="2"/>
      <c r="S154" s="2"/>
      <c r="T154" s="2"/>
      <c r="U154" s="2"/>
      <c r="V154" s="2"/>
      <c r="W154" s="2"/>
      <c r="X154" s="2"/>
      <c r="Y154" s="2"/>
      <c r="Z154" s="2"/>
    </row>
    <row r="155" spans="1:26" ht="13.5" customHeight="1" x14ac:dyDescent="0.25">
      <c r="A155" s="2"/>
      <c r="B155" s="2"/>
      <c r="C155" s="2"/>
      <c r="D155" s="2"/>
      <c r="E155" s="2"/>
      <c r="F155" s="2"/>
      <c r="G155" s="2"/>
      <c r="H155" s="2"/>
      <c r="I155" s="2"/>
      <c r="J155" s="2"/>
      <c r="K155" s="2"/>
      <c r="L155" s="2"/>
      <c r="M155" s="2"/>
      <c r="N155" s="2"/>
      <c r="O155" s="9"/>
      <c r="P155" s="9"/>
      <c r="Q155" s="2"/>
      <c r="R155" s="2"/>
      <c r="S155" s="2"/>
      <c r="T155" s="2"/>
      <c r="U155" s="2"/>
      <c r="V155" s="2"/>
      <c r="W155" s="2"/>
      <c r="X155" s="2"/>
      <c r="Y155" s="2"/>
      <c r="Z155" s="2"/>
    </row>
    <row r="156" spans="1:26" ht="13.5" customHeight="1" x14ac:dyDescent="0.25">
      <c r="A156" s="2"/>
      <c r="B156" s="466">
        <v>1</v>
      </c>
      <c r="C156" s="793" t="str">
        <f t="shared" ref="C156:C160" si="56">C140</f>
        <v>AXP</v>
      </c>
      <c r="D156" s="803">
        <v>0.21129999999999999</v>
      </c>
      <c r="E156" s="2"/>
      <c r="F156" s="2"/>
      <c r="G156" s="2"/>
      <c r="H156" s="2"/>
      <c r="I156" s="2"/>
      <c r="J156" s="2"/>
      <c r="K156" s="2"/>
      <c r="L156" s="2"/>
      <c r="M156" s="2"/>
      <c r="N156" s="2"/>
      <c r="O156" s="661" t="str">
        <f t="shared" ref="O156:O160" si="57">INDEX($C$156:$C$161,MATCH(P156,$D$156:$D$161,0),1)</f>
        <v>JPM</v>
      </c>
      <c r="P156" s="797">
        <f t="shared" ref="P156:P160" si="58">LARGE($D$156:$D$161,B156)</f>
        <v>0.28820000000000001</v>
      </c>
      <c r="Q156" s="2"/>
      <c r="R156" s="2"/>
      <c r="S156" s="2"/>
      <c r="T156" s="2"/>
      <c r="U156" s="2"/>
      <c r="V156" s="2"/>
      <c r="W156" s="2"/>
      <c r="X156" s="2"/>
      <c r="Y156" s="2"/>
      <c r="Z156" s="2"/>
    </row>
    <row r="157" spans="1:26" ht="13.5" customHeight="1" x14ac:dyDescent="0.25">
      <c r="A157" s="2"/>
      <c r="B157" s="573">
        <f t="shared" ref="B157:B161" si="59">B156+1</f>
        <v>2</v>
      </c>
      <c r="C157" s="661" t="str">
        <f t="shared" si="56"/>
        <v>V</v>
      </c>
      <c r="D157" s="803">
        <v>-0.1137</v>
      </c>
      <c r="E157" s="2"/>
      <c r="F157" s="2"/>
      <c r="G157" s="2"/>
      <c r="H157" s="2"/>
      <c r="I157" s="2"/>
      <c r="J157" s="2"/>
      <c r="K157" s="2"/>
      <c r="L157" s="2"/>
      <c r="M157" s="2"/>
      <c r="N157" s="2"/>
      <c r="O157" s="661" t="str">
        <f t="shared" si="57"/>
        <v>AXP</v>
      </c>
      <c r="P157" s="797">
        <f t="shared" si="58"/>
        <v>0.21129999999999999</v>
      </c>
      <c r="Q157" s="2"/>
      <c r="R157" s="2"/>
      <c r="S157" s="2"/>
      <c r="T157" s="2"/>
      <c r="U157" s="2"/>
      <c r="V157" s="2"/>
      <c r="W157" s="2"/>
      <c r="X157" s="2"/>
      <c r="Y157" s="2"/>
      <c r="Z157" s="2"/>
    </row>
    <row r="158" spans="1:26" ht="13.5" customHeight="1" x14ac:dyDescent="0.25">
      <c r="A158" s="2"/>
      <c r="B158" s="573">
        <f t="shared" si="59"/>
        <v>3</v>
      </c>
      <c r="C158" s="661" t="str">
        <f t="shared" si="56"/>
        <v>MA</v>
      </c>
      <c r="D158" s="803">
        <v>-6.9900000000000004E-2</v>
      </c>
      <c r="E158" s="2"/>
      <c r="F158" s="2"/>
      <c r="G158" s="2"/>
      <c r="H158" s="2"/>
      <c r="I158" s="2"/>
      <c r="J158" s="2"/>
      <c r="K158" s="2"/>
      <c r="L158" s="2"/>
      <c r="M158" s="2"/>
      <c r="N158" s="2"/>
      <c r="O158" s="661" t="str">
        <f t="shared" si="57"/>
        <v>COF</v>
      </c>
      <c r="P158" s="797">
        <f t="shared" si="58"/>
        <v>0.109</v>
      </c>
      <c r="Q158" s="2"/>
      <c r="R158" s="2"/>
      <c r="S158" s="2"/>
      <c r="T158" s="2"/>
      <c r="U158" s="2"/>
      <c r="V158" s="2"/>
      <c r="W158" s="2"/>
      <c r="X158" s="2"/>
      <c r="Y158" s="2"/>
      <c r="Z158" s="2"/>
    </row>
    <row r="159" spans="1:26" ht="13.5" customHeight="1" x14ac:dyDescent="0.25">
      <c r="A159" s="2"/>
      <c r="B159" s="573">
        <f t="shared" si="59"/>
        <v>4</v>
      </c>
      <c r="C159" s="661" t="str">
        <f t="shared" si="56"/>
        <v>COF</v>
      </c>
      <c r="D159" s="803">
        <v>0.109</v>
      </c>
      <c r="E159" s="2"/>
      <c r="F159" s="2"/>
      <c r="G159" s="2"/>
      <c r="H159" s="2"/>
      <c r="I159" s="2"/>
      <c r="J159" s="2"/>
      <c r="K159" s="2"/>
      <c r="L159" s="2"/>
      <c r="M159" s="2"/>
      <c r="N159" s="2"/>
      <c r="O159" s="661" t="str">
        <f t="shared" si="57"/>
        <v>MA</v>
      </c>
      <c r="P159" s="797">
        <f t="shared" si="58"/>
        <v>-6.9900000000000004E-2</v>
      </c>
      <c r="Q159" s="2"/>
      <c r="R159" s="2"/>
      <c r="S159" s="2"/>
      <c r="T159" s="2"/>
      <c r="U159" s="2"/>
      <c r="V159" s="2"/>
      <c r="W159" s="2"/>
      <c r="X159" s="2"/>
      <c r="Y159" s="2"/>
      <c r="Z159" s="2"/>
    </row>
    <row r="160" spans="1:26" ht="13.5" customHeight="1" x14ac:dyDescent="0.25">
      <c r="A160" s="2"/>
      <c r="B160" s="573">
        <f t="shared" si="59"/>
        <v>5</v>
      </c>
      <c r="C160" s="661" t="str">
        <f t="shared" si="56"/>
        <v>JPM</v>
      </c>
      <c r="D160" s="803">
        <v>0.28820000000000001</v>
      </c>
      <c r="E160" s="2"/>
      <c r="F160" s="2"/>
      <c r="G160" s="2"/>
      <c r="H160" s="2"/>
      <c r="I160" s="2"/>
      <c r="J160" s="2"/>
      <c r="K160" s="2"/>
      <c r="L160" s="2"/>
      <c r="M160" s="2"/>
      <c r="N160" s="2"/>
      <c r="O160" s="661" t="str">
        <f t="shared" si="57"/>
        <v>V</v>
      </c>
      <c r="P160" s="797">
        <f t="shared" si="58"/>
        <v>-0.1137</v>
      </c>
      <c r="Q160" s="2"/>
      <c r="R160" s="2"/>
      <c r="S160" s="2"/>
      <c r="T160" s="2"/>
      <c r="U160" s="2"/>
      <c r="V160" s="2"/>
      <c r="W160" s="2"/>
      <c r="X160" s="2"/>
      <c r="Y160" s="2"/>
      <c r="Z160" s="2"/>
    </row>
    <row r="161" spans="1:26" ht="13.5" customHeight="1" x14ac:dyDescent="0.25">
      <c r="A161" s="2"/>
      <c r="B161" s="573">
        <f t="shared" si="59"/>
        <v>6</v>
      </c>
      <c r="C161" s="661"/>
      <c r="D161" s="803"/>
      <c r="E161" s="2"/>
      <c r="F161" s="2"/>
      <c r="G161" s="2"/>
      <c r="H161" s="2"/>
      <c r="I161" s="2"/>
      <c r="J161" s="2"/>
      <c r="K161" s="2"/>
      <c r="L161" s="2"/>
      <c r="M161" s="2"/>
      <c r="N161" s="2"/>
      <c r="O161" s="661"/>
      <c r="P161" s="797"/>
      <c r="Q161" s="2"/>
      <c r="R161" s="2"/>
      <c r="S161" s="2"/>
      <c r="T161" s="2"/>
      <c r="U161" s="2"/>
      <c r="V161" s="2"/>
      <c r="W161" s="2"/>
      <c r="X161" s="2"/>
      <c r="Y161" s="2"/>
      <c r="Z161" s="2"/>
    </row>
    <row r="162" spans="1:26" ht="13.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54:E154"/>
    <mergeCell ref="O154:P154"/>
    <mergeCell ref="C120:Q120"/>
    <mergeCell ref="C122:E122"/>
    <mergeCell ref="O122:Q122"/>
    <mergeCell ref="C136:Q136"/>
    <mergeCell ref="C138:E138"/>
    <mergeCell ref="O138:P138"/>
    <mergeCell ref="C152:Q152"/>
  </mergeCells>
  <pageMargins left="0.7" right="0.7" top="0.75" bottom="0.75" header="0" footer="0"/>
  <pageSetup scale="43"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showGridLines="0" zoomScale="80" zoomScaleNormal="80" workbookViewId="0">
      <pane ySplit="2" topLeftCell="A3" activePane="bottomLeft" state="frozen"/>
      <selection pane="bottomLeft"/>
    </sheetView>
  </sheetViews>
  <sheetFormatPr defaultColWidth="14.42578125" defaultRowHeight="15" customHeight="1" outlineLevelRow="1" x14ac:dyDescent="0.25"/>
  <cols>
    <col min="1" max="1" width="1.7109375" customWidth="1"/>
    <col min="2" max="2" width="1.5703125" customWidth="1"/>
    <col min="3" max="14" width="12.7109375" customWidth="1"/>
    <col min="15" max="16" width="11.7109375" customWidth="1"/>
    <col min="17" max="26" width="10.7109375" customWidth="1"/>
  </cols>
  <sheetData>
    <row r="1" spans="1:26" ht="19.5" customHeight="1" x14ac:dyDescent="0.35">
      <c r="A1" s="4"/>
      <c r="B1" s="4"/>
      <c r="C1" s="747" t="str">
        <f ca="1">Company_Name&amp;" - "&amp;MID(CELL("filename",A1),FIND("]",CELL("filename",A1))+1,255)&amp;": "&amp;Case_Scenario&amp;" Case"</f>
        <v>American Express Company - Pre-Earnings: Base Case</v>
      </c>
      <c r="D1" s="4"/>
      <c r="E1" s="4"/>
      <c r="F1" s="4"/>
      <c r="G1" s="4"/>
      <c r="H1" s="4"/>
      <c r="I1" s="4"/>
      <c r="J1" s="4"/>
      <c r="K1" s="4"/>
      <c r="L1" s="4"/>
      <c r="M1" s="4"/>
      <c r="N1" s="4"/>
      <c r="O1" s="4"/>
      <c r="P1" s="4"/>
      <c r="Q1" s="4"/>
      <c r="R1" s="4"/>
      <c r="S1" s="4"/>
      <c r="T1" s="4"/>
      <c r="U1" s="4"/>
      <c r="V1" s="4"/>
      <c r="W1" s="4"/>
      <c r="X1" s="4"/>
      <c r="Y1" s="4"/>
      <c r="Z1" s="4"/>
    </row>
    <row r="2" spans="1:26" ht="15" customHeight="1" x14ac:dyDescent="0.25">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row>
    <row r="3" spans="1:26" ht="14.25" customHeight="1" x14ac:dyDescent="0.25">
      <c r="A3" s="3"/>
      <c r="B3" s="9"/>
      <c r="C3" s="9"/>
      <c r="D3" s="9"/>
      <c r="E3" s="9"/>
      <c r="F3" s="9"/>
      <c r="G3" s="9"/>
      <c r="H3" s="9"/>
      <c r="I3" s="9"/>
      <c r="J3" s="9"/>
      <c r="K3" s="9"/>
      <c r="L3" s="9"/>
      <c r="M3" s="9"/>
      <c r="N3" s="9"/>
      <c r="O3" s="9"/>
      <c r="P3" s="9"/>
      <c r="Q3" s="2"/>
      <c r="R3" s="2"/>
      <c r="S3" s="2"/>
      <c r="T3" s="2"/>
      <c r="U3" s="2"/>
      <c r="V3" s="2"/>
      <c r="W3" s="2"/>
      <c r="X3" s="2"/>
      <c r="Y3" s="2"/>
      <c r="Z3" s="2"/>
    </row>
    <row r="4" spans="1:26" ht="14.25" customHeight="1" x14ac:dyDescent="0.25">
      <c r="A4" s="9"/>
      <c r="B4" s="9"/>
      <c r="C4" s="9" t="s">
        <v>809</v>
      </c>
      <c r="D4" s="9"/>
      <c r="E4" s="9"/>
      <c r="F4" s="9"/>
      <c r="G4" s="9"/>
      <c r="H4" s="42" t="s">
        <v>810</v>
      </c>
      <c r="I4" s="9"/>
      <c r="J4" s="9"/>
      <c r="K4" s="9"/>
      <c r="L4" s="9"/>
      <c r="M4" s="9"/>
      <c r="N4" s="9"/>
      <c r="O4" s="9"/>
      <c r="P4" s="9"/>
      <c r="Q4" s="2"/>
      <c r="R4" s="2"/>
      <c r="S4" s="2"/>
      <c r="T4" s="2"/>
      <c r="U4" s="2"/>
      <c r="V4" s="2"/>
      <c r="W4" s="2"/>
      <c r="X4" s="2"/>
      <c r="Y4" s="2"/>
      <c r="Z4" s="2"/>
    </row>
    <row r="5" spans="1:26" ht="14.25" customHeight="1" x14ac:dyDescent="0.25">
      <c r="A5" s="9"/>
      <c r="B5" s="9"/>
      <c r="C5" s="9" t="s">
        <v>811</v>
      </c>
      <c r="D5" s="9"/>
      <c r="E5" s="9"/>
      <c r="F5" s="9"/>
      <c r="G5" s="9"/>
      <c r="H5" s="804">
        <f>YEAR(Next_FYE)</f>
        <v>2026</v>
      </c>
      <c r="I5" s="9"/>
      <c r="J5" s="9"/>
      <c r="K5" s="9"/>
      <c r="L5" s="9"/>
      <c r="M5" s="9"/>
      <c r="N5" s="9"/>
      <c r="O5" s="9"/>
      <c r="P5" s="9"/>
      <c r="Q5" s="2"/>
      <c r="R5" s="2"/>
      <c r="S5" s="2"/>
      <c r="T5" s="2"/>
      <c r="U5" s="2"/>
      <c r="V5" s="2"/>
      <c r="W5" s="2"/>
      <c r="X5" s="2"/>
      <c r="Y5" s="2"/>
      <c r="Z5" s="2"/>
    </row>
    <row r="6" spans="1:26" ht="14.25" customHeight="1" x14ac:dyDescent="0.25">
      <c r="A6" s="9"/>
      <c r="B6" s="9"/>
      <c r="C6" s="9" t="s">
        <v>812</v>
      </c>
      <c r="D6" s="9"/>
      <c r="E6" s="9"/>
      <c r="F6" s="9"/>
      <c r="G6" s="9"/>
      <c r="H6" s="805" t="str">
        <f>H4&amp;RIGHT(H5,2)&amp;"e"</f>
        <v>4Q26e</v>
      </c>
      <c r="I6" s="9"/>
      <c r="J6" s="9"/>
      <c r="K6" s="9"/>
      <c r="L6" s="9"/>
      <c r="M6" s="9"/>
      <c r="N6" s="9"/>
      <c r="O6" s="9"/>
      <c r="P6" s="9"/>
      <c r="Q6" s="2"/>
      <c r="R6" s="2"/>
      <c r="S6" s="2"/>
      <c r="T6" s="2"/>
      <c r="U6" s="2"/>
      <c r="V6" s="2"/>
      <c r="W6" s="2"/>
      <c r="X6" s="2"/>
      <c r="Y6" s="2"/>
      <c r="Z6" s="2"/>
    </row>
    <row r="7" spans="1:26" ht="14.25" customHeight="1" x14ac:dyDescent="0.25">
      <c r="A7" s="9"/>
      <c r="B7" s="9"/>
      <c r="C7" s="9" t="s">
        <v>813</v>
      </c>
      <c r="D7" s="9"/>
      <c r="E7" s="9"/>
      <c r="F7" s="9"/>
      <c r="G7" s="9"/>
      <c r="H7" s="804">
        <f>YEAR(Last_FYE)</f>
        <v>2025</v>
      </c>
      <c r="I7" s="9"/>
      <c r="J7" s="9"/>
      <c r="K7" s="9"/>
      <c r="L7" s="9"/>
      <c r="M7" s="9"/>
      <c r="N7" s="9"/>
      <c r="O7" s="9"/>
      <c r="P7" s="9"/>
      <c r="Q7" s="2"/>
      <c r="R7" s="2"/>
      <c r="S7" s="2"/>
      <c r="T7" s="2"/>
      <c r="U7" s="2"/>
      <c r="V7" s="2"/>
      <c r="W7" s="2"/>
      <c r="X7" s="2"/>
      <c r="Y7" s="2"/>
      <c r="Z7" s="2"/>
    </row>
    <row r="8" spans="1:26" ht="14.25" customHeight="1" x14ac:dyDescent="0.25">
      <c r="A8" s="9"/>
      <c r="B8" s="9"/>
      <c r="C8" s="9" t="s">
        <v>814</v>
      </c>
      <c r="D8" s="9"/>
      <c r="E8" s="9"/>
      <c r="F8" s="9"/>
      <c r="G8" s="9"/>
      <c r="H8" s="31" t="s">
        <v>3</v>
      </c>
      <c r="I8" s="9"/>
      <c r="J8" s="9"/>
      <c r="K8" s="9"/>
      <c r="L8" s="9"/>
      <c r="M8" s="9"/>
      <c r="N8" s="9"/>
      <c r="O8" s="9"/>
      <c r="P8" s="9"/>
      <c r="Q8" s="2"/>
      <c r="R8" s="2"/>
      <c r="S8" s="2"/>
      <c r="T8" s="2"/>
      <c r="U8" s="2"/>
      <c r="V8" s="2"/>
      <c r="W8" s="2"/>
      <c r="X8" s="2"/>
      <c r="Y8" s="2"/>
      <c r="Z8" s="2"/>
    </row>
    <row r="9" spans="1:26" ht="14.25" customHeight="1" x14ac:dyDescent="0.25">
      <c r="A9" s="9"/>
      <c r="B9" s="9"/>
      <c r="C9" s="9"/>
      <c r="D9" s="9"/>
      <c r="E9" s="9"/>
      <c r="F9" s="9"/>
      <c r="G9" s="9"/>
      <c r="H9" s="9"/>
      <c r="I9" s="9"/>
      <c r="J9" s="9"/>
      <c r="K9" s="9"/>
      <c r="L9" s="9"/>
      <c r="M9" s="9"/>
      <c r="N9" s="9"/>
      <c r="O9" s="9"/>
      <c r="P9" s="9"/>
      <c r="Q9" s="2"/>
      <c r="R9" s="2"/>
      <c r="S9" s="2"/>
      <c r="T9" s="2"/>
      <c r="U9" s="2"/>
      <c r="V9" s="2"/>
      <c r="W9" s="2"/>
      <c r="X9" s="2"/>
      <c r="Y9" s="2"/>
      <c r="Z9" s="2"/>
    </row>
    <row r="10" spans="1:26" ht="14.25" customHeight="1" x14ac:dyDescent="0.25">
      <c r="A10" s="9"/>
      <c r="B10" s="205" t="s">
        <v>0</v>
      </c>
      <c r="C10" s="76" t="str">
        <f>Ticker&amp;" "&amp;H4&amp;RIGHT(H5,2)&amp;" Operating Expectations"</f>
        <v>AXP 4Q26 Operating Expectations</v>
      </c>
      <c r="D10" s="76"/>
      <c r="E10" s="76"/>
      <c r="F10" s="76"/>
      <c r="G10" s="76"/>
      <c r="H10" s="78" t="s">
        <v>815</v>
      </c>
      <c r="I10" s="78" t="s">
        <v>816</v>
      </c>
      <c r="J10" s="78" t="str">
        <f>H4&amp;RIGHT(H7,2)&amp;"a"</f>
        <v>4Q25a</v>
      </c>
      <c r="K10" s="78" t="str">
        <f>IF(H4="1Q",Last_FQR&amp;RIGHT(H7,2)&amp;"a",Last_FQR&amp;RIGHT(H5,2)&amp;"a")</f>
        <v>1Q26a</v>
      </c>
      <c r="L10" s="806" t="str">
        <f t="shared" ref="L10:N10" si="0">"v. "&amp;I10</f>
        <v>v. Consensus</v>
      </c>
      <c r="M10" s="78" t="str">
        <f t="shared" si="0"/>
        <v>v. 4Q25a</v>
      </c>
      <c r="N10" s="78" t="str">
        <f t="shared" si="0"/>
        <v>v. 1Q26a</v>
      </c>
      <c r="O10" s="143"/>
      <c r="P10" s="143"/>
      <c r="Q10" s="2"/>
      <c r="R10" s="2"/>
      <c r="S10" s="2"/>
      <c r="T10" s="2"/>
      <c r="U10" s="2"/>
      <c r="V10" s="2"/>
      <c r="W10" s="2"/>
      <c r="X10" s="2"/>
      <c r="Y10" s="2"/>
      <c r="Z10" s="2"/>
    </row>
    <row r="11" spans="1:26" ht="4.5" customHeight="1" x14ac:dyDescent="0.25">
      <c r="A11" s="9"/>
      <c r="B11" s="205"/>
      <c r="C11" s="37"/>
      <c r="D11" s="37"/>
      <c r="E11" s="37"/>
      <c r="F11" s="37"/>
      <c r="G11" s="37"/>
      <c r="H11" s="143"/>
      <c r="I11" s="143"/>
      <c r="J11" s="143"/>
      <c r="K11" s="143"/>
      <c r="L11" s="143"/>
      <c r="M11" s="143"/>
      <c r="N11" s="143"/>
      <c r="O11" s="143"/>
      <c r="P11" s="143"/>
      <c r="Q11" s="2"/>
      <c r="R11" s="2"/>
      <c r="S11" s="2"/>
      <c r="T11" s="2"/>
      <c r="U11" s="2"/>
      <c r="V11" s="2"/>
      <c r="W11" s="2"/>
      <c r="X11" s="2"/>
      <c r="Y11" s="2"/>
      <c r="Z11" s="2"/>
    </row>
    <row r="12" spans="1:26" ht="14.25" customHeight="1" x14ac:dyDescent="0.25">
      <c r="A12" s="9"/>
      <c r="B12" s="9"/>
      <c r="C12" s="9" t="str">
        <f>Model!C28</f>
        <v>Revenue</v>
      </c>
      <c r="D12" s="9"/>
      <c r="E12" s="9"/>
      <c r="F12" s="9"/>
      <c r="G12" s="9"/>
      <c r="H12" s="807">
        <f t="array" ref="H12">INDEX(Data,MATCH($C12,Line_Items,0),MATCH($H$6,Fiscal_Periods,0))</f>
        <v>23124.4003792</v>
      </c>
      <c r="I12" s="808">
        <v>19670.3</v>
      </c>
      <c r="J12" s="807">
        <f t="array" ref="J12">INDEX(Data,MATCH($C12,Line_Items,0),MATCH(LEFT(J$10,4),Fiscal_Periods,0))</f>
        <v>21040</v>
      </c>
      <c r="K12" s="807">
        <f t="array" ref="K12">INDEX(Data,MATCH($C12,Line_Items,0),MATCH(LEFT(K$10,4),Fiscal_Periods,0))</f>
        <v>20880</v>
      </c>
      <c r="L12" s="809">
        <f t="shared" ref="L12:N12" si="1">IFERROR($H12/I12-1,"N/A")</f>
        <v>0.17559978135564802</v>
      </c>
      <c r="M12" s="527">
        <f t="shared" si="1"/>
        <v>9.9068459087452432E-2</v>
      </c>
      <c r="N12" s="527">
        <f t="shared" si="1"/>
        <v>0.10749043961685834</v>
      </c>
      <c r="O12" s="9"/>
      <c r="P12" s="9"/>
      <c r="Q12" s="2"/>
      <c r="R12" s="2"/>
      <c r="S12" s="2"/>
      <c r="T12" s="2"/>
      <c r="U12" s="2"/>
      <c r="V12" s="2"/>
      <c r="W12" s="2"/>
      <c r="X12" s="2"/>
      <c r="Y12" s="2"/>
      <c r="Z12" s="2"/>
    </row>
    <row r="13" spans="1:26" ht="14.25" customHeight="1" x14ac:dyDescent="0.25">
      <c r="A13" s="9"/>
      <c r="B13" s="9"/>
      <c r="C13" s="9" t="str">
        <f>Model!C32</f>
        <v>Gross Profit</v>
      </c>
      <c r="D13" s="9"/>
      <c r="E13" s="9"/>
      <c r="F13" s="9"/>
      <c r="G13" s="9"/>
      <c r="H13" s="810">
        <f t="array" ref="H13">INDEX(Data,MATCH($C13,Line_Items,0),MATCH($H$6,Fiscal_Periods,0))</f>
        <v>19678.935650552001</v>
      </c>
      <c r="I13" s="811">
        <v>3968.1</v>
      </c>
      <c r="J13" s="810">
        <f t="array" ref="J13">INDEX(Data,MATCH($C13,Line_Items,0),MATCH(LEFT(J$10,4),Fiscal_Periods,0))</f>
        <v>17566</v>
      </c>
      <c r="K13" s="810">
        <f t="array" ref="K13">INDEX(Data,MATCH($C13,Line_Items,0),MATCH(LEFT(K$10,4),Fiscal_Periods,0))</f>
        <v>17656</v>
      </c>
      <c r="L13" s="809">
        <f t="shared" ref="L13:N13" si="2">IFERROR($H13/I13-1,"N/A")</f>
        <v>3.9592842041662264</v>
      </c>
      <c r="M13" s="527">
        <f t="shared" si="2"/>
        <v>0.12028553174040768</v>
      </c>
      <c r="N13" s="527">
        <f t="shared" si="2"/>
        <v>0.11457496888038077</v>
      </c>
      <c r="O13" s="9"/>
      <c r="P13" s="9"/>
      <c r="Q13" s="2"/>
      <c r="R13" s="2"/>
      <c r="S13" s="2"/>
      <c r="T13" s="2"/>
      <c r="U13" s="2"/>
      <c r="V13" s="2"/>
      <c r="W13" s="2"/>
      <c r="X13" s="2"/>
      <c r="Y13" s="2"/>
      <c r="Z13" s="2"/>
    </row>
    <row r="14" spans="1:26" ht="14.25" customHeight="1" x14ac:dyDescent="0.25">
      <c r="A14" s="9"/>
      <c r="B14" s="9"/>
      <c r="C14" s="84" t="str">
        <f>Model!C66</f>
        <v>Gross Margin</v>
      </c>
      <c r="D14" s="9"/>
      <c r="E14" s="9"/>
      <c r="F14" s="9"/>
      <c r="G14" s="9"/>
      <c r="H14" s="812">
        <f t="array" ref="H14">INDEX(Data,MATCH($C14,Line_Items,0),MATCH($H$6,Fiscal_Periods,0))</f>
        <v>0.72</v>
      </c>
      <c r="I14" s="813">
        <v>0.20200000000000001</v>
      </c>
      <c r="J14" s="812">
        <f t="array" ref="J14">INDEX(Data,MATCH($C14,Line_Items,0),MATCH(LEFT(J$10,4),Fiscal_Periods,0))</f>
        <v>0.83488593155893531</v>
      </c>
      <c r="K14" s="812">
        <f t="array" ref="K14">INDEX(Data,MATCH($C14,Line_Items,0),MATCH(LEFT(K$10,4),Fiscal_Periods,0))</f>
        <v>0.84559386973180073</v>
      </c>
      <c r="L14" s="814">
        <f t="shared" ref="L14:N14" si="3">$H14-I14</f>
        <v>0.51800000000000002</v>
      </c>
      <c r="M14" s="815">
        <f t="shared" si="3"/>
        <v>-0.11488593155893534</v>
      </c>
      <c r="N14" s="815">
        <f t="shared" si="3"/>
        <v>-0.12559386973180076</v>
      </c>
      <c r="O14" s="9"/>
      <c r="P14" s="9"/>
      <c r="Q14" s="2"/>
      <c r="R14" s="2"/>
      <c r="S14" s="2"/>
      <c r="T14" s="2"/>
      <c r="U14" s="2"/>
      <c r="V14" s="2"/>
      <c r="W14" s="2"/>
      <c r="X14" s="2"/>
      <c r="Y14" s="2"/>
      <c r="Z14" s="2"/>
    </row>
    <row r="15" spans="1:26" ht="14.25" customHeight="1" x14ac:dyDescent="0.25">
      <c r="A15" s="9"/>
      <c r="B15" s="9"/>
      <c r="C15" s="9" t="str">
        <f>Model!C61</f>
        <v>EBITDA</v>
      </c>
      <c r="D15" s="9"/>
      <c r="E15" s="9"/>
      <c r="F15" s="9"/>
      <c r="G15" s="9"/>
      <c r="H15" s="810">
        <f t="array" ref="H15">INDEX(Data,MATCH($C15,Line_Items,0),MATCH($H$6,Fiscal_Periods,0))</f>
        <v>4991.121141524296</v>
      </c>
      <c r="I15" s="811">
        <v>2224.4</v>
      </c>
      <c r="J15" s="810">
        <f t="array" ref="J15">INDEX(Data,MATCH($C15,Line_Items,0),MATCH(LEFT(J$10,4),Fiscal_Periods,0))</f>
        <v>3534.25</v>
      </c>
      <c r="K15" s="810">
        <f t="array" ref="K15">INDEX(Data,MATCH($C15,Line_Items,0),MATCH(LEFT(K$10,4),Fiscal_Periods,0))</f>
        <v>4246</v>
      </c>
      <c r="L15" s="809">
        <f t="shared" ref="L15:N15" si="4">IFERROR($H15/I15-1,"N/A")</f>
        <v>1.2438055842134039</v>
      </c>
      <c r="M15" s="527">
        <f t="shared" si="4"/>
        <v>0.41221507859497653</v>
      </c>
      <c r="N15" s="527">
        <f t="shared" si="4"/>
        <v>0.17548778651066788</v>
      </c>
      <c r="O15" s="9"/>
      <c r="P15" s="9"/>
      <c r="Q15" s="2"/>
      <c r="R15" s="2"/>
      <c r="S15" s="2"/>
      <c r="T15" s="2"/>
      <c r="U15" s="2"/>
      <c r="V15" s="2"/>
      <c r="W15" s="2"/>
      <c r="X15" s="2"/>
      <c r="Y15" s="2"/>
      <c r="Z15" s="2"/>
    </row>
    <row r="16" spans="1:26" ht="14.25" customHeight="1" x14ac:dyDescent="0.25">
      <c r="A16" s="9"/>
      <c r="B16" s="9"/>
      <c r="C16" s="84" t="str">
        <f>'Segment Analysis'!C128</f>
        <v>EBITDA Margin</v>
      </c>
      <c r="D16" s="9"/>
      <c r="E16" s="9"/>
      <c r="F16" s="9"/>
      <c r="G16" s="9"/>
      <c r="H16" s="816">
        <f>H15/$H$12</f>
        <v>0.21583786215765938</v>
      </c>
      <c r="I16" s="813">
        <v>0.113</v>
      </c>
      <c r="J16" s="816">
        <f t="shared" ref="J16:K16" si="5">J15/$H$12</f>
        <v>0.15283639541109992</v>
      </c>
      <c r="K16" s="816">
        <f t="shared" si="5"/>
        <v>0.18361557187961525</v>
      </c>
      <c r="L16" s="814">
        <f t="shared" ref="L16:N16" si="6">$H16-I16</f>
        <v>0.10283786215765937</v>
      </c>
      <c r="M16" s="815">
        <f t="shared" si="6"/>
        <v>6.3001466746559459E-2</v>
      </c>
      <c r="N16" s="815">
        <f t="shared" si="6"/>
        <v>3.222229027804413E-2</v>
      </c>
      <c r="O16" s="9"/>
      <c r="P16" s="9"/>
      <c r="Q16" s="2"/>
      <c r="R16" s="2"/>
      <c r="S16" s="2"/>
      <c r="T16" s="2"/>
      <c r="U16" s="2"/>
      <c r="V16" s="2"/>
      <c r="W16" s="2"/>
      <c r="X16" s="2"/>
      <c r="Y16" s="2"/>
      <c r="Z16" s="2"/>
    </row>
    <row r="17" spans="1:26" ht="14.25" customHeight="1" x14ac:dyDescent="0.25">
      <c r="A17" s="9"/>
      <c r="B17" s="9"/>
      <c r="C17" s="9" t="str">
        <f>Model!C39</f>
        <v>Operating Income</v>
      </c>
      <c r="D17" s="9"/>
      <c r="E17" s="9"/>
      <c r="F17" s="9"/>
      <c r="G17" s="9"/>
      <c r="H17" s="810">
        <f t="array" ref="H17">INDEX(Data,MATCH($C17,Line_Items,0),MATCH($H$6,Fiscal_Periods,0))</f>
        <v>4416.8314002799998</v>
      </c>
      <c r="I17" s="811">
        <v>1952.8</v>
      </c>
      <c r="J17" s="810">
        <f t="array" ref="J17">INDEX(Data,MATCH($C17,Line_Items,0),MATCH(LEFT(J$10,4),Fiscal_Periods,0))</f>
        <v>3090</v>
      </c>
      <c r="K17" s="810">
        <f t="array" ref="K17">INDEX(Data,MATCH($C17,Line_Items,0),MATCH(LEFT(K$10,4),Fiscal_Periods,0))</f>
        <v>3778</v>
      </c>
      <c r="L17" s="809">
        <f t="shared" ref="L17:N17" si="7">IFERROR($H17/I17-1,"N/A")</f>
        <v>1.2617940394715279</v>
      </c>
      <c r="M17" s="527">
        <f t="shared" si="7"/>
        <v>0.42939527517152087</v>
      </c>
      <c r="N17" s="527">
        <f t="shared" si="7"/>
        <v>0.16909248286924283</v>
      </c>
      <c r="O17" s="9"/>
      <c r="P17" s="9"/>
      <c r="Q17" s="2"/>
      <c r="R17" s="2"/>
      <c r="S17" s="2"/>
      <c r="T17" s="2"/>
      <c r="U17" s="2"/>
      <c r="V17" s="2"/>
      <c r="W17" s="2"/>
      <c r="X17" s="2"/>
      <c r="Y17" s="2"/>
      <c r="Z17" s="2"/>
    </row>
    <row r="18" spans="1:26" ht="14.25" customHeight="1" x14ac:dyDescent="0.25">
      <c r="A18" s="9"/>
      <c r="B18" s="9"/>
      <c r="C18" s="84" t="str">
        <f>'Segment Analysis'!C133</f>
        <v>EBIT Margin</v>
      </c>
      <c r="D18" s="9"/>
      <c r="E18" s="9"/>
      <c r="F18" s="9"/>
      <c r="G18" s="9"/>
      <c r="H18" s="816">
        <f>H17/$H$12</f>
        <v>0.19100306722992322</v>
      </c>
      <c r="I18" s="813">
        <v>9.9000000000000005E-2</v>
      </c>
      <c r="J18" s="816">
        <f t="shared" ref="J18:K18" si="8">J17/$H$12</f>
        <v>0.13362508645972943</v>
      </c>
      <c r="K18" s="816">
        <f t="shared" si="8"/>
        <v>0.16337720927018051</v>
      </c>
      <c r="L18" s="814">
        <f t="shared" ref="L18:N18" si="9">$H18-I18</f>
        <v>9.2003067229923213E-2</v>
      </c>
      <c r="M18" s="815">
        <f t="shared" si="9"/>
        <v>5.7377980770193793E-2</v>
      </c>
      <c r="N18" s="815">
        <f t="shared" si="9"/>
        <v>2.7625857959742706E-2</v>
      </c>
      <c r="O18" s="9"/>
      <c r="P18" s="9"/>
      <c r="Q18" s="2"/>
      <c r="R18" s="2"/>
      <c r="S18" s="2"/>
      <c r="T18" s="2"/>
      <c r="U18" s="2"/>
      <c r="V18" s="2"/>
      <c r="W18" s="2"/>
      <c r="X18" s="2"/>
      <c r="Y18" s="2"/>
      <c r="Z18" s="2"/>
    </row>
    <row r="19" spans="1:26" ht="14.25" customHeight="1" x14ac:dyDescent="0.25">
      <c r="A19" s="9"/>
      <c r="B19" s="9"/>
      <c r="C19" s="9" t="str">
        <f>Model!C45</f>
        <v>Net Income (Loss)</v>
      </c>
      <c r="D19" s="9"/>
      <c r="E19" s="9"/>
      <c r="F19" s="9"/>
      <c r="G19" s="9"/>
      <c r="H19" s="810">
        <f t="array" ref="H19">INDEX(Data,MATCH($C19,Line_Items,0),MATCH($H$6,Fiscal_Periods,0))</f>
        <v>3471.6294806200799</v>
      </c>
      <c r="I19" s="811">
        <v>1379.1</v>
      </c>
      <c r="J19" s="810">
        <f t="array" ref="J19">INDEX(Data,MATCH($C19,Line_Items,0),MATCH(LEFT(J$10,4),Fiscal_Periods,0))</f>
        <v>2462</v>
      </c>
      <c r="K19" s="810">
        <f t="array" ref="K19">INDEX(Data,MATCH($C19,Line_Items,0),MATCH(LEFT(K$10,4),Fiscal_Periods,0))</f>
        <v>2971</v>
      </c>
      <c r="L19" s="809">
        <f t="shared" ref="L19:N19" si="10">IFERROR($H19/I19-1,"N/A")</f>
        <v>1.5173152640273222</v>
      </c>
      <c r="M19" s="527">
        <f t="shared" si="10"/>
        <v>0.41008508554836709</v>
      </c>
      <c r="N19" s="527">
        <f t="shared" si="10"/>
        <v>0.16850537886909445</v>
      </c>
      <c r="O19" s="9"/>
      <c r="P19" s="9"/>
      <c r="Q19" s="2"/>
      <c r="R19" s="2"/>
      <c r="S19" s="2"/>
      <c r="T19" s="2"/>
      <c r="U19" s="2"/>
      <c r="V19" s="2"/>
      <c r="W19" s="2"/>
      <c r="X19" s="2"/>
      <c r="Y19" s="2"/>
      <c r="Z19" s="2"/>
    </row>
    <row r="20" spans="1:26" ht="14.25" customHeight="1" x14ac:dyDescent="0.25">
      <c r="A20" s="9"/>
      <c r="B20" s="9"/>
      <c r="C20" s="84" t="s">
        <v>461</v>
      </c>
      <c r="D20" s="9"/>
      <c r="E20" s="9"/>
      <c r="F20" s="9"/>
      <c r="G20" s="9"/>
      <c r="H20" s="812">
        <f>H19/H12</f>
        <v>0.15012841084271966</v>
      </c>
      <c r="I20" s="813">
        <v>7.0000000000000007E-2</v>
      </c>
      <c r="J20" s="812">
        <f t="shared" ref="J20:K20" si="11">J19/J12</f>
        <v>0.11701520912547529</v>
      </c>
      <c r="K20" s="812">
        <f t="shared" si="11"/>
        <v>0.14228927203065134</v>
      </c>
      <c r="L20" s="814">
        <f t="shared" ref="L20:N20" si="12">$H20-I20</f>
        <v>8.0128410842719655E-2</v>
      </c>
      <c r="M20" s="815">
        <f t="shared" si="12"/>
        <v>3.311320171724437E-2</v>
      </c>
      <c r="N20" s="815">
        <f t="shared" si="12"/>
        <v>7.8391388120683247E-3</v>
      </c>
      <c r="O20" s="9"/>
      <c r="P20" s="9"/>
      <c r="Q20" s="2"/>
      <c r="R20" s="2"/>
      <c r="S20" s="2"/>
      <c r="T20" s="2"/>
      <c r="U20" s="2"/>
      <c r="V20" s="2"/>
      <c r="W20" s="2"/>
      <c r="X20" s="2"/>
      <c r="Y20" s="2"/>
      <c r="Z20" s="2"/>
    </row>
    <row r="21" spans="1:26" ht="14.25" customHeight="1" x14ac:dyDescent="0.25">
      <c r="A21" s="9"/>
      <c r="B21" s="9"/>
      <c r="C21" s="9" t="str">
        <f>Model!C57</f>
        <v>Adj. EPS (Diluted)</v>
      </c>
      <c r="D21" s="9"/>
      <c r="E21" s="9"/>
      <c r="F21" s="9"/>
      <c r="G21" s="9"/>
      <c r="H21" s="817">
        <f t="array" ref="H21">INDEX(Data,MATCH($C21,Line_Items,0),MATCH($H$6,Fiscal_Periods,0))</f>
        <v>5.0692497463587145</v>
      </c>
      <c r="I21" s="818">
        <v>2.15</v>
      </c>
      <c r="J21" s="817">
        <f t="array" ref="J21">INDEX(Data,MATCH($C21,Line_Items,0),MATCH(LEFT(J$10,4),Fiscal_Periods,0))</f>
        <v>3.4971264367816093</v>
      </c>
      <c r="K21" s="817">
        <f t="array" ref="K21">INDEX(Data,MATCH($C21,Line_Items,0),MATCH(LEFT(K$10,4),Fiscal_Periods,0))</f>
        <v>4.2813411078717198</v>
      </c>
      <c r="L21" s="809">
        <f t="shared" ref="L21:N21" si="13">IFERROR($H21/I21-1,"N/A")</f>
        <v>1.3577905797017276</v>
      </c>
      <c r="M21" s="527">
        <f t="shared" si="13"/>
        <v>0.44954717480101292</v>
      </c>
      <c r="N21" s="527">
        <f t="shared" si="13"/>
        <v>0.18403313789651965</v>
      </c>
      <c r="O21" s="9"/>
      <c r="P21" s="9"/>
      <c r="Q21" s="2"/>
      <c r="R21" s="2"/>
      <c r="S21" s="2"/>
      <c r="T21" s="2"/>
      <c r="U21" s="2"/>
      <c r="V21" s="2"/>
      <c r="W21" s="2"/>
      <c r="X21" s="2"/>
      <c r="Y21" s="2"/>
      <c r="Z21" s="2"/>
    </row>
    <row r="22" spans="1:26" ht="14.25" customHeight="1" x14ac:dyDescent="0.25">
      <c r="A22" s="9"/>
      <c r="B22" s="9"/>
      <c r="C22" s="9"/>
      <c r="D22" s="9"/>
      <c r="E22" s="9"/>
      <c r="F22" s="9"/>
      <c r="G22" s="9"/>
      <c r="H22" s="64"/>
      <c r="I22" s="64"/>
      <c r="J22" s="64"/>
      <c r="K22" s="64"/>
      <c r="L22" s="64"/>
      <c r="M22" s="64"/>
      <c r="N22" s="64"/>
      <c r="O22" s="9"/>
      <c r="P22" s="9"/>
      <c r="Q22" s="2"/>
      <c r="R22" s="2"/>
      <c r="S22" s="2"/>
      <c r="T22" s="2"/>
      <c r="U22" s="2"/>
      <c r="V22" s="2"/>
      <c r="W22" s="2"/>
      <c r="X22" s="2"/>
      <c r="Y22" s="2"/>
      <c r="Z22" s="2"/>
    </row>
    <row r="23" spans="1:26" ht="14.25" customHeight="1" x14ac:dyDescent="0.25">
      <c r="A23" s="9"/>
      <c r="B23" s="9"/>
      <c r="C23" s="9"/>
      <c r="D23" s="9"/>
      <c r="E23" s="9"/>
      <c r="F23" s="9"/>
      <c r="G23" s="9"/>
      <c r="H23" s="64"/>
      <c r="I23" s="64"/>
      <c r="J23" s="64"/>
      <c r="K23" s="64"/>
      <c r="L23" s="64"/>
      <c r="M23" s="64"/>
      <c r="N23" s="64"/>
      <c r="O23" s="9"/>
      <c r="P23" s="9"/>
      <c r="Q23" s="2"/>
      <c r="R23" s="2"/>
      <c r="S23" s="2"/>
      <c r="T23" s="2"/>
      <c r="U23" s="2"/>
      <c r="V23" s="2"/>
      <c r="W23" s="2"/>
      <c r="X23" s="2"/>
      <c r="Y23" s="2"/>
      <c r="Z23" s="2"/>
    </row>
    <row r="24" spans="1:26" ht="14.25" customHeight="1" x14ac:dyDescent="0.25">
      <c r="A24" s="9"/>
      <c r="B24" s="205" t="s">
        <v>0</v>
      </c>
      <c r="C24" s="76" t="str">
        <f>Ticker&amp;" "&amp;H4&amp;RIGHT(H5,2)&amp;" Segment Expectations"</f>
        <v>AXP 4Q26 Segment Expectations</v>
      </c>
      <c r="D24" s="76"/>
      <c r="E24" s="76"/>
      <c r="F24" s="76"/>
      <c r="G24" s="76"/>
      <c r="H24" s="78" t="str">
        <f t="shared" ref="H24:N24" si="14">H10</f>
        <v>OFe</v>
      </c>
      <c r="I24" s="78" t="str">
        <f t="shared" si="14"/>
        <v>Consensus</v>
      </c>
      <c r="J24" s="78" t="str">
        <f t="shared" si="14"/>
        <v>4Q25a</v>
      </c>
      <c r="K24" s="78" t="str">
        <f t="shared" si="14"/>
        <v>1Q26a</v>
      </c>
      <c r="L24" s="806" t="str">
        <f t="shared" si="14"/>
        <v>v. Consensus</v>
      </c>
      <c r="M24" s="78" t="str">
        <f t="shared" si="14"/>
        <v>v. 4Q25a</v>
      </c>
      <c r="N24" s="78" t="str">
        <f t="shared" si="14"/>
        <v>v. 1Q26a</v>
      </c>
      <c r="O24" s="9"/>
      <c r="P24" s="9"/>
      <c r="Q24" s="2"/>
      <c r="R24" s="2"/>
      <c r="S24" s="2"/>
      <c r="T24" s="2"/>
      <c r="U24" s="2"/>
      <c r="V24" s="2"/>
      <c r="W24" s="2"/>
      <c r="X24" s="2"/>
      <c r="Y24" s="2"/>
      <c r="Z24" s="2"/>
    </row>
    <row r="25" spans="1:26" ht="4.5" customHeight="1" x14ac:dyDescent="0.25">
      <c r="A25" s="9"/>
      <c r="B25" s="205"/>
      <c r="C25" s="9"/>
      <c r="D25" s="9"/>
      <c r="E25" s="9"/>
      <c r="F25" s="9"/>
      <c r="G25" s="9"/>
      <c r="H25" s="64"/>
      <c r="I25" s="64"/>
      <c r="J25" s="64"/>
      <c r="K25" s="64"/>
      <c r="L25" s="64"/>
      <c r="M25" s="64"/>
      <c r="N25" s="64"/>
      <c r="O25" s="9"/>
      <c r="P25" s="9"/>
      <c r="Q25" s="2"/>
      <c r="R25" s="2"/>
      <c r="S25" s="2"/>
      <c r="T25" s="2"/>
      <c r="U25" s="2"/>
      <c r="V25" s="2"/>
      <c r="W25" s="2"/>
      <c r="X25" s="2"/>
      <c r="Y25" s="2"/>
      <c r="Z25" s="2"/>
    </row>
    <row r="26" spans="1:26" ht="14.25" customHeight="1" x14ac:dyDescent="0.25">
      <c r="A26" s="9"/>
      <c r="B26" s="9"/>
      <c r="C26" s="9" t="str">
        <f>'Segment Analysis'!C8</f>
        <v>Discount Revenue</v>
      </c>
      <c r="D26" s="9"/>
      <c r="E26" s="9"/>
      <c r="F26" s="9"/>
      <c r="G26" s="9"/>
      <c r="H26" s="807" t="e">
        <f t="array" ref="H26">INDEX(Data,MATCH($C26,Line_Items,0),MATCH($H$6,Fiscal_Periods,0))</f>
        <v>#N/A</v>
      </c>
      <c r="I26" s="808">
        <v>6520.1</v>
      </c>
      <c r="J26" s="807" t="e">
        <f t="array" ref="J26">INDEX(Data,MATCH($C26,Line_Items,0),MATCH(LEFT(J$24,4),Fiscal_Periods,0))</f>
        <v>#N/A</v>
      </c>
      <c r="K26" s="807" t="e">
        <f t="array" ref="K26">INDEX(Data,MATCH($C26,Line_Items,0),MATCH(LEFT(K$24,4),Fiscal_Periods,0))</f>
        <v>#N/A</v>
      </c>
      <c r="L26" s="809" t="str">
        <f t="shared" ref="L26:N26" si="15">IFERROR($H26/I26-1,"N/A")</f>
        <v>N/A</v>
      </c>
      <c r="M26" s="527" t="str">
        <f t="shared" si="15"/>
        <v>N/A</v>
      </c>
      <c r="N26" s="527" t="str">
        <f t="shared" si="15"/>
        <v>N/A</v>
      </c>
      <c r="O26" s="9"/>
      <c r="P26" s="9"/>
      <c r="Q26" s="2"/>
      <c r="R26" s="2"/>
      <c r="S26" s="2"/>
      <c r="T26" s="2"/>
      <c r="U26" s="2"/>
      <c r="V26" s="2"/>
      <c r="W26" s="2"/>
      <c r="X26" s="2"/>
      <c r="Y26" s="2"/>
      <c r="Z26" s="2"/>
    </row>
    <row r="27" spans="1:26" ht="14.25" customHeight="1" x14ac:dyDescent="0.25">
      <c r="A27" s="9"/>
      <c r="B27" s="9"/>
      <c r="C27" s="9" t="str">
        <f>'Segment Analysis'!C9</f>
        <v>Net Card Fees Revenue</v>
      </c>
      <c r="D27" s="9"/>
      <c r="E27" s="9"/>
      <c r="F27" s="9"/>
      <c r="G27" s="9"/>
      <c r="H27" s="810" t="e">
        <f t="array" ref="H27">INDEX(Data,MATCH($C27,Line_Items,0),MATCH($H$6,Fiscal_Periods,0))</f>
        <v>#N/A</v>
      </c>
      <c r="I27" s="811">
        <v>11000.3</v>
      </c>
      <c r="J27" s="810" t="e">
        <f t="array" ref="J27">INDEX(Data,MATCH($C27,Line_Items,0),MATCH(LEFT(J$24,4),Fiscal_Periods,0))</f>
        <v>#N/A</v>
      </c>
      <c r="K27" s="810" t="e">
        <f t="array" ref="K27">INDEX(Data,MATCH($C27,Line_Items,0),MATCH(LEFT(K$24,4),Fiscal_Periods,0))</f>
        <v>#N/A</v>
      </c>
      <c r="L27" s="809" t="str">
        <f t="shared" ref="L27:N27" si="16">IFERROR($H27/I27-1,"N/A")</f>
        <v>N/A</v>
      </c>
      <c r="M27" s="527" t="str">
        <f t="shared" si="16"/>
        <v>N/A</v>
      </c>
      <c r="N27" s="527" t="str">
        <f t="shared" si="16"/>
        <v>N/A</v>
      </c>
      <c r="O27" s="9"/>
      <c r="P27" s="9"/>
      <c r="Q27" s="2"/>
      <c r="R27" s="2"/>
      <c r="S27" s="2"/>
      <c r="T27" s="2"/>
      <c r="U27" s="2"/>
      <c r="V27" s="2"/>
      <c r="W27" s="2"/>
      <c r="X27" s="2"/>
      <c r="Y27" s="2"/>
      <c r="Z27" s="2"/>
    </row>
    <row r="28" spans="1:26" ht="14.25" customHeight="1" x14ac:dyDescent="0.25">
      <c r="A28" s="9"/>
      <c r="B28" s="9"/>
      <c r="C28" s="9" t="str">
        <f>'Segment Analysis'!C10</f>
        <v>Service Fees and Other Revenue</v>
      </c>
      <c r="D28" s="9"/>
      <c r="E28" s="9"/>
      <c r="F28" s="9"/>
      <c r="G28" s="9"/>
      <c r="H28" s="810" t="e">
        <f t="array" ref="H28">INDEX(Data,MATCH($C28,Line_Items,0),MATCH($H$6,Fiscal_Periods,0))</f>
        <v>#N/A</v>
      </c>
      <c r="I28" s="811">
        <v>75</v>
      </c>
      <c r="J28" s="810" t="e">
        <f t="array" ref="J28">INDEX(Data,MATCH($C28,Line_Items,0),MATCH(LEFT(J$24,4),Fiscal_Periods,0))</f>
        <v>#N/A</v>
      </c>
      <c r="K28" s="810" t="e">
        <f t="array" ref="K28">INDEX(Data,MATCH($C28,Line_Items,0),MATCH(LEFT(K$24,4),Fiscal_Periods,0))</f>
        <v>#N/A</v>
      </c>
      <c r="L28" s="809" t="str">
        <f t="shared" ref="L28:N28" si="17">IFERROR($H28/I28-1,"N/A")</f>
        <v>N/A</v>
      </c>
      <c r="M28" s="527" t="str">
        <f t="shared" si="17"/>
        <v>N/A</v>
      </c>
      <c r="N28" s="527" t="str">
        <f t="shared" si="17"/>
        <v>N/A</v>
      </c>
      <c r="O28" s="9"/>
      <c r="P28" s="9"/>
      <c r="Q28" s="2"/>
      <c r="R28" s="2"/>
      <c r="S28" s="2"/>
      <c r="T28" s="2"/>
      <c r="U28" s="2"/>
      <c r="V28" s="2"/>
      <c r="W28" s="2"/>
      <c r="X28" s="2"/>
      <c r="Y28" s="2"/>
      <c r="Z28" s="2"/>
    </row>
    <row r="29" spans="1:26" ht="14.25" customHeight="1" x14ac:dyDescent="0.25">
      <c r="A29" s="9"/>
      <c r="B29" s="9"/>
      <c r="C29" s="9" t="e">
        <f>'Segment Analysis'!#REF!</f>
        <v>#REF!</v>
      </c>
      <c r="D29" s="9"/>
      <c r="E29" s="9"/>
      <c r="F29" s="9"/>
      <c r="G29" s="9"/>
      <c r="H29" s="810" t="e">
        <f t="array" ref="H29">INDEX(Data,MATCH($C29,Line_Items,0),MATCH($H$6,Fiscal_Periods,0))</f>
        <v>#REF!</v>
      </c>
      <c r="I29" s="811">
        <v>-200</v>
      </c>
      <c r="J29" s="810" t="e">
        <f t="array" ref="J29">INDEX(Data,MATCH($C29,Line_Items,0),MATCH(LEFT(J$24,4),Fiscal_Periods,0))</f>
        <v>#REF!</v>
      </c>
      <c r="K29" s="810" t="e">
        <f t="array" ref="K29">INDEX(Data,MATCH($C29,Line_Items,0),MATCH(LEFT(K$24,4),Fiscal_Periods,0))</f>
        <v>#REF!</v>
      </c>
      <c r="L29" s="809" t="str">
        <f t="shared" ref="L29:N29" si="18">IFERROR($H29/I29-1,"N/A")</f>
        <v>N/A</v>
      </c>
      <c r="M29" s="527" t="str">
        <f t="shared" si="18"/>
        <v>N/A</v>
      </c>
      <c r="N29" s="527" t="str">
        <f t="shared" si="18"/>
        <v>N/A</v>
      </c>
      <c r="O29" s="9"/>
      <c r="P29" s="9"/>
      <c r="Q29" s="2"/>
      <c r="R29" s="2"/>
      <c r="S29" s="2"/>
      <c r="T29" s="2"/>
      <c r="U29" s="2"/>
      <c r="V29" s="2"/>
      <c r="W29" s="2"/>
      <c r="X29" s="2"/>
      <c r="Y29" s="2"/>
      <c r="Z29" s="2"/>
    </row>
    <row r="30" spans="1:26" ht="14.25" customHeight="1" x14ac:dyDescent="0.25">
      <c r="A30" s="9"/>
      <c r="B30" s="9"/>
      <c r="C30" s="522" t="e">
        <f>'Segment Analysis'!#REF!</f>
        <v>#REF!</v>
      </c>
      <c r="D30" s="522"/>
      <c r="E30" s="522"/>
      <c r="F30" s="522"/>
      <c r="G30" s="522"/>
      <c r="H30" s="819" t="e">
        <f t="array" ref="H30">INDEX(Data,MATCH($C30,Line_Items,0),MATCH($H$6,Fiscal_Periods,0))</f>
        <v>#REF!</v>
      </c>
      <c r="I30" s="820">
        <v>5000</v>
      </c>
      <c r="J30" s="819" t="e">
        <f t="array" ref="J30">INDEX(Data,MATCH($C30,Line_Items,0),MATCH(LEFT(J$24,4),Fiscal_Periods,0))</f>
        <v>#REF!</v>
      </c>
      <c r="K30" s="819" t="e">
        <f t="array" ref="K30">INDEX(Data,MATCH($C30,Line_Items,0),MATCH(LEFT(K$24,4),Fiscal_Periods,0))</f>
        <v>#REF!</v>
      </c>
      <c r="L30" s="821" t="str">
        <f t="shared" ref="L30:N30" si="19">IFERROR($H30/I30-1,"N/A")</f>
        <v>N/A</v>
      </c>
      <c r="M30" s="523" t="str">
        <f t="shared" si="19"/>
        <v>N/A</v>
      </c>
      <c r="N30" s="523" t="str">
        <f t="shared" si="19"/>
        <v>N/A</v>
      </c>
      <c r="O30" s="9"/>
      <c r="P30" s="9"/>
      <c r="Q30" s="2"/>
      <c r="R30" s="2"/>
      <c r="S30" s="2"/>
      <c r="T30" s="2"/>
      <c r="U30" s="2"/>
      <c r="V30" s="2"/>
      <c r="W30" s="2"/>
      <c r="X30" s="2"/>
      <c r="Y30" s="2"/>
      <c r="Z30" s="2"/>
    </row>
    <row r="31" spans="1:26" ht="14.25" hidden="1" customHeight="1" outlineLevel="1" x14ac:dyDescent="0.25">
      <c r="A31" s="9"/>
      <c r="B31" s="9"/>
      <c r="C31" s="522" t="e">
        <f>'Segment Analysis'!#REF!</f>
        <v>#REF!</v>
      </c>
      <c r="D31" s="522"/>
      <c r="E31" s="522"/>
      <c r="F31" s="522"/>
      <c r="G31" s="522"/>
      <c r="H31" s="822" t="e">
        <f t="array" ref="H31">INDEX(Data,MATCH($C31,Line_Items,0),MATCH($H$6,Fiscal_Periods,0))</f>
        <v>#REF!</v>
      </c>
      <c r="I31" s="823" t="e">
        <f t="array" ref="I31">INDEX(Data,MATCH($C31,Line_Items,0),MATCH($H$6,Fiscal_Periods,0))</f>
        <v>#REF!</v>
      </c>
      <c r="J31" s="822" t="e">
        <f t="array" ref="J31">INDEX(Data,MATCH($C31,Line_Items,0),MATCH(LEFT(J$24,4),Fiscal_Periods,0))</f>
        <v>#REF!</v>
      </c>
      <c r="K31" s="822" t="e">
        <f t="array" ref="K31">INDEX(Data,MATCH($C31,Line_Items,0),MATCH(LEFT(K$24,4),Fiscal_Periods,0))</f>
        <v>#REF!</v>
      </c>
      <c r="L31" s="821" t="str">
        <f t="shared" ref="L31:N31" si="20">IFERROR($H31/I31-1,"N/A")</f>
        <v>N/A</v>
      </c>
      <c r="M31" s="523" t="str">
        <f t="shared" si="20"/>
        <v>N/A</v>
      </c>
      <c r="N31" s="523" t="str">
        <f t="shared" si="20"/>
        <v>N/A</v>
      </c>
      <c r="O31" s="9"/>
      <c r="P31" s="9"/>
      <c r="Q31" s="2"/>
      <c r="R31" s="2"/>
      <c r="S31" s="2"/>
      <c r="T31" s="2"/>
      <c r="U31" s="2"/>
      <c r="V31" s="2"/>
      <c r="W31" s="2"/>
      <c r="X31" s="2"/>
      <c r="Y31" s="2"/>
      <c r="Z31" s="2"/>
    </row>
    <row r="32" spans="1:26" ht="14.25" customHeight="1" collapsed="1" x14ac:dyDescent="0.25">
      <c r="A32" s="9"/>
      <c r="B32" s="9"/>
      <c r="C32" s="9" t="e">
        <f>'Segment Analysis'!#REF!</f>
        <v>#REF!</v>
      </c>
      <c r="D32" s="9"/>
      <c r="E32" s="9"/>
      <c r="F32" s="9"/>
      <c r="G32" s="9"/>
      <c r="H32" s="807" t="e">
        <f t="array" ref="H32">INDEX(Data,MATCH($C32,Line_Items,0),MATCH($H$6,Fiscal_Periods,0))</f>
        <v>#REF!</v>
      </c>
      <c r="I32" s="808">
        <v>820</v>
      </c>
      <c r="J32" s="807" t="e">
        <f t="array" ref="J32">INDEX(Data,MATCH($C32,Line_Items,0),MATCH(LEFT(J$24,4),Fiscal_Periods,0))</f>
        <v>#REF!</v>
      </c>
      <c r="K32" s="807" t="e">
        <f t="array" ref="K32">INDEX(Data,MATCH($C32,Line_Items,0),MATCH(LEFT(K$24,4),Fiscal_Periods,0))</f>
        <v>#REF!</v>
      </c>
      <c r="L32" s="809" t="str">
        <f t="shared" ref="L32:N32" si="21">IFERROR($H32/I32-1,"N/A")</f>
        <v>N/A</v>
      </c>
      <c r="M32" s="527" t="str">
        <f t="shared" si="21"/>
        <v>N/A</v>
      </c>
      <c r="N32" s="527" t="str">
        <f t="shared" si="21"/>
        <v>N/A</v>
      </c>
      <c r="O32" s="9"/>
      <c r="P32" s="9"/>
      <c r="Q32" s="2"/>
      <c r="R32" s="2"/>
      <c r="S32" s="2"/>
      <c r="T32" s="2"/>
      <c r="U32" s="2"/>
      <c r="V32" s="2"/>
      <c r="W32" s="2"/>
      <c r="X32" s="2"/>
      <c r="Y32" s="2"/>
      <c r="Z32" s="2"/>
    </row>
    <row r="33" spans="1:26" ht="14.25" customHeight="1" x14ac:dyDescent="0.25">
      <c r="A33" s="9"/>
      <c r="B33" s="9"/>
      <c r="C33" s="9" t="e">
        <f>'Segment Analysis'!#REF!</f>
        <v>#REF!</v>
      </c>
      <c r="D33" s="9"/>
      <c r="E33" s="9"/>
      <c r="F33" s="9"/>
      <c r="G33" s="9"/>
      <c r="H33" s="810" t="e">
        <f t="array" ref="H33">INDEX(Data,MATCH($C33,Line_Items,0),MATCH($H$6,Fiscal_Periods,0))</f>
        <v>#REF!</v>
      </c>
      <c r="I33" s="811">
        <v>1400</v>
      </c>
      <c r="J33" s="810" t="e">
        <f t="array" ref="J33">INDEX(Data,MATCH($C33,Line_Items,0),MATCH(LEFT(J$24,4),Fiscal_Periods,0))</f>
        <v>#REF!</v>
      </c>
      <c r="K33" s="810" t="e">
        <f t="array" ref="K33">INDEX(Data,MATCH($C33,Line_Items,0),MATCH(LEFT(K$24,4),Fiscal_Periods,0))</f>
        <v>#REF!</v>
      </c>
      <c r="L33" s="809" t="str">
        <f t="shared" ref="L33:N33" si="22">IFERROR($H33/I33-1,"N/A")</f>
        <v>N/A</v>
      </c>
      <c r="M33" s="527" t="str">
        <f t="shared" si="22"/>
        <v>N/A</v>
      </c>
      <c r="N33" s="527" t="str">
        <f t="shared" si="22"/>
        <v>N/A</v>
      </c>
      <c r="O33" s="9"/>
      <c r="P33" s="9"/>
      <c r="Q33" s="2"/>
      <c r="R33" s="2"/>
      <c r="S33" s="2"/>
      <c r="T33" s="2"/>
      <c r="U33" s="2"/>
      <c r="V33" s="2"/>
      <c r="W33" s="2"/>
      <c r="X33" s="2"/>
      <c r="Y33" s="2"/>
      <c r="Z33" s="2"/>
    </row>
    <row r="34" spans="1:26" ht="14.25" customHeight="1" x14ac:dyDescent="0.25">
      <c r="A34" s="9"/>
      <c r="B34" s="9"/>
      <c r="C34" s="9" t="e">
        <f>'Segment Analysis'!#REF!</f>
        <v>#REF!</v>
      </c>
      <c r="D34" s="9"/>
      <c r="E34" s="9"/>
      <c r="F34" s="9"/>
      <c r="G34" s="9"/>
      <c r="H34" s="810" t="e">
        <f t="array" ref="H34">INDEX(Data,MATCH($C34,Line_Items,0),MATCH($H$6,Fiscal_Periods,0))</f>
        <v>#REF!</v>
      </c>
      <c r="I34" s="811">
        <v>10</v>
      </c>
      <c r="J34" s="810" t="e">
        <f t="array" ref="J34">INDEX(Data,MATCH($C34,Line_Items,0),MATCH(LEFT(J$24,4),Fiscal_Periods,0))</f>
        <v>#REF!</v>
      </c>
      <c r="K34" s="810" t="e">
        <f t="array" ref="K34">INDEX(Data,MATCH($C34,Line_Items,0),MATCH(LEFT(K$24,4),Fiscal_Periods,0))</f>
        <v>#REF!</v>
      </c>
      <c r="L34" s="809" t="str">
        <f t="shared" ref="L34:N34" si="23">IFERROR($H34/I34-1,"N/A")</f>
        <v>N/A</v>
      </c>
      <c r="M34" s="527" t="str">
        <f t="shared" si="23"/>
        <v>N/A</v>
      </c>
      <c r="N34" s="527" t="str">
        <f t="shared" si="23"/>
        <v>N/A</v>
      </c>
      <c r="O34" s="9"/>
      <c r="P34" s="9"/>
      <c r="Q34" s="2"/>
      <c r="R34" s="2"/>
      <c r="S34" s="2"/>
      <c r="T34" s="2"/>
      <c r="U34" s="2"/>
      <c r="V34" s="2"/>
      <c r="W34" s="2"/>
      <c r="X34" s="2"/>
      <c r="Y34" s="2"/>
      <c r="Z34" s="2"/>
    </row>
    <row r="35" spans="1:26" ht="14.25" customHeight="1" x14ac:dyDescent="0.25">
      <c r="A35" s="9"/>
      <c r="B35" s="9"/>
      <c r="C35" s="9" t="e">
        <f>'Segment Analysis'!#REF!</f>
        <v>#REF!</v>
      </c>
      <c r="D35" s="9"/>
      <c r="E35" s="9"/>
      <c r="F35" s="9"/>
      <c r="G35" s="9"/>
      <c r="H35" s="810" t="e">
        <f t="array" ref="H35">INDEX(Data,MATCH($C35,Line_Items,0),MATCH($H$6,Fiscal_Periods,0))</f>
        <v>#REF!</v>
      </c>
      <c r="I35" s="811">
        <v>-23</v>
      </c>
      <c r="J35" s="810" t="e">
        <f t="array" ref="J35">INDEX(Data,MATCH($C35,Line_Items,0),MATCH(LEFT(J$24,4),Fiscal_Periods,0))</f>
        <v>#REF!</v>
      </c>
      <c r="K35" s="810" t="e">
        <f t="array" ref="K35">INDEX(Data,MATCH($C35,Line_Items,0),MATCH(LEFT(K$24,4),Fiscal_Periods,0))</f>
        <v>#REF!</v>
      </c>
      <c r="L35" s="809" t="str">
        <f t="shared" ref="L35:N35" si="24">IFERROR($H35/I35-1,"N/A")</f>
        <v>N/A</v>
      </c>
      <c r="M35" s="527" t="str">
        <f t="shared" si="24"/>
        <v>N/A</v>
      </c>
      <c r="N35" s="527" t="str">
        <f t="shared" si="24"/>
        <v>N/A</v>
      </c>
      <c r="O35" s="9"/>
      <c r="P35" s="9"/>
      <c r="Q35" s="2"/>
      <c r="R35" s="2"/>
      <c r="S35" s="2"/>
      <c r="T35" s="2"/>
      <c r="U35" s="2"/>
      <c r="V35" s="2"/>
      <c r="W35" s="2"/>
      <c r="X35" s="2"/>
      <c r="Y35" s="2"/>
      <c r="Z35" s="2"/>
    </row>
    <row r="36" spans="1:26" ht="14.25" customHeight="1" x14ac:dyDescent="0.25">
      <c r="A36" s="9"/>
      <c r="B36" s="9"/>
      <c r="C36" s="9" t="e">
        <f>'Segment Analysis'!#REF!</f>
        <v>#REF!</v>
      </c>
      <c r="D36" s="9"/>
      <c r="E36" s="9"/>
      <c r="F36" s="9"/>
      <c r="G36" s="9"/>
      <c r="H36" s="810" t="e">
        <f t="array" ref="H36">INDEX(Data,MATCH($C36,Line_Items,0),MATCH($H$6,Fiscal_Periods,0))</f>
        <v>#REF!</v>
      </c>
      <c r="I36" s="811">
        <v>650</v>
      </c>
      <c r="J36" s="810" t="e">
        <f t="array" ref="J36">INDEX(Data,MATCH($C36,Line_Items,0),MATCH(LEFT(J$24,4),Fiscal_Periods,0))</f>
        <v>#REF!</v>
      </c>
      <c r="K36" s="810" t="e">
        <f t="array" ref="K36">INDEX(Data,MATCH($C36,Line_Items,0),MATCH(LEFT(K$24,4),Fiscal_Periods,0))</f>
        <v>#REF!</v>
      </c>
      <c r="L36" s="809" t="str">
        <f t="shared" ref="L36:N36" si="25">IFERROR($H36/I36-1,"N/A")</f>
        <v>N/A</v>
      </c>
      <c r="M36" s="527" t="str">
        <f t="shared" si="25"/>
        <v>N/A</v>
      </c>
      <c r="N36" s="527" t="str">
        <f t="shared" si="25"/>
        <v>N/A</v>
      </c>
      <c r="O36" s="9"/>
      <c r="P36" s="9"/>
      <c r="Q36" s="2"/>
      <c r="R36" s="2"/>
      <c r="S36" s="2"/>
      <c r="T36" s="2"/>
      <c r="U36" s="2"/>
      <c r="V36" s="2"/>
      <c r="W36" s="2"/>
      <c r="X36" s="2"/>
      <c r="Y36" s="2"/>
      <c r="Z36" s="2"/>
    </row>
    <row r="37" spans="1:26" ht="14.25" customHeight="1" x14ac:dyDescent="0.25">
      <c r="A37" s="9"/>
      <c r="B37" s="9"/>
      <c r="C37" s="9" t="e">
        <f>'Segment Analysis'!#REF!</f>
        <v>#REF!</v>
      </c>
      <c r="D37" s="9"/>
      <c r="E37" s="9"/>
      <c r="F37" s="9"/>
      <c r="G37" s="9"/>
      <c r="H37" s="810" t="e">
        <f t="array" ref="H37">INDEX(Data,MATCH($C37,Line_Items,0),MATCH($H$6,Fiscal_Periods,0))</f>
        <v>#REF!</v>
      </c>
      <c r="I37" s="811">
        <v>300</v>
      </c>
      <c r="J37" s="810" t="e">
        <f t="array" ref="J37">INDEX(Data,MATCH($C37,Line_Items,0),MATCH(LEFT(J$24,4),Fiscal_Periods,0))</f>
        <v>#REF!</v>
      </c>
      <c r="K37" s="810" t="e">
        <f t="array" ref="K37">INDEX(Data,MATCH($C37,Line_Items,0),MATCH(LEFT(K$24,4),Fiscal_Periods,0))</f>
        <v>#REF!</v>
      </c>
      <c r="L37" s="809" t="str">
        <f t="shared" ref="L37:N37" si="26">IFERROR($H37/I37-1,"N/A")</f>
        <v>N/A</v>
      </c>
      <c r="M37" s="527" t="str">
        <f t="shared" si="26"/>
        <v>N/A</v>
      </c>
      <c r="N37" s="527" t="str">
        <f t="shared" si="26"/>
        <v>N/A</v>
      </c>
      <c r="O37" s="9"/>
      <c r="P37" s="9"/>
      <c r="Q37" s="2"/>
      <c r="R37" s="2"/>
      <c r="S37" s="2"/>
      <c r="T37" s="2"/>
      <c r="U37" s="2"/>
      <c r="V37" s="2"/>
      <c r="W37" s="2"/>
      <c r="X37" s="2"/>
      <c r="Y37" s="2"/>
      <c r="Z37" s="2"/>
    </row>
    <row r="38" spans="1:26" ht="14.25" customHeight="1" x14ac:dyDescent="0.25">
      <c r="A38" s="9"/>
      <c r="B38" s="9"/>
      <c r="C38" s="9"/>
      <c r="D38" s="9"/>
      <c r="E38" s="9"/>
      <c r="F38" s="9"/>
      <c r="G38" s="9"/>
      <c r="H38" s="64"/>
      <c r="I38" s="64"/>
      <c r="J38" s="64"/>
      <c r="K38" s="64"/>
      <c r="L38" s="64"/>
      <c r="M38" s="64"/>
      <c r="N38" s="64"/>
      <c r="O38" s="9"/>
      <c r="P38" s="9"/>
      <c r="Q38" s="2"/>
      <c r="R38" s="2"/>
      <c r="S38" s="2"/>
      <c r="T38" s="2"/>
      <c r="U38" s="2"/>
      <c r="V38" s="2"/>
      <c r="W38" s="2"/>
      <c r="X38" s="2"/>
      <c r="Y38" s="2"/>
      <c r="Z38" s="2"/>
    </row>
    <row r="39" spans="1:26" ht="14.25" customHeight="1" x14ac:dyDescent="0.25">
      <c r="A39" s="9"/>
      <c r="B39" s="9"/>
      <c r="C39" s="9"/>
      <c r="D39" s="9"/>
      <c r="E39" s="9"/>
      <c r="F39" s="9"/>
      <c r="G39" s="9"/>
      <c r="H39" s="64"/>
      <c r="I39" s="64"/>
      <c r="J39" s="64"/>
      <c r="K39" s="64"/>
      <c r="L39" s="64"/>
      <c r="M39" s="64"/>
      <c r="N39" s="64"/>
      <c r="O39" s="9"/>
      <c r="P39" s="9"/>
      <c r="Q39" s="2"/>
      <c r="R39" s="2"/>
      <c r="S39" s="2"/>
      <c r="T39" s="2"/>
      <c r="U39" s="2"/>
      <c r="V39" s="2"/>
      <c r="W39" s="2"/>
      <c r="X39" s="2"/>
      <c r="Y39" s="2"/>
      <c r="Z39" s="2"/>
    </row>
    <row r="40" spans="1:26" ht="14.25" customHeight="1" x14ac:dyDescent="0.25">
      <c r="A40" s="9"/>
      <c r="B40" s="205" t="s">
        <v>0</v>
      </c>
      <c r="C40" s="76" t="str">
        <f>Ticker&amp;" "&amp;H4&amp;RIGHT(H5,2)&amp;" Cash Flow Expectations"</f>
        <v>AXP 4Q26 Cash Flow Expectations</v>
      </c>
      <c r="D40" s="76"/>
      <c r="E40" s="76"/>
      <c r="F40" s="76"/>
      <c r="G40" s="76"/>
      <c r="H40" s="78" t="str">
        <f t="shared" ref="H40:N40" si="27">H10</f>
        <v>OFe</v>
      </c>
      <c r="I40" s="78" t="str">
        <f t="shared" si="27"/>
        <v>Consensus</v>
      </c>
      <c r="J40" s="78" t="str">
        <f t="shared" si="27"/>
        <v>4Q25a</v>
      </c>
      <c r="K40" s="78" t="str">
        <f t="shared" si="27"/>
        <v>1Q26a</v>
      </c>
      <c r="L40" s="806" t="str">
        <f t="shared" si="27"/>
        <v>v. Consensus</v>
      </c>
      <c r="M40" s="78" t="str">
        <f t="shared" si="27"/>
        <v>v. 4Q25a</v>
      </c>
      <c r="N40" s="78" t="str">
        <f t="shared" si="27"/>
        <v>v. 1Q26a</v>
      </c>
      <c r="O40" s="9"/>
      <c r="P40" s="9"/>
      <c r="Q40" s="2"/>
      <c r="R40" s="2"/>
      <c r="S40" s="2"/>
      <c r="T40" s="2"/>
      <c r="U40" s="2"/>
      <c r="V40" s="2"/>
      <c r="W40" s="2"/>
      <c r="X40" s="2"/>
      <c r="Y40" s="2"/>
      <c r="Z40" s="2"/>
    </row>
    <row r="41" spans="1:26" ht="4.5" customHeight="1" x14ac:dyDescent="0.25">
      <c r="A41" s="9"/>
      <c r="B41" s="9"/>
      <c r="C41" s="9"/>
      <c r="D41" s="9"/>
      <c r="E41" s="9"/>
      <c r="F41" s="9"/>
      <c r="G41" s="9"/>
      <c r="H41" s="64"/>
      <c r="I41" s="64"/>
      <c r="J41" s="64"/>
      <c r="K41" s="64"/>
      <c r="L41" s="64"/>
      <c r="M41" s="64"/>
      <c r="N41" s="64"/>
      <c r="O41" s="9"/>
      <c r="P41" s="9"/>
      <c r="Q41" s="2"/>
      <c r="R41" s="2"/>
      <c r="S41" s="2"/>
      <c r="T41" s="2"/>
      <c r="U41" s="2"/>
      <c r="V41" s="2"/>
      <c r="W41" s="2"/>
      <c r="X41" s="2"/>
      <c r="Y41" s="2"/>
      <c r="Z41" s="2"/>
    </row>
    <row r="42" spans="1:26" ht="14.25" customHeight="1" x14ac:dyDescent="0.25">
      <c r="A42" s="9"/>
      <c r="B42" s="9"/>
      <c r="C42" s="9" t="str">
        <f>Model!C80</f>
        <v>Net Cash From Operating Activities</v>
      </c>
      <c r="D42" s="9"/>
      <c r="E42" s="9"/>
      <c r="F42" s="9"/>
      <c r="G42" s="9"/>
      <c r="H42" s="807">
        <f t="array" ref="H42">INDEX(Data,MATCH($C42,Line_Items,0),MATCH($H$6,Fiscal_Periods,0))</f>
        <v>6827.9139401537996</v>
      </c>
      <c r="I42" s="808">
        <v>50</v>
      </c>
      <c r="J42" s="807">
        <f t="array" ref="J42">INDEX(Data,MATCH($C42,Line_Items,0),MATCH(LEFT(J$40,4),Fiscal_Periods,0))</f>
        <v>0</v>
      </c>
      <c r="K42" s="807">
        <f t="array" ref="K42">INDEX(Data,MATCH($C42,Line_Items,0),MATCH(LEFT(K$40,4),Fiscal_Periods,0))</f>
        <v>0</v>
      </c>
      <c r="L42" s="809">
        <f t="shared" ref="L42:N42" si="28">IFERROR($H42/I42-1,"N/A")</f>
        <v>135.55827880307598</v>
      </c>
      <c r="M42" s="527" t="str">
        <f t="shared" si="28"/>
        <v>N/A</v>
      </c>
      <c r="N42" s="527" t="str">
        <f t="shared" si="28"/>
        <v>N/A</v>
      </c>
      <c r="O42" s="9"/>
      <c r="P42" s="9"/>
      <c r="Q42" s="2"/>
      <c r="R42" s="2"/>
      <c r="S42" s="2"/>
      <c r="T42" s="2"/>
      <c r="U42" s="2"/>
      <c r="V42" s="2"/>
      <c r="W42" s="2"/>
      <c r="X42" s="2"/>
      <c r="Y42" s="2"/>
      <c r="Z42" s="2"/>
    </row>
    <row r="43" spans="1:26" ht="14.25" customHeight="1" x14ac:dyDescent="0.25">
      <c r="A43" s="9"/>
      <c r="B43" s="9"/>
      <c r="C43" s="9" t="str">
        <f>Model!C82</f>
        <v>Capital Expenditures</v>
      </c>
      <c r="D43" s="9"/>
      <c r="E43" s="9"/>
      <c r="F43" s="9"/>
      <c r="G43" s="9"/>
      <c r="H43" s="810">
        <f t="array" ref="H43">INDEX(Data,MATCH($C43,Line_Items,0),MATCH($H$6,Fiscal_Periods,0))</f>
        <v>-578.11000948000003</v>
      </c>
      <c r="I43" s="811">
        <v>-668</v>
      </c>
      <c r="J43" s="810">
        <f t="array" ref="J43">INDEX(Data,MATCH($C43,Line_Items,0),MATCH(LEFT(J$40,4),Fiscal_Periods,0))</f>
        <v>0</v>
      </c>
      <c r="K43" s="810">
        <f t="array" ref="K43">INDEX(Data,MATCH($C43,Line_Items,0),MATCH(LEFT(K$40,4),Fiscal_Periods,0))</f>
        <v>0</v>
      </c>
      <c r="L43" s="809">
        <f t="shared" ref="L43:N43" si="29">IFERROR($H43/I43-1,"N/A")</f>
        <v>-0.13456585407185628</v>
      </c>
      <c r="M43" s="527" t="str">
        <f t="shared" si="29"/>
        <v>N/A</v>
      </c>
      <c r="N43" s="527" t="str">
        <f t="shared" si="29"/>
        <v>N/A</v>
      </c>
      <c r="O43" s="9"/>
      <c r="P43" s="9"/>
      <c r="Q43" s="2"/>
      <c r="R43" s="2"/>
      <c r="S43" s="2"/>
      <c r="T43" s="2"/>
      <c r="U43" s="2"/>
      <c r="V43" s="2"/>
      <c r="W43" s="2"/>
      <c r="X43" s="2"/>
      <c r="Y43" s="2"/>
      <c r="Z43" s="2"/>
    </row>
    <row r="44" spans="1:26" ht="14.25" customHeight="1" x14ac:dyDescent="0.25">
      <c r="A44" s="9"/>
      <c r="B44" s="9"/>
      <c r="C44" s="9" t="str">
        <f>Model!C112</f>
        <v>Free Cash Flow (FCF)</v>
      </c>
      <c r="D44" s="9"/>
      <c r="E44" s="9"/>
      <c r="F44" s="9"/>
      <c r="G44" s="9"/>
      <c r="H44" s="810">
        <f t="array" ref="H44">INDEX(Data,MATCH($C44,Line_Items,0),MATCH($H$6,Fiscal_Periods,0))</f>
        <v>1496.914608424277</v>
      </c>
      <c r="I44" s="811">
        <v>1412.6</v>
      </c>
      <c r="J44" s="810">
        <f t="array" ref="J44">INDEX(Data,MATCH($C44,Line_Items,0),MATCH(LEFT(J$40,4),Fiscal_Periods,0))</f>
        <v>1148.25</v>
      </c>
      <c r="K44" s="810">
        <f t="array" ref="K44">INDEX(Data,MATCH($C44,Line_Items,0),MATCH(LEFT(K$40,4),Fiscal_Periods,0))</f>
        <v>64076</v>
      </c>
      <c r="L44" s="809">
        <f t="shared" ref="L44:N44" si="30">IFERROR($H44/I44-1,"N/A")</f>
        <v>5.9687532510460883E-2</v>
      </c>
      <c r="M44" s="527">
        <f t="shared" si="30"/>
        <v>0.30364869011476348</v>
      </c>
      <c r="N44" s="527">
        <f t="shared" si="30"/>
        <v>-0.97663845108270997</v>
      </c>
      <c r="O44" s="9"/>
      <c r="P44" s="9"/>
      <c r="Q44" s="2"/>
      <c r="R44" s="2"/>
      <c r="S44" s="2"/>
      <c r="T44" s="2"/>
      <c r="U44" s="2"/>
      <c r="V44" s="2"/>
      <c r="W44" s="2"/>
      <c r="X44" s="2"/>
      <c r="Y44" s="2"/>
      <c r="Z44" s="2"/>
    </row>
    <row r="45" spans="1:26"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H13 J13:K13 H15 J15:K15 H17 J17:K17 H19 J19:K19">
    <cfRule type="expression" dxfId="26" priority="1">
      <formula>$H$8="Report"</formula>
    </cfRule>
  </conditionalFormatting>
  <conditionalFormatting sqref="H12:K21">
    <cfRule type="expression" dxfId="25" priority="2">
      <formula>$H$8="Report"</formula>
    </cfRule>
  </conditionalFormatting>
  <conditionalFormatting sqref="H26:K37">
    <cfRule type="expression" dxfId="24" priority="3">
      <formula>$H$8="Report"</formula>
    </cfRule>
  </conditionalFormatting>
  <conditionalFormatting sqref="H42:K44">
    <cfRule type="expression" dxfId="23" priority="4">
      <formula>$H$8="Report"</formula>
    </cfRule>
  </conditionalFormatting>
  <conditionalFormatting sqref="J43:K44">
    <cfRule type="expression" dxfId="22" priority="5">
      <formula>$H$8="Report"</formula>
    </cfRule>
  </conditionalFormatting>
  <conditionalFormatting sqref="L12:N21">
    <cfRule type="cellIs" dxfId="21" priority="6" operator="lessThan">
      <formula>0</formula>
    </cfRule>
    <cfRule type="cellIs" dxfId="20" priority="7" operator="greaterThan">
      <formula>0</formula>
    </cfRule>
  </conditionalFormatting>
  <conditionalFormatting sqref="L26:N37">
    <cfRule type="cellIs" dxfId="19" priority="8" operator="lessThan">
      <formula>0</formula>
    </cfRule>
    <cfRule type="cellIs" dxfId="18" priority="9" operator="greaterThan">
      <formula>0</formula>
    </cfRule>
  </conditionalFormatting>
  <conditionalFormatting sqref="L42:N44">
    <cfRule type="cellIs" dxfId="17" priority="10" operator="lessThan">
      <formula>0</formula>
    </cfRule>
    <cfRule type="cellIs" dxfId="16" priority="11" operator="greaterThan">
      <formula>0</formula>
    </cfRule>
  </conditionalFormatting>
  <dataValidations disablePrompts="1" count="2">
    <dataValidation type="list" allowBlank="1" showErrorMessage="1" sqref="H8" xr:uid="{00000000-0002-0000-1100-000000000000}">
      <formula1>"Working,Report"</formula1>
    </dataValidation>
    <dataValidation type="list" allowBlank="1" showErrorMessage="1" sqref="H4" xr:uid="{00000000-0002-0000-1100-000001000000}">
      <formula1>"1Q,2Q,3Q,4Q"</formula1>
    </dataValidation>
  </dataValidation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80" zoomScaleNormal="80" workbookViewId="0">
      <pane ySplit="2" topLeftCell="A3" activePane="bottomLeft" state="frozen"/>
      <selection pane="bottomLeft"/>
    </sheetView>
  </sheetViews>
  <sheetFormatPr defaultColWidth="14.42578125" defaultRowHeight="15" customHeight="1" outlineLevelRow="1" x14ac:dyDescent="0.25"/>
  <cols>
    <col min="1" max="1" width="1.7109375" customWidth="1"/>
    <col min="2" max="2" width="1.5703125" customWidth="1"/>
    <col min="3" max="17" width="12.7109375" customWidth="1"/>
    <col min="18" max="18" width="11.7109375" customWidth="1"/>
    <col min="19" max="26" width="10.7109375" customWidth="1"/>
  </cols>
  <sheetData>
    <row r="1" spans="1:26" ht="19.5" customHeight="1" x14ac:dyDescent="0.35">
      <c r="A1" s="4"/>
      <c r="B1" s="4"/>
      <c r="C1" s="5" t="str">
        <f ca="1">Company_Name&amp;" - "&amp;MID(CELL("filename",A1),FIND("]",CELL("filename",A1))+1,255)&amp;": "&amp;Case_Scenario&amp;" Case"</f>
        <v>American Express Company - Post-Earnings: Base Case</v>
      </c>
      <c r="D1" s="4"/>
      <c r="E1" s="4"/>
      <c r="F1" s="4"/>
      <c r="G1" s="4"/>
      <c r="H1" s="4"/>
      <c r="I1" s="4"/>
      <c r="J1" s="4"/>
      <c r="K1" s="4"/>
      <c r="L1" s="4"/>
      <c r="M1" s="4"/>
      <c r="N1" s="4"/>
      <c r="O1" s="4"/>
      <c r="P1" s="4"/>
      <c r="Q1" s="4"/>
      <c r="R1" s="4"/>
      <c r="S1" s="4"/>
      <c r="T1" s="4"/>
      <c r="U1" s="4"/>
      <c r="V1" s="4"/>
      <c r="W1" s="4"/>
      <c r="X1" s="4"/>
      <c r="Y1" s="4"/>
      <c r="Z1" s="4"/>
    </row>
    <row r="2" spans="1:26" ht="15" customHeight="1" x14ac:dyDescent="0.25">
      <c r="A2" s="2"/>
      <c r="B2" s="2"/>
      <c r="C2" s="7" t="str">
        <f>Cover!C2</f>
        <v>$ in Millions Except Per Share Data</v>
      </c>
      <c r="D2" s="2"/>
      <c r="E2" s="2"/>
      <c r="F2" s="2"/>
      <c r="G2" s="2"/>
      <c r="H2" s="2"/>
      <c r="I2" s="2"/>
      <c r="J2" s="2"/>
      <c r="K2" s="2"/>
      <c r="L2" s="2"/>
      <c r="M2" s="2"/>
      <c r="N2" s="2"/>
      <c r="O2" s="2"/>
      <c r="P2" s="2"/>
      <c r="Q2" s="2"/>
      <c r="R2" s="2"/>
      <c r="S2" s="2"/>
      <c r="T2" s="2"/>
      <c r="U2" s="2"/>
      <c r="V2" s="2"/>
      <c r="W2" s="2"/>
      <c r="X2" s="2"/>
      <c r="Y2" s="2"/>
      <c r="Z2" s="2"/>
    </row>
    <row r="3" spans="1:26" ht="14.25" customHeight="1" x14ac:dyDescent="0.25">
      <c r="A3" s="9"/>
      <c r="B3" s="9"/>
      <c r="C3" s="9"/>
      <c r="D3" s="9"/>
      <c r="E3" s="9"/>
      <c r="F3" s="9"/>
      <c r="G3" s="9"/>
      <c r="H3" s="9"/>
      <c r="I3" s="9"/>
      <c r="J3" s="9"/>
      <c r="K3" s="9"/>
      <c r="L3" s="9"/>
      <c r="M3" s="9"/>
      <c r="N3" s="9"/>
      <c r="O3" s="9"/>
      <c r="P3" s="9"/>
      <c r="Q3" s="9"/>
      <c r="R3" s="9"/>
      <c r="S3" s="2"/>
      <c r="T3" s="2"/>
      <c r="U3" s="2"/>
      <c r="V3" s="2"/>
      <c r="W3" s="2"/>
      <c r="X3" s="2"/>
      <c r="Y3" s="2"/>
      <c r="Z3" s="2"/>
    </row>
    <row r="4" spans="1:26" ht="14.25" customHeight="1" x14ac:dyDescent="0.25">
      <c r="A4" s="9"/>
      <c r="B4" s="9"/>
      <c r="C4" s="9" t="s">
        <v>809</v>
      </c>
      <c r="D4" s="9"/>
      <c r="E4" s="9"/>
      <c r="F4" s="9"/>
      <c r="G4" s="9"/>
      <c r="H4" s="42" t="s">
        <v>810</v>
      </c>
      <c r="I4" s="9"/>
      <c r="J4" s="824" t="s">
        <v>760</v>
      </c>
      <c r="K4" s="9"/>
      <c r="L4" s="9"/>
      <c r="M4" s="9"/>
      <c r="N4" s="9"/>
      <c r="O4" s="9"/>
      <c r="P4" s="9"/>
      <c r="Q4" s="9"/>
      <c r="R4" s="9"/>
      <c r="S4" s="2"/>
      <c r="T4" s="2"/>
      <c r="U4" s="2"/>
      <c r="V4" s="2"/>
      <c r="W4" s="2"/>
      <c r="X4" s="2"/>
      <c r="Y4" s="2"/>
      <c r="Z4" s="2"/>
    </row>
    <row r="5" spans="1:26" ht="14.25" customHeight="1" x14ac:dyDescent="0.25">
      <c r="A5" s="9"/>
      <c r="B5" s="9"/>
      <c r="C5" s="9" t="s">
        <v>811</v>
      </c>
      <c r="D5" s="9"/>
      <c r="E5" s="9"/>
      <c r="F5" s="9"/>
      <c r="G5" s="9"/>
      <c r="H5" s="804">
        <f>YEAR(Next_FYE)</f>
        <v>2026</v>
      </c>
      <c r="I5" s="9"/>
      <c r="J5" s="9"/>
      <c r="K5" s="9"/>
      <c r="L5" s="9"/>
      <c r="M5" s="9"/>
      <c r="N5" s="9"/>
      <c r="O5" s="9"/>
      <c r="P5" s="9"/>
      <c r="Q5" s="9"/>
      <c r="R5" s="9"/>
      <c r="S5" s="2"/>
      <c r="T5" s="2"/>
      <c r="U5" s="2"/>
      <c r="V5" s="2"/>
      <c r="W5" s="2"/>
      <c r="X5" s="2"/>
      <c r="Y5" s="2"/>
      <c r="Z5" s="2"/>
    </row>
    <row r="6" spans="1:26" ht="14.25" customHeight="1" x14ac:dyDescent="0.25">
      <c r="A6" s="9"/>
      <c r="B6" s="9"/>
      <c r="C6" s="9" t="s">
        <v>812</v>
      </c>
      <c r="D6" s="9"/>
      <c r="E6" s="9"/>
      <c r="F6" s="9"/>
      <c r="G6" s="9"/>
      <c r="H6" s="805" t="str">
        <f>H4&amp;RIGHT(H5,2)&amp;"e"</f>
        <v>4Q26e</v>
      </c>
      <c r="I6" s="9"/>
      <c r="J6" s="9"/>
      <c r="K6" s="9"/>
      <c r="L6" s="9"/>
      <c r="M6" s="9"/>
      <c r="N6" s="9"/>
      <c r="O6" s="9"/>
      <c r="P6" s="9"/>
      <c r="Q6" s="9"/>
      <c r="R6" s="9"/>
      <c r="S6" s="2"/>
      <c r="T6" s="2"/>
      <c r="U6" s="2"/>
      <c r="V6" s="2"/>
      <c r="W6" s="2"/>
      <c r="X6" s="2"/>
      <c r="Y6" s="2"/>
      <c r="Z6" s="2"/>
    </row>
    <row r="7" spans="1:26" ht="14.25" customHeight="1" x14ac:dyDescent="0.25">
      <c r="A7" s="9"/>
      <c r="B7" s="9"/>
      <c r="C7" s="9" t="s">
        <v>813</v>
      </c>
      <c r="D7" s="9"/>
      <c r="E7" s="9"/>
      <c r="F7" s="9"/>
      <c r="G7" s="9"/>
      <c r="H7" s="804">
        <f>YEAR(Last_FYE)</f>
        <v>2025</v>
      </c>
      <c r="I7" s="9"/>
      <c r="J7" s="9"/>
      <c r="K7" s="9"/>
      <c r="L7" s="9"/>
      <c r="M7" s="9"/>
      <c r="N7" s="9"/>
      <c r="O7" s="9"/>
      <c r="P7" s="9"/>
      <c r="Q7" s="9"/>
      <c r="R7" s="9"/>
      <c r="S7" s="2"/>
      <c r="T7" s="2"/>
      <c r="U7" s="2"/>
      <c r="V7" s="2"/>
      <c r="W7" s="2"/>
      <c r="X7" s="2"/>
      <c r="Y7" s="2"/>
      <c r="Z7" s="2"/>
    </row>
    <row r="8" spans="1:26" ht="14.25" customHeight="1" x14ac:dyDescent="0.25">
      <c r="A8" s="9"/>
      <c r="B8" s="9"/>
      <c r="C8" s="9" t="s">
        <v>814</v>
      </c>
      <c r="D8" s="9"/>
      <c r="E8" s="9"/>
      <c r="F8" s="9"/>
      <c r="G8" s="9"/>
      <c r="H8" s="31" t="s">
        <v>3</v>
      </c>
      <c r="I8" s="9"/>
      <c r="J8" s="9"/>
      <c r="K8" s="9"/>
      <c r="L8" s="9"/>
      <c r="M8" s="9"/>
      <c r="N8" s="9"/>
      <c r="O8" s="9"/>
      <c r="P8" s="9"/>
      <c r="Q8" s="9"/>
      <c r="R8" s="9"/>
      <c r="S8" s="2"/>
      <c r="T8" s="2"/>
      <c r="U8" s="2"/>
      <c r="V8" s="2"/>
      <c r="W8" s="2"/>
      <c r="X8" s="2"/>
      <c r="Y8" s="2"/>
      <c r="Z8" s="2"/>
    </row>
    <row r="9" spans="1:26" ht="14.25" customHeight="1" x14ac:dyDescent="0.25">
      <c r="A9" s="9"/>
      <c r="B9" s="9"/>
      <c r="C9" s="9"/>
      <c r="D9" s="9"/>
      <c r="E9" s="9"/>
      <c r="F9" s="9"/>
      <c r="G9" s="9"/>
      <c r="H9" s="9"/>
      <c r="I9" s="9"/>
      <c r="J9" s="9"/>
      <c r="K9" s="9"/>
      <c r="L9" s="9"/>
      <c r="M9" s="9"/>
      <c r="N9" s="9"/>
      <c r="O9" s="9"/>
      <c r="P9" s="9"/>
      <c r="Q9" s="9"/>
      <c r="R9" s="9"/>
      <c r="S9" s="2"/>
      <c r="T9" s="2"/>
      <c r="U9" s="2"/>
      <c r="V9" s="2"/>
      <c r="W9" s="2"/>
      <c r="X9" s="2"/>
      <c r="Y9" s="2"/>
      <c r="Z9" s="2"/>
    </row>
    <row r="10" spans="1:26" ht="14.25" customHeight="1" x14ac:dyDescent="0.25">
      <c r="A10" s="9"/>
      <c r="B10" s="205" t="s">
        <v>0</v>
      </c>
      <c r="C10" s="76" t="str">
        <f>Ticker&amp;" "&amp;H4&amp;RIGHT(H5,2)&amp;" Operating Results"</f>
        <v>AXP 4Q26 Operating Results</v>
      </c>
      <c r="D10" s="76"/>
      <c r="E10" s="76"/>
      <c r="F10" s="76"/>
      <c r="G10" s="76"/>
      <c r="H10" s="78" t="str">
        <f>H4&amp;RIGHT(H5,2)&amp;"a"</f>
        <v>4Q26a</v>
      </c>
      <c r="I10" s="78" t="s">
        <v>815</v>
      </c>
      <c r="J10" s="78" t="s">
        <v>816</v>
      </c>
      <c r="K10" s="78" t="str">
        <f>H4&amp;RIGHT(H7,2)&amp;"a"</f>
        <v>4Q25a</v>
      </c>
      <c r="L10" s="78" t="str">
        <f>Last_FQR&amp;RIGHT(H5,2)&amp;"a"</f>
        <v>1Q26a</v>
      </c>
      <c r="M10" s="806" t="str">
        <f t="shared" ref="M10:P10" si="0">"v. "&amp;I10</f>
        <v>v. OFe</v>
      </c>
      <c r="N10" s="78" t="str">
        <f t="shared" si="0"/>
        <v>v. Consensus</v>
      </c>
      <c r="O10" s="78" t="str">
        <f t="shared" si="0"/>
        <v>v. 4Q25a</v>
      </c>
      <c r="P10" s="78" t="str">
        <f t="shared" si="0"/>
        <v>v. 1Q26a</v>
      </c>
      <c r="Q10" s="143"/>
      <c r="R10" s="143"/>
      <c r="S10" s="2"/>
      <c r="T10" s="2"/>
      <c r="U10" s="2"/>
      <c r="V10" s="2"/>
      <c r="W10" s="2"/>
      <c r="X10" s="2"/>
      <c r="Y10" s="2"/>
      <c r="Z10" s="2"/>
    </row>
    <row r="11" spans="1:26" ht="4.5" customHeight="1" x14ac:dyDescent="0.25">
      <c r="A11" s="9"/>
      <c r="B11" s="205"/>
      <c r="C11" s="37"/>
      <c r="D11" s="37"/>
      <c r="E11" s="37"/>
      <c r="F11" s="37"/>
      <c r="G11" s="37"/>
      <c r="H11" s="37"/>
      <c r="I11" s="143"/>
      <c r="J11" s="143"/>
      <c r="K11" s="143"/>
      <c r="L11" s="143"/>
      <c r="M11" s="143"/>
      <c r="N11" s="143"/>
      <c r="O11" s="143"/>
      <c r="P11" s="143"/>
      <c r="Q11" s="143"/>
      <c r="R11" s="143"/>
      <c r="S11" s="2"/>
      <c r="T11" s="2"/>
      <c r="U11" s="2"/>
      <c r="V11" s="2"/>
      <c r="W11" s="2"/>
      <c r="X11" s="2"/>
      <c r="Y11" s="2"/>
      <c r="Z11" s="2"/>
    </row>
    <row r="12" spans="1:26" ht="14.25" customHeight="1" x14ac:dyDescent="0.25">
      <c r="A12" s="9"/>
      <c r="B12" s="9"/>
      <c r="C12" s="9" t="str">
        <f>Model!C28</f>
        <v>Revenue</v>
      </c>
      <c r="D12" s="9"/>
      <c r="E12" s="9"/>
      <c r="F12" s="9"/>
      <c r="G12" s="9"/>
      <c r="H12" s="807">
        <f t="array" ref="H12">INDEX(Data,MATCH($C12,Line_Items,0),MATCH($H$6,Fiscal_Periods,0))</f>
        <v>23124.4003792</v>
      </c>
      <c r="I12" s="807">
        <f t="array" ref="I12">INDEX(Data,MATCH($C12,Line_Items,0),MATCH($H$6,Fiscal_Periods,0))</f>
        <v>23124.4003792</v>
      </c>
      <c r="J12" s="808">
        <v>19670.3</v>
      </c>
      <c r="K12" s="807">
        <f t="array" ref="K12">INDEX(Data,MATCH($C12,Line_Items,0),MATCH(LEFT(K$10,4),Fiscal_Periods,0))</f>
        <v>21040</v>
      </c>
      <c r="L12" s="807">
        <f t="array" ref="L12">INDEX(Data,MATCH($C12,Line_Items,0),MATCH(LEFT(L$10,4),Fiscal_Periods,0))</f>
        <v>20880</v>
      </c>
      <c r="M12" s="809">
        <f t="shared" ref="M12:N12" si="1">IFERROR($H12/I12-1,"N/A")</f>
        <v>0</v>
      </c>
      <c r="N12" s="527">
        <f t="shared" si="1"/>
        <v>0.17559978135564802</v>
      </c>
      <c r="O12" s="527">
        <f t="shared" ref="O12:P12" si="2">IFERROR($I12/K12-1,"N/A")</f>
        <v>9.9068459087452432E-2</v>
      </c>
      <c r="P12" s="527">
        <f t="shared" si="2"/>
        <v>0.10749043961685834</v>
      </c>
      <c r="Q12" s="9"/>
      <c r="R12" s="9"/>
      <c r="S12" s="2"/>
      <c r="T12" s="2"/>
      <c r="U12" s="2"/>
      <c r="V12" s="2"/>
      <c r="W12" s="2"/>
      <c r="X12" s="2"/>
      <c r="Y12" s="2"/>
      <c r="Z12" s="2"/>
    </row>
    <row r="13" spans="1:26" ht="14.25" customHeight="1" x14ac:dyDescent="0.25">
      <c r="A13" s="9"/>
      <c r="B13" s="9"/>
      <c r="C13" s="9" t="str">
        <f>Model!C32</f>
        <v>Gross Profit</v>
      </c>
      <c r="D13" s="9"/>
      <c r="E13" s="9"/>
      <c r="F13" s="9"/>
      <c r="G13" s="9"/>
      <c r="H13" s="810">
        <f t="array" ref="H13">INDEX(Data,MATCH($C13,Line_Items,0),MATCH($H$6,Fiscal_Periods,0))</f>
        <v>19678.935650552001</v>
      </c>
      <c r="I13" s="810">
        <f t="array" ref="I13">INDEX(Data,MATCH($C13,Line_Items,0),MATCH($H$6,Fiscal_Periods,0))</f>
        <v>19678.935650552001</v>
      </c>
      <c r="J13" s="811">
        <v>3968.1</v>
      </c>
      <c r="K13" s="810">
        <f t="array" ref="K13">INDEX(Data,MATCH($C13,Line_Items,0),MATCH(LEFT(K$10,4),Fiscal_Periods,0))</f>
        <v>17566</v>
      </c>
      <c r="L13" s="810">
        <f t="array" ref="L13">INDEX(Data,MATCH($C13,Line_Items,0),MATCH(LEFT(L$10,4),Fiscal_Periods,0))</f>
        <v>17656</v>
      </c>
      <c r="M13" s="809">
        <f t="shared" ref="M13:P13" si="3">IFERROR($H13/I13-1,"N/A")</f>
        <v>0</v>
      </c>
      <c r="N13" s="527">
        <f t="shared" si="3"/>
        <v>3.9592842041662264</v>
      </c>
      <c r="O13" s="527">
        <f t="shared" si="3"/>
        <v>0.12028553174040768</v>
      </c>
      <c r="P13" s="527">
        <f t="shared" si="3"/>
        <v>0.11457496888038077</v>
      </c>
      <c r="Q13" s="9"/>
      <c r="R13" s="9"/>
      <c r="S13" s="2"/>
      <c r="T13" s="2"/>
      <c r="U13" s="2"/>
      <c r="V13" s="2"/>
      <c r="W13" s="2"/>
      <c r="X13" s="2"/>
      <c r="Y13" s="2"/>
      <c r="Z13" s="2"/>
    </row>
    <row r="14" spans="1:26" ht="14.25" customHeight="1" x14ac:dyDescent="0.25">
      <c r="A14" s="9"/>
      <c r="B14" s="9"/>
      <c r="C14" s="84" t="str">
        <f>Model!C66</f>
        <v>Gross Margin</v>
      </c>
      <c r="D14" s="9"/>
      <c r="E14" s="9"/>
      <c r="F14" s="9"/>
      <c r="G14" s="9"/>
      <c r="H14" s="812">
        <f t="array" ref="H14">INDEX(Data,MATCH($C14,Line_Items,0),MATCH($H$6,Fiscal_Periods,0))</f>
        <v>0.72</v>
      </c>
      <c r="I14" s="812">
        <f t="array" ref="I14">INDEX(Data,MATCH($C14,Line_Items,0),MATCH($H$6,Fiscal_Periods,0))</f>
        <v>0.72</v>
      </c>
      <c r="J14" s="813">
        <v>0.20200000000000001</v>
      </c>
      <c r="K14" s="812">
        <f t="array" ref="K14">INDEX(Data,MATCH($C14,Line_Items,0),MATCH(LEFT(K$10,4),Fiscal_Periods,0))</f>
        <v>0.83488593155893531</v>
      </c>
      <c r="L14" s="812">
        <f t="array" ref="L14">INDEX(Data,MATCH($C14,Line_Items,0),MATCH(LEFT(L$10,4),Fiscal_Periods,0))</f>
        <v>0.84559386973180073</v>
      </c>
      <c r="M14" s="814">
        <f t="shared" ref="M14:P14" si="4">$H14-I14</f>
        <v>0</v>
      </c>
      <c r="N14" s="815">
        <f t="shared" si="4"/>
        <v>0.51800000000000002</v>
      </c>
      <c r="O14" s="815">
        <f t="shared" si="4"/>
        <v>-0.11488593155893534</v>
      </c>
      <c r="P14" s="815">
        <f t="shared" si="4"/>
        <v>-0.12559386973180076</v>
      </c>
      <c r="Q14" s="9"/>
      <c r="R14" s="9"/>
      <c r="S14" s="2"/>
      <c r="T14" s="2"/>
      <c r="U14" s="2"/>
      <c r="V14" s="2"/>
      <c r="W14" s="2"/>
      <c r="X14" s="2"/>
      <c r="Y14" s="2"/>
      <c r="Z14" s="2"/>
    </row>
    <row r="15" spans="1:26" ht="14.25" customHeight="1" x14ac:dyDescent="0.25">
      <c r="A15" s="9"/>
      <c r="B15" s="9"/>
      <c r="C15" s="9" t="str">
        <f>Model!C61</f>
        <v>EBITDA</v>
      </c>
      <c r="D15" s="9"/>
      <c r="E15" s="9"/>
      <c r="F15" s="9"/>
      <c r="G15" s="9"/>
      <c r="H15" s="810">
        <f t="array" ref="H15">INDEX(Data,MATCH($C15,Line_Items,0),MATCH($H$6,Fiscal_Periods,0))</f>
        <v>4991.121141524296</v>
      </c>
      <c r="I15" s="810">
        <f t="array" ref="I15">INDEX(Data,MATCH($C15,Line_Items,0),MATCH($H$6,Fiscal_Periods,0))</f>
        <v>4991.121141524296</v>
      </c>
      <c r="J15" s="811">
        <v>2224.4</v>
      </c>
      <c r="K15" s="810">
        <f t="array" ref="K15">INDEX(Data,MATCH($C15,Line_Items,0),MATCH(LEFT(K$10,4),Fiscal_Periods,0))</f>
        <v>3534.25</v>
      </c>
      <c r="L15" s="810">
        <f t="array" ref="L15">INDEX(Data,MATCH($C15,Line_Items,0),MATCH(LEFT(L$10,4),Fiscal_Periods,0))</f>
        <v>4246</v>
      </c>
      <c r="M15" s="809">
        <f t="shared" ref="M15:P15" si="5">IFERROR($H15/I15-1,"N/A")</f>
        <v>0</v>
      </c>
      <c r="N15" s="527">
        <f t="shared" si="5"/>
        <v>1.2438055842134039</v>
      </c>
      <c r="O15" s="527">
        <f t="shared" si="5"/>
        <v>0.41221507859497653</v>
      </c>
      <c r="P15" s="527">
        <f t="shared" si="5"/>
        <v>0.17548778651066788</v>
      </c>
      <c r="Q15" s="9"/>
      <c r="R15" s="9"/>
      <c r="S15" s="2"/>
      <c r="T15" s="2"/>
      <c r="U15" s="2"/>
      <c r="V15" s="2"/>
      <c r="W15" s="2"/>
      <c r="X15" s="2"/>
      <c r="Y15" s="2"/>
      <c r="Z15" s="2"/>
    </row>
    <row r="16" spans="1:26" ht="14.25" customHeight="1" x14ac:dyDescent="0.25">
      <c r="A16" s="9"/>
      <c r="B16" s="9"/>
      <c r="C16" s="84" t="str">
        <f>'Segment Analysis'!C128</f>
        <v>EBITDA Margin</v>
      </c>
      <c r="D16" s="9"/>
      <c r="E16" s="9"/>
      <c r="F16" s="9"/>
      <c r="G16" s="9"/>
      <c r="H16" s="816">
        <f t="shared" ref="H16:I16" si="6">H15/$H$12</f>
        <v>0.21583786215765938</v>
      </c>
      <c r="I16" s="816">
        <f t="shared" si="6"/>
        <v>0.21583786215765938</v>
      </c>
      <c r="J16" s="813">
        <v>0.113</v>
      </c>
      <c r="K16" s="816">
        <f t="shared" ref="K16:L16" si="7">K15/$H$12</f>
        <v>0.15283639541109992</v>
      </c>
      <c r="L16" s="816">
        <f t="shared" si="7"/>
        <v>0.18361557187961525</v>
      </c>
      <c r="M16" s="814">
        <f t="shared" ref="M16:P16" si="8">$H16-I16</f>
        <v>0</v>
      </c>
      <c r="N16" s="815">
        <f t="shared" si="8"/>
        <v>0.10283786215765937</v>
      </c>
      <c r="O16" s="815">
        <f t="shared" si="8"/>
        <v>6.3001466746559459E-2</v>
      </c>
      <c r="P16" s="815">
        <f t="shared" si="8"/>
        <v>3.222229027804413E-2</v>
      </c>
      <c r="Q16" s="9"/>
      <c r="R16" s="9"/>
      <c r="S16" s="2"/>
      <c r="T16" s="2"/>
      <c r="U16" s="2"/>
      <c r="V16" s="2"/>
      <c r="W16" s="2"/>
      <c r="X16" s="2"/>
      <c r="Y16" s="2"/>
      <c r="Z16" s="2"/>
    </row>
    <row r="17" spans="1:26" ht="14.25" customHeight="1" x14ac:dyDescent="0.25">
      <c r="A17" s="9"/>
      <c r="B17" s="9"/>
      <c r="C17" s="9" t="str">
        <f>Model!C39</f>
        <v>Operating Income</v>
      </c>
      <c r="D17" s="9"/>
      <c r="E17" s="9"/>
      <c r="F17" s="9"/>
      <c r="G17" s="9"/>
      <c r="H17" s="810">
        <f t="array" ref="H17">INDEX(Data,MATCH($C17,Line_Items,0),MATCH($H$6,Fiscal_Periods,0))</f>
        <v>4416.8314002799998</v>
      </c>
      <c r="I17" s="810">
        <f t="array" ref="I17">INDEX(Data,MATCH($C17,Line_Items,0),MATCH($H$6,Fiscal_Periods,0))</f>
        <v>4416.8314002799998</v>
      </c>
      <c r="J17" s="811">
        <v>1952.8</v>
      </c>
      <c r="K17" s="810">
        <f t="array" ref="K17">INDEX(Data,MATCH($C17,Line_Items,0),MATCH(LEFT(K$10,4),Fiscal_Periods,0))</f>
        <v>3090</v>
      </c>
      <c r="L17" s="810">
        <f t="array" ref="L17">INDEX(Data,MATCH($C17,Line_Items,0),MATCH(LEFT(L$10,4),Fiscal_Periods,0))</f>
        <v>3778</v>
      </c>
      <c r="M17" s="809">
        <f t="shared" ref="M17:P17" si="9">IFERROR($H17/I17-1,"N/A")</f>
        <v>0</v>
      </c>
      <c r="N17" s="527">
        <f t="shared" si="9"/>
        <v>1.2617940394715279</v>
      </c>
      <c r="O17" s="527">
        <f t="shared" si="9"/>
        <v>0.42939527517152087</v>
      </c>
      <c r="P17" s="527">
        <f t="shared" si="9"/>
        <v>0.16909248286924283</v>
      </c>
      <c r="Q17" s="9"/>
      <c r="R17" s="9"/>
      <c r="S17" s="2"/>
      <c r="T17" s="2"/>
      <c r="U17" s="2"/>
      <c r="V17" s="2"/>
      <c r="W17" s="2"/>
      <c r="X17" s="2"/>
      <c r="Y17" s="2"/>
      <c r="Z17" s="2"/>
    </row>
    <row r="18" spans="1:26" ht="14.25" customHeight="1" x14ac:dyDescent="0.25">
      <c r="A18" s="9"/>
      <c r="B18" s="9"/>
      <c r="C18" s="84" t="str">
        <f>'Segment Analysis'!C133</f>
        <v>EBIT Margin</v>
      </c>
      <c r="D18" s="9"/>
      <c r="E18" s="9"/>
      <c r="F18" s="9"/>
      <c r="G18" s="9"/>
      <c r="H18" s="816">
        <f t="shared" ref="H18:I18" si="10">H17/$H$12</f>
        <v>0.19100306722992322</v>
      </c>
      <c r="I18" s="816">
        <f t="shared" si="10"/>
        <v>0.19100306722992322</v>
      </c>
      <c r="J18" s="813">
        <v>9.9000000000000005E-2</v>
      </c>
      <c r="K18" s="816">
        <f t="shared" ref="K18:L18" si="11">K17/$H$12</f>
        <v>0.13362508645972943</v>
      </c>
      <c r="L18" s="816">
        <f t="shared" si="11"/>
        <v>0.16337720927018051</v>
      </c>
      <c r="M18" s="814">
        <f t="shared" ref="M18:P18" si="12">$H18-I18</f>
        <v>0</v>
      </c>
      <c r="N18" s="815">
        <f t="shared" si="12"/>
        <v>9.2003067229923213E-2</v>
      </c>
      <c r="O18" s="815">
        <f t="shared" si="12"/>
        <v>5.7377980770193793E-2</v>
      </c>
      <c r="P18" s="815">
        <f t="shared" si="12"/>
        <v>2.7625857959742706E-2</v>
      </c>
      <c r="Q18" s="9"/>
      <c r="R18" s="9"/>
      <c r="S18" s="2"/>
      <c r="T18" s="2"/>
      <c r="U18" s="2"/>
      <c r="V18" s="2"/>
      <c r="W18" s="2"/>
      <c r="X18" s="2"/>
      <c r="Y18" s="2"/>
      <c r="Z18" s="2"/>
    </row>
    <row r="19" spans="1:26" ht="14.25" customHeight="1" x14ac:dyDescent="0.25">
      <c r="A19" s="9"/>
      <c r="B19" s="9"/>
      <c r="C19" s="9" t="str">
        <f>Model!C45</f>
        <v>Net Income (Loss)</v>
      </c>
      <c r="D19" s="9"/>
      <c r="E19" s="9"/>
      <c r="F19" s="9"/>
      <c r="G19" s="9"/>
      <c r="H19" s="810">
        <f t="array" ref="H19">INDEX(Data,MATCH($C19,Line_Items,0),MATCH($H$6,Fiscal_Periods,0))</f>
        <v>3471.6294806200799</v>
      </c>
      <c r="I19" s="810">
        <f t="array" ref="I19">INDEX(Data,MATCH($C19,Line_Items,0),MATCH($H$6,Fiscal_Periods,0))</f>
        <v>3471.6294806200799</v>
      </c>
      <c r="J19" s="811">
        <v>1379.1</v>
      </c>
      <c r="K19" s="810">
        <f t="array" ref="K19">INDEX(Data,MATCH($C19,Line_Items,0),MATCH(LEFT(K$10,4),Fiscal_Periods,0))</f>
        <v>2462</v>
      </c>
      <c r="L19" s="810">
        <f t="array" ref="L19">INDEX(Data,MATCH($C19,Line_Items,0),MATCH(LEFT(L$10,4),Fiscal_Periods,0))</f>
        <v>2971</v>
      </c>
      <c r="M19" s="809">
        <f t="shared" ref="M19:P19" si="13">IFERROR($H19/I19-1,"N/A")</f>
        <v>0</v>
      </c>
      <c r="N19" s="527">
        <f t="shared" si="13"/>
        <v>1.5173152640273222</v>
      </c>
      <c r="O19" s="527">
        <f t="shared" si="13"/>
        <v>0.41008508554836709</v>
      </c>
      <c r="P19" s="527">
        <f t="shared" si="13"/>
        <v>0.16850537886909445</v>
      </c>
      <c r="Q19" s="9"/>
      <c r="R19" s="9"/>
      <c r="S19" s="2"/>
      <c r="T19" s="2"/>
      <c r="U19" s="2"/>
      <c r="V19" s="2"/>
      <c r="W19" s="2"/>
      <c r="X19" s="2"/>
      <c r="Y19" s="2"/>
      <c r="Z19" s="2"/>
    </row>
    <row r="20" spans="1:26" ht="14.25" customHeight="1" x14ac:dyDescent="0.25">
      <c r="A20" s="9"/>
      <c r="B20" s="9"/>
      <c r="C20" s="84" t="s">
        <v>461</v>
      </c>
      <c r="D20" s="9"/>
      <c r="E20" s="9"/>
      <c r="F20" s="9"/>
      <c r="G20" s="9"/>
      <c r="H20" s="812">
        <f t="shared" ref="H20:I20" si="14">H19/H12</f>
        <v>0.15012841084271966</v>
      </c>
      <c r="I20" s="812">
        <f t="shared" si="14"/>
        <v>0.15012841084271966</v>
      </c>
      <c r="J20" s="813">
        <v>7.0000000000000007E-2</v>
      </c>
      <c r="K20" s="812">
        <f t="shared" ref="K20:L20" si="15">K19/K12</f>
        <v>0.11701520912547529</v>
      </c>
      <c r="L20" s="812">
        <f t="shared" si="15"/>
        <v>0.14228927203065134</v>
      </c>
      <c r="M20" s="814">
        <f t="shared" ref="M20:P20" si="16">$H20-I20</f>
        <v>0</v>
      </c>
      <c r="N20" s="815">
        <f t="shared" si="16"/>
        <v>8.0128410842719655E-2</v>
      </c>
      <c r="O20" s="815">
        <f t="shared" si="16"/>
        <v>3.311320171724437E-2</v>
      </c>
      <c r="P20" s="815">
        <f t="shared" si="16"/>
        <v>7.8391388120683247E-3</v>
      </c>
      <c r="Q20" s="9"/>
      <c r="R20" s="9"/>
      <c r="S20" s="2"/>
      <c r="T20" s="2"/>
      <c r="U20" s="2"/>
      <c r="V20" s="2"/>
      <c r="W20" s="2"/>
      <c r="X20" s="2"/>
      <c r="Y20" s="2"/>
      <c r="Z20" s="2"/>
    </row>
    <row r="21" spans="1:26" ht="14.25" customHeight="1" x14ac:dyDescent="0.25">
      <c r="A21" s="9"/>
      <c r="B21" s="9"/>
      <c r="C21" s="9" t="str">
        <f>Model!C57</f>
        <v>Adj. EPS (Diluted)</v>
      </c>
      <c r="D21" s="9"/>
      <c r="E21" s="9"/>
      <c r="F21" s="9"/>
      <c r="G21" s="9"/>
      <c r="H21" s="817">
        <f t="array" ref="H21">INDEX(Data,MATCH($C21,Line_Items,0),MATCH($H$6,Fiscal_Periods,0))</f>
        <v>5.0692497463587145</v>
      </c>
      <c r="I21" s="817">
        <f t="array" ref="I21">INDEX(Data,MATCH($C21,Line_Items,0),MATCH($H$6,Fiscal_Periods,0))</f>
        <v>5.0692497463587145</v>
      </c>
      <c r="J21" s="818">
        <v>2.15</v>
      </c>
      <c r="K21" s="817">
        <f t="array" ref="K21">INDEX(Data,MATCH($C21,Line_Items,0),MATCH(LEFT(K$10,4),Fiscal_Periods,0))</f>
        <v>3.4971264367816093</v>
      </c>
      <c r="L21" s="817">
        <f t="array" ref="L21">INDEX(Data,MATCH($C21,Line_Items,0),MATCH(LEFT(L$10,4),Fiscal_Periods,0))</f>
        <v>4.2813411078717198</v>
      </c>
      <c r="M21" s="809">
        <f t="shared" ref="M21:P21" si="17">IFERROR($H21/I21-1,"N/A")</f>
        <v>0</v>
      </c>
      <c r="N21" s="527">
        <f t="shared" si="17"/>
        <v>1.3577905797017276</v>
      </c>
      <c r="O21" s="527">
        <f t="shared" si="17"/>
        <v>0.44954717480101292</v>
      </c>
      <c r="P21" s="527">
        <f t="shared" si="17"/>
        <v>0.18403313789651965</v>
      </c>
      <c r="Q21" s="9"/>
      <c r="R21" s="9"/>
      <c r="S21" s="2"/>
      <c r="T21" s="2"/>
      <c r="U21" s="2"/>
      <c r="V21" s="2"/>
      <c r="W21" s="2"/>
      <c r="X21" s="2"/>
      <c r="Y21" s="2"/>
      <c r="Z21" s="2"/>
    </row>
    <row r="22" spans="1:26" ht="14.25" customHeight="1" x14ac:dyDescent="0.25">
      <c r="A22" s="9"/>
      <c r="B22" s="9"/>
      <c r="C22" s="9"/>
      <c r="D22" s="9"/>
      <c r="E22" s="9"/>
      <c r="F22" s="9"/>
      <c r="G22" s="9"/>
      <c r="H22" s="64"/>
      <c r="I22" s="64"/>
      <c r="J22" s="64"/>
      <c r="K22" s="64"/>
      <c r="L22" s="64"/>
      <c r="M22" s="64"/>
      <c r="N22" s="64"/>
      <c r="O22" s="64"/>
      <c r="P22" s="64"/>
      <c r="Q22" s="9"/>
      <c r="R22" s="9"/>
      <c r="S22" s="2"/>
      <c r="T22" s="2"/>
      <c r="U22" s="2"/>
      <c r="V22" s="2"/>
      <c r="W22" s="2"/>
      <c r="X22" s="2"/>
      <c r="Y22" s="2"/>
      <c r="Z22" s="2"/>
    </row>
    <row r="23" spans="1:26" ht="14.25" customHeight="1" x14ac:dyDescent="0.25">
      <c r="A23" s="9"/>
      <c r="B23" s="9"/>
      <c r="C23" s="9"/>
      <c r="D23" s="9"/>
      <c r="E23" s="9"/>
      <c r="F23" s="9"/>
      <c r="G23" s="9"/>
      <c r="H23" s="64"/>
      <c r="I23" s="64"/>
      <c r="J23" s="64"/>
      <c r="K23" s="64"/>
      <c r="L23" s="64"/>
      <c r="M23" s="64"/>
      <c r="N23" s="64"/>
      <c r="O23" s="64"/>
      <c r="P23" s="64"/>
      <c r="Q23" s="9"/>
      <c r="R23" s="9"/>
      <c r="S23" s="2"/>
      <c r="T23" s="2"/>
      <c r="U23" s="2"/>
      <c r="V23" s="2"/>
      <c r="W23" s="2"/>
      <c r="X23" s="2"/>
      <c r="Y23" s="2"/>
      <c r="Z23" s="2"/>
    </row>
    <row r="24" spans="1:26" ht="14.25" customHeight="1" x14ac:dyDescent="0.25">
      <c r="A24" s="9"/>
      <c r="B24" s="205" t="s">
        <v>0</v>
      </c>
      <c r="C24" s="76" t="str">
        <f>Ticker&amp;" "&amp;H4&amp;RIGHT(H5,2)&amp;" Segment Results"</f>
        <v>AXP 4Q26 Segment Results</v>
      </c>
      <c r="D24" s="76"/>
      <c r="E24" s="76"/>
      <c r="F24" s="76"/>
      <c r="G24" s="76"/>
      <c r="H24" s="78" t="str">
        <f t="shared" ref="H24:P24" si="18">H10</f>
        <v>4Q26a</v>
      </c>
      <c r="I24" s="78" t="str">
        <f t="shared" si="18"/>
        <v>OFe</v>
      </c>
      <c r="J24" s="78" t="str">
        <f t="shared" si="18"/>
        <v>Consensus</v>
      </c>
      <c r="K24" s="78" t="str">
        <f t="shared" si="18"/>
        <v>4Q25a</v>
      </c>
      <c r="L24" s="78" t="str">
        <f t="shared" si="18"/>
        <v>1Q26a</v>
      </c>
      <c r="M24" s="806" t="str">
        <f t="shared" si="18"/>
        <v>v. OFe</v>
      </c>
      <c r="N24" s="78" t="str">
        <f t="shared" si="18"/>
        <v>v. Consensus</v>
      </c>
      <c r="O24" s="78" t="str">
        <f t="shared" si="18"/>
        <v>v. 4Q25a</v>
      </c>
      <c r="P24" s="78" t="str">
        <f t="shared" si="18"/>
        <v>v. 1Q26a</v>
      </c>
      <c r="Q24" s="9"/>
      <c r="R24" s="9"/>
      <c r="S24" s="2"/>
      <c r="T24" s="2"/>
      <c r="U24" s="2"/>
      <c r="V24" s="2"/>
      <c r="W24" s="2"/>
      <c r="X24" s="2"/>
      <c r="Y24" s="2"/>
      <c r="Z24" s="2"/>
    </row>
    <row r="25" spans="1:26" ht="4.5" customHeight="1" x14ac:dyDescent="0.25">
      <c r="A25" s="9"/>
      <c r="B25" s="205"/>
      <c r="C25" s="9"/>
      <c r="D25" s="9"/>
      <c r="E25" s="9"/>
      <c r="F25" s="9"/>
      <c r="G25" s="9"/>
      <c r="H25" s="64"/>
      <c r="I25" s="64"/>
      <c r="J25" s="64"/>
      <c r="K25" s="64"/>
      <c r="L25" s="64"/>
      <c r="M25" s="64"/>
      <c r="N25" s="64"/>
      <c r="O25" s="64"/>
      <c r="P25" s="64"/>
      <c r="Q25" s="9"/>
      <c r="R25" s="9"/>
      <c r="S25" s="2"/>
      <c r="T25" s="2"/>
      <c r="U25" s="2"/>
      <c r="V25" s="2"/>
      <c r="W25" s="2"/>
      <c r="X25" s="2"/>
      <c r="Y25" s="2"/>
      <c r="Z25" s="2"/>
    </row>
    <row r="26" spans="1:26" ht="14.25" customHeight="1" x14ac:dyDescent="0.25">
      <c r="A26" s="9"/>
      <c r="B26" s="9"/>
      <c r="C26" s="9" t="str">
        <f>'Segment Analysis'!C8</f>
        <v>Discount Revenue</v>
      </c>
      <c r="D26" s="9"/>
      <c r="E26" s="9"/>
      <c r="F26" s="9"/>
      <c r="G26" s="9"/>
      <c r="H26" s="807" t="e">
        <f t="array" ref="H26">INDEX(Data,MATCH($C26,Line_Items,0),MATCH($H$6,Fiscal_Periods,0))</f>
        <v>#N/A</v>
      </c>
      <c r="I26" s="807" t="e">
        <f t="array" ref="I26">INDEX(Data,MATCH($C26,Line_Items,0),MATCH($H$6,Fiscal_Periods,0))</f>
        <v>#N/A</v>
      </c>
      <c r="J26" s="808">
        <v>6520.1</v>
      </c>
      <c r="K26" s="807" t="e">
        <f t="array" ref="K26">INDEX(Data,MATCH($C26,Line_Items,0),MATCH(LEFT(K$24,4),Fiscal_Periods,0))</f>
        <v>#N/A</v>
      </c>
      <c r="L26" s="807" t="e">
        <f t="array" ref="L26">INDEX(Data,MATCH($C26,Line_Items,0),MATCH(LEFT(L$24,4),Fiscal_Periods,0))</f>
        <v>#N/A</v>
      </c>
      <c r="M26" s="809" t="str">
        <f t="shared" ref="M26:N26" si="19">IFERROR($H26/I26-1,"N/A")</f>
        <v>N/A</v>
      </c>
      <c r="N26" s="527" t="str">
        <f t="shared" si="19"/>
        <v>N/A</v>
      </c>
      <c r="O26" s="527" t="str">
        <f t="shared" ref="O26:P26" si="20">IFERROR($I26/K26-1,"N/A")</f>
        <v>N/A</v>
      </c>
      <c r="P26" s="527" t="str">
        <f t="shared" si="20"/>
        <v>N/A</v>
      </c>
      <c r="Q26" s="9"/>
      <c r="R26" s="9"/>
      <c r="S26" s="2"/>
      <c r="T26" s="2"/>
      <c r="U26" s="2"/>
      <c r="V26" s="2"/>
      <c r="W26" s="2"/>
      <c r="X26" s="2"/>
      <c r="Y26" s="2"/>
      <c r="Z26" s="2"/>
    </row>
    <row r="27" spans="1:26" ht="14.25" customHeight="1" x14ac:dyDescent="0.25">
      <c r="A27" s="9"/>
      <c r="B27" s="9"/>
      <c r="C27" s="9" t="str">
        <f>'Segment Analysis'!C9</f>
        <v>Net Card Fees Revenue</v>
      </c>
      <c r="D27" s="9"/>
      <c r="E27" s="9"/>
      <c r="F27" s="9"/>
      <c r="G27" s="9"/>
      <c r="H27" s="810" t="e">
        <f t="array" ref="H27">INDEX(Data,MATCH($C27,Line_Items,0),MATCH($H$6,Fiscal_Periods,0))</f>
        <v>#N/A</v>
      </c>
      <c r="I27" s="810" t="e">
        <f t="array" ref="I27">INDEX(Data,MATCH($C27,Line_Items,0),MATCH($H$6,Fiscal_Periods,0))</f>
        <v>#N/A</v>
      </c>
      <c r="J27" s="811">
        <v>11000.3</v>
      </c>
      <c r="K27" s="810" t="e">
        <f t="array" ref="K27">INDEX(Data,MATCH($C27,Line_Items,0),MATCH(LEFT(K$24,4),Fiscal_Periods,0))</f>
        <v>#N/A</v>
      </c>
      <c r="L27" s="810" t="e">
        <f t="array" ref="L27">INDEX(Data,MATCH($C27,Line_Items,0),MATCH(LEFT(L$24,4),Fiscal_Periods,0))</f>
        <v>#N/A</v>
      </c>
      <c r="M27" s="809" t="str">
        <f t="shared" ref="M27:N27" si="21">IFERROR($H27/I27-1,"N/A")</f>
        <v>N/A</v>
      </c>
      <c r="N27" s="527" t="str">
        <f t="shared" si="21"/>
        <v>N/A</v>
      </c>
      <c r="O27" s="527" t="str">
        <f t="shared" ref="O27:P27" si="22">IFERROR($I27/K27-1,"N/A")</f>
        <v>N/A</v>
      </c>
      <c r="P27" s="527" t="str">
        <f t="shared" si="22"/>
        <v>N/A</v>
      </c>
      <c r="Q27" s="9"/>
      <c r="R27" s="9"/>
      <c r="S27" s="2"/>
      <c r="T27" s="2"/>
      <c r="U27" s="2"/>
      <c r="V27" s="2"/>
      <c r="W27" s="2"/>
      <c r="X27" s="2"/>
      <c r="Y27" s="2"/>
      <c r="Z27" s="2"/>
    </row>
    <row r="28" spans="1:26" ht="14.25" customHeight="1" x14ac:dyDescent="0.25">
      <c r="A28" s="9"/>
      <c r="B28" s="9"/>
      <c r="C28" s="9" t="str">
        <f>'Segment Analysis'!C10</f>
        <v>Service Fees and Other Revenue</v>
      </c>
      <c r="D28" s="9"/>
      <c r="E28" s="9"/>
      <c r="F28" s="9"/>
      <c r="G28" s="9"/>
      <c r="H28" s="810" t="e">
        <f t="array" ref="H28">INDEX(Data,MATCH($C28,Line_Items,0),MATCH($H$6,Fiscal_Periods,0))</f>
        <v>#N/A</v>
      </c>
      <c r="I28" s="810" t="e">
        <f t="array" ref="I28">INDEX(Data,MATCH($C28,Line_Items,0),MATCH($H$6,Fiscal_Periods,0))</f>
        <v>#N/A</v>
      </c>
      <c r="J28" s="811">
        <v>75</v>
      </c>
      <c r="K28" s="810" t="e">
        <f t="array" ref="K28">INDEX(Data,MATCH($C28,Line_Items,0),MATCH(LEFT(K$24,4),Fiscal_Periods,0))</f>
        <v>#N/A</v>
      </c>
      <c r="L28" s="810" t="e">
        <f t="array" ref="L28">INDEX(Data,MATCH($C28,Line_Items,0),MATCH(LEFT(L$24,4),Fiscal_Periods,0))</f>
        <v>#N/A</v>
      </c>
      <c r="M28" s="809" t="str">
        <f t="shared" ref="M28:N28" si="23">IFERROR($H28/I28-1,"N/A")</f>
        <v>N/A</v>
      </c>
      <c r="N28" s="527" t="str">
        <f t="shared" si="23"/>
        <v>N/A</v>
      </c>
      <c r="O28" s="527" t="str">
        <f t="shared" ref="O28:P28" si="24">IFERROR($I28/K28-1,"N/A")</f>
        <v>N/A</v>
      </c>
      <c r="P28" s="527" t="str">
        <f t="shared" si="24"/>
        <v>N/A</v>
      </c>
      <c r="Q28" s="9"/>
      <c r="R28" s="9"/>
      <c r="S28" s="2"/>
      <c r="T28" s="2"/>
      <c r="U28" s="2"/>
      <c r="V28" s="2"/>
      <c r="W28" s="2"/>
      <c r="X28" s="2"/>
      <c r="Y28" s="2"/>
      <c r="Z28" s="2"/>
    </row>
    <row r="29" spans="1:26" ht="14.25" customHeight="1" x14ac:dyDescent="0.25">
      <c r="A29" s="9"/>
      <c r="B29" s="9"/>
      <c r="C29" s="9" t="e">
        <f>'Segment Analysis'!#REF!</f>
        <v>#REF!</v>
      </c>
      <c r="D29" s="9"/>
      <c r="E29" s="9"/>
      <c r="F29" s="9"/>
      <c r="G29" s="9"/>
      <c r="H29" s="810" t="e">
        <f t="array" ref="H29">INDEX(Data,MATCH($C29,Line_Items,0),MATCH($H$6,Fiscal_Periods,0))</f>
        <v>#REF!</v>
      </c>
      <c r="I29" s="810" t="e">
        <f t="array" ref="I29">INDEX(Data,MATCH($C29,Line_Items,0),MATCH($H$6,Fiscal_Periods,0))</f>
        <v>#REF!</v>
      </c>
      <c r="J29" s="811">
        <v>-200</v>
      </c>
      <c r="K29" s="810" t="e">
        <f t="array" ref="K29">INDEX(Data,MATCH($C29,Line_Items,0),MATCH(LEFT(K$24,4),Fiscal_Periods,0))</f>
        <v>#REF!</v>
      </c>
      <c r="L29" s="810" t="e">
        <f t="array" ref="L29">INDEX(Data,MATCH($C29,Line_Items,0),MATCH(LEFT(L$24,4),Fiscal_Periods,0))</f>
        <v>#REF!</v>
      </c>
      <c r="M29" s="809" t="str">
        <f t="shared" ref="M29:N29" si="25">IFERROR($H29/I29-1,"N/A")</f>
        <v>N/A</v>
      </c>
      <c r="N29" s="527" t="str">
        <f t="shared" si="25"/>
        <v>N/A</v>
      </c>
      <c r="O29" s="527" t="str">
        <f t="shared" ref="O29:P29" si="26">IFERROR($I29/K29-1,"N/A")</f>
        <v>N/A</v>
      </c>
      <c r="P29" s="527" t="str">
        <f t="shared" si="26"/>
        <v>N/A</v>
      </c>
      <c r="Q29" s="9"/>
      <c r="R29" s="9"/>
      <c r="S29" s="2"/>
      <c r="T29" s="2"/>
      <c r="U29" s="2"/>
      <c r="V29" s="2"/>
      <c r="W29" s="2"/>
      <c r="X29" s="2"/>
      <c r="Y29" s="2"/>
      <c r="Z29" s="2"/>
    </row>
    <row r="30" spans="1:26" ht="14.25" customHeight="1" x14ac:dyDescent="0.25">
      <c r="A30" s="9"/>
      <c r="B30" s="9"/>
      <c r="C30" s="522" t="e">
        <f>'Segment Analysis'!#REF!</f>
        <v>#REF!</v>
      </c>
      <c r="D30" s="522"/>
      <c r="E30" s="522"/>
      <c r="F30" s="522"/>
      <c r="G30" s="522"/>
      <c r="H30" s="819" t="e">
        <f t="array" ref="H30">INDEX(Data,MATCH($C30,Line_Items,0),MATCH($H$6,Fiscal_Periods,0))</f>
        <v>#REF!</v>
      </c>
      <c r="I30" s="819" t="e">
        <f t="array" ref="I30">INDEX(Data,MATCH($C30,Line_Items,0),MATCH($H$6,Fiscal_Periods,0))</f>
        <v>#REF!</v>
      </c>
      <c r="J30" s="820">
        <v>5000</v>
      </c>
      <c r="K30" s="819" t="e">
        <f t="array" ref="K30">INDEX(Data,MATCH($C30,Line_Items,0),MATCH(LEFT(K$24,4),Fiscal_Periods,0))</f>
        <v>#REF!</v>
      </c>
      <c r="L30" s="819" t="e">
        <f t="array" ref="L30">INDEX(Data,MATCH($C30,Line_Items,0),MATCH(LEFT(L$24,4),Fiscal_Periods,0))</f>
        <v>#REF!</v>
      </c>
      <c r="M30" s="821" t="str">
        <f t="shared" ref="M30:N30" si="27">IFERROR($H30/I30-1,"N/A")</f>
        <v>N/A</v>
      </c>
      <c r="N30" s="523" t="str">
        <f t="shared" si="27"/>
        <v>N/A</v>
      </c>
      <c r="O30" s="523" t="str">
        <f t="shared" ref="O30:P30" si="28">IFERROR($I30/K30-1,"N/A")</f>
        <v>N/A</v>
      </c>
      <c r="P30" s="523" t="str">
        <f t="shared" si="28"/>
        <v>N/A</v>
      </c>
      <c r="Q30" s="9"/>
      <c r="R30" s="9"/>
      <c r="S30" s="2"/>
      <c r="T30" s="2"/>
      <c r="U30" s="2"/>
      <c r="V30" s="2"/>
      <c r="W30" s="2"/>
      <c r="X30" s="2"/>
      <c r="Y30" s="2"/>
      <c r="Z30" s="2"/>
    </row>
    <row r="31" spans="1:26" ht="14.25" hidden="1" customHeight="1" outlineLevel="1" x14ac:dyDescent="0.25">
      <c r="A31" s="9"/>
      <c r="B31" s="9"/>
      <c r="C31" s="522" t="e">
        <f>'Segment Analysis'!#REF!</f>
        <v>#REF!</v>
      </c>
      <c r="D31" s="522"/>
      <c r="E31" s="522"/>
      <c r="F31" s="522"/>
      <c r="G31" s="522"/>
      <c r="H31" s="822" t="e">
        <f t="array" ref="H31">INDEX(Data,MATCH($C31,Line_Items,0),MATCH($H$6,Fiscal_Periods,0))</f>
        <v>#REF!</v>
      </c>
      <c r="I31" s="822" t="e">
        <f t="array" ref="I31">INDEX(Data,MATCH($C31,Line_Items,0),MATCH($H$6,Fiscal_Periods,0))</f>
        <v>#REF!</v>
      </c>
      <c r="J31" s="823" t="e">
        <f t="array" ref="J31">INDEX(Data,MATCH($C31,Line_Items,0),MATCH($H$6,Fiscal_Periods,0))</f>
        <v>#REF!</v>
      </c>
      <c r="K31" s="822" t="e">
        <f t="array" ref="K31">INDEX(Data,MATCH($C31,Line_Items,0),MATCH(LEFT(K$24,4),Fiscal_Periods,0))</f>
        <v>#REF!</v>
      </c>
      <c r="L31" s="822" t="e">
        <f t="array" ref="L31">INDEX(Data,MATCH($C31,Line_Items,0),MATCH(LEFT(L$24,4),Fiscal_Periods,0))</f>
        <v>#REF!</v>
      </c>
      <c r="M31" s="825" t="str">
        <f t="shared" ref="M31:N31" si="29">IFERROR($H31/I31-1,"N/A")</f>
        <v>N/A</v>
      </c>
      <c r="N31" s="826" t="str">
        <f t="shared" si="29"/>
        <v>N/A</v>
      </c>
      <c r="O31" s="826" t="str">
        <f t="shared" ref="O31:P31" si="30">IFERROR($I31/K31-1,"N/A")</f>
        <v>N/A</v>
      </c>
      <c r="P31" s="826" t="str">
        <f t="shared" si="30"/>
        <v>N/A</v>
      </c>
      <c r="Q31" s="9"/>
      <c r="R31" s="9"/>
      <c r="S31" s="2"/>
      <c r="T31" s="2"/>
      <c r="U31" s="2"/>
      <c r="V31" s="2"/>
      <c r="W31" s="2"/>
      <c r="X31" s="2"/>
      <c r="Y31" s="2"/>
      <c r="Z31" s="2"/>
    </row>
    <row r="32" spans="1:26" ht="14.25" customHeight="1" collapsed="1" x14ac:dyDescent="0.25">
      <c r="A32" s="9"/>
      <c r="B32" s="9"/>
      <c r="C32" s="9" t="e">
        <f>'Segment Analysis'!#REF!</f>
        <v>#REF!</v>
      </c>
      <c r="D32" s="9"/>
      <c r="E32" s="9"/>
      <c r="F32" s="9"/>
      <c r="G32" s="9"/>
      <c r="H32" s="807" t="e">
        <f t="array" ref="H32">INDEX(Data,MATCH($C32,Line_Items,0),MATCH($H$6,Fiscal_Periods,0))</f>
        <v>#REF!</v>
      </c>
      <c r="I32" s="807" t="e">
        <f t="array" ref="I32">INDEX(Data,MATCH($C32,Line_Items,0),MATCH($H$6,Fiscal_Periods,0))</f>
        <v>#REF!</v>
      </c>
      <c r="J32" s="808">
        <v>820</v>
      </c>
      <c r="K32" s="807" t="e">
        <f t="array" ref="K32">INDEX(Data,MATCH($C32,Line_Items,0),MATCH(LEFT(K$24,4),Fiscal_Periods,0))</f>
        <v>#REF!</v>
      </c>
      <c r="L32" s="807" t="e">
        <f t="array" ref="L32">INDEX(Data,MATCH($C32,Line_Items,0),MATCH(LEFT(L$24,4),Fiscal_Periods,0))</f>
        <v>#REF!</v>
      </c>
      <c r="M32" s="809" t="str">
        <f t="shared" ref="M32:N32" si="31">IFERROR($H32/I32-1,"N/A")</f>
        <v>N/A</v>
      </c>
      <c r="N32" s="527" t="str">
        <f t="shared" si="31"/>
        <v>N/A</v>
      </c>
      <c r="O32" s="527" t="str">
        <f t="shared" ref="O32:P32" si="32">IFERROR($I32/K32-1,"N/A")</f>
        <v>N/A</v>
      </c>
      <c r="P32" s="527" t="str">
        <f t="shared" si="32"/>
        <v>N/A</v>
      </c>
      <c r="Q32" s="9"/>
      <c r="R32" s="9"/>
      <c r="S32" s="2"/>
      <c r="T32" s="2"/>
      <c r="U32" s="2"/>
      <c r="V32" s="2"/>
      <c r="W32" s="2"/>
      <c r="X32" s="2"/>
      <c r="Y32" s="2"/>
      <c r="Z32" s="2"/>
    </row>
    <row r="33" spans="1:26" ht="14.25" customHeight="1" x14ac:dyDescent="0.25">
      <c r="A33" s="9"/>
      <c r="B33" s="9"/>
      <c r="C33" s="9" t="e">
        <f>'Segment Analysis'!#REF!</f>
        <v>#REF!</v>
      </c>
      <c r="D33" s="9"/>
      <c r="E33" s="9"/>
      <c r="F33" s="9"/>
      <c r="G33" s="9"/>
      <c r="H33" s="810" t="e">
        <f t="array" ref="H33">INDEX(Data,MATCH($C33,Line_Items,0),MATCH($H$6,Fiscal_Periods,0))</f>
        <v>#REF!</v>
      </c>
      <c r="I33" s="810" t="e">
        <f t="array" ref="I33">INDEX(Data,MATCH($C33,Line_Items,0),MATCH($H$6,Fiscal_Periods,0))</f>
        <v>#REF!</v>
      </c>
      <c r="J33" s="811">
        <v>1400</v>
      </c>
      <c r="K33" s="810" t="e">
        <f t="array" ref="K33">INDEX(Data,MATCH($C33,Line_Items,0),MATCH(LEFT(K$24,4),Fiscal_Periods,0))</f>
        <v>#REF!</v>
      </c>
      <c r="L33" s="810" t="e">
        <f t="array" ref="L33">INDEX(Data,MATCH($C33,Line_Items,0),MATCH(LEFT(L$24,4),Fiscal_Periods,0))</f>
        <v>#REF!</v>
      </c>
      <c r="M33" s="809" t="str">
        <f t="shared" ref="M33:N33" si="33">IFERROR($H33/I33-1,"N/A")</f>
        <v>N/A</v>
      </c>
      <c r="N33" s="527" t="str">
        <f t="shared" si="33"/>
        <v>N/A</v>
      </c>
      <c r="O33" s="527" t="str">
        <f t="shared" ref="O33:P33" si="34">IFERROR($I33/K33-1,"N/A")</f>
        <v>N/A</v>
      </c>
      <c r="P33" s="527" t="str">
        <f t="shared" si="34"/>
        <v>N/A</v>
      </c>
      <c r="Q33" s="9"/>
      <c r="R33" s="9"/>
      <c r="S33" s="2"/>
      <c r="T33" s="2"/>
      <c r="U33" s="2"/>
      <c r="V33" s="2"/>
      <c r="W33" s="2"/>
      <c r="X33" s="2"/>
      <c r="Y33" s="2"/>
      <c r="Z33" s="2"/>
    </row>
    <row r="34" spans="1:26" ht="14.25" customHeight="1" x14ac:dyDescent="0.25">
      <c r="A34" s="9"/>
      <c r="B34" s="9"/>
      <c r="C34" s="9" t="e">
        <f>'Segment Analysis'!#REF!</f>
        <v>#REF!</v>
      </c>
      <c r="D34" s="9"/>
      <c r="E34" s="9"/>
      <c r="F34" s="9"/>
      <c r="G34" s="9"/>
      <c r="H34" s="810" t="e">
        <f t="array" ref="H34">INDEX(Data,MATCH($C34,Line_Items,0),MATCH($H$6,Fiscal_Periods,0))</f>
        <v>#REF!</v>
      </c>
      <c r="I34" s="810" t="e">
        <f t="array" ref="I34">INDEX(Data,MATCH($C34,Line_Items,0),MATCH($H$6,Fiscal_Periods,0))</f>
        <v>#REF!</v>
      </c>
      <c r="J34" s="811">
        <v>10</v>
      </c>
      <c r="K34" s="810" t="e">
        <f t="array" ref="K34">INDEX(Data,MATCH($C34,Line_Items,0),MATCH(LEFT(K$24,4),Fiscal_Periods,0))</f>
        <v>#REF!</v>
      </c>
      <c r="L34" s="810" t="e">
        <f t="array" ref="L34">INDEX(Data,MATCH($C34,Line_Items,0),MATCH(LEFT(L$24,4),Fiscal_Periods,0))</f>
        <v>#REF!</v>
      </c>
      <c r="M34" s="809" t="str">
        <f t="shared" ref="M34:N34" si="35">IFERROR($H34/I34-1,"N/A")</f>
        <v>N/A</v>
      </c>
      <c r="N34" s="527" t="str">
        <f t="shared" si="35"/>
        <v>N/A</v>
      </c>
      <c r="O34" s="527" t="str">
        <f t="shared" ref="O34:P34" si="36">IFERROR($I34/K34-1,"N/A")</f>
        <v>N/A</v>
      </c>
      <c r="P34" s="527" t="str">
        <f t="shared" si="36"/>
        <v>N/A</v>
      </c>
      <c r="Q34" s="9"/>
      <c r="R34" s="9"/>
      <c r="S34" s="2"/>
      <c r="T34" s="2"/>
      <c r="U34" s="2"/>
      <c r="V34" s="2"/>
      <c r="W34" s="2"/>
      <c r="X34" s="2"/>
      <c r="Y34" s="2"/>
      <c r="Z34" s="2"/>
    </row>
    <row r="35" spans="1:26" ht="14.25" customHeight="1" x14ac:dyDescent="0.25">
      <c r="A35" s="9"/>
      <c r="B35" s="9"/>
      <c r="C35" s="9" t="e">
        <f>'Segment Analysis'!#REF!</f>
        <v>#REF!</v>
      </c>
      <c r="D35" s="9"/>
      <c r="E35" s="9"/>
      <c r="F35" s="9"/>
      <c r="G35" s="9"/>
      <c r="H35" s="810" t="e">
        <f t="array" ref="H35">INDEX(Data,MATCH($C35,Line_Items,0),MATCH($H$6,Fiscal_Periods,0))</f>
        <v>#REF!</v>
      </c>
      <c r="I35" s="810" t="e">
        <f t="array" ref="I35">INDEX(Data,MATCH($C35,Line_Items,0),MATCH($H$6,Fiscal_Periods,0))</f>
        <v>#REF!</v>
      </c>
      <c r="J35" s="811">
        <v>-23</v>
      </c>
      <c r="K35" s="810" t="e">
        <f t="array" ref="K35">INDEX(Data,MATCH($C35,Line_Items,0),MATCH(LEFT(K$24,4),Fiscal_Periods,0))</f>
        <v>#REF!</v>
      </c>
      <c r="L35" s="810" t="e">
        <f t="array" ref="L35">INDEX(Data,MATCH($C35,Line_Items,0),MATCH(LEFT(L$24,4),Fiscal_Periods,0))</f>
        <v>#REF!</v>
      </c>
      <c r="M35" s="809" t="str">
        <f t="shared" ref="M35:N35" si="37">IFERROR($H35/I35-1,"N/A")</f>
        <v>N/A</v>
      </c>
      <c r="N35" s="527" t="str">
        <f t="shared" si="37"/>
        <v>N/A</v>
      </c>
      <c r="O35" s="527" t="str">
        <f t="shared" ref="O35:P35" si="38">IFERROR($I35/K35-1,"N/A")</f>
        <v>N/A</v>
      </c>
      <c r="P35" s="527" t="str">
        <f t="shared" si="38"/>
        <v>N/A</v>
      </c>
      <c r="Q35" s="9"/>
      <c r="R35" s="9"/>
      <c r="S35" s="2"/>
      <c r="T35" s="2"/>
      <c r="U35" s="2"/>
      <c r="V35" s="2"/>
      <c r="W35" s="2"/>
      <c r="X35" s="2"/>
      <c r="Y35" s="2"/>
      <c r="Z35" s="2"/>
    </row>
    <row r="36" spans="1:26" ht="14.25" customHeight="1" x14ac:dyDescent="0.25">
      <c r="A36" s="9"/>
      <c r="B36" s="9"/>
      <c r="C36" s="9" t="e">
        <f>'Segment Analysis'!#REF!</f>
        <v>#REF!</v>
      </c>
      <c r="D36" s="9"/>
      <c r="E36" s="9"/>
      <c r="F36" s="9"/>
      <c r="G36" s="9"/>
      <c r="H36" s="810" t="e">
        <f t="array" ref="H36">INDEX(Data,MATCH($C36,Line_Items,0),MATCH($H$6,Fiscal_Periods,0))</f>
        <v>#REF!</v>
      </c>
      <c r="I36" s="810" t="e">
        <f t="array" ref="I36">INDEX(Data,MATCH($C36,Line_Items,0),MATCH($H$6,Fiscal_Periods,0))</f>
        <v>#REF!</v>
      </c>
      <c r="J36" s="811">
        <v>650</v>
      </c>
      <c r="K36" s="810" t="e">
        <f t="array" ref="K36">INDEX(Data,MATCH($C36,Line_Items,0),MATCH(LEFT(K$24,4),Fiscal_Periods,0))</f>
        <v>#REF!</v>
      </c>
      <c r="L36" s="810" t="e">
        <f t="array" ref="L36">INDEX(Data,MATCH($C36,Line_Items,0),MATCH(LEFT(L$24,4),Fiscal_Periods,0))</f>
        <v>#REF!</v>
      </c>
      <c r="M36" s="809" t="str">
        <f t="shared" ref="M36:N36" si="39">IFERROR($H36/I36-1,"N/A")</f>
        <v>N/A</v>
      </c>
      <c r="N36" s="527" t="str">
        <f t="shared" si="39"/>
        <v>N/A</v>
      </c>
      <c r="O36" s="527" t="str">
        <f t="shared" ref="O36:P36" si="40">IFERROR($I36/K36-1,"N/A")</f>
        <v>N/A</v>
      </c>
      <c r="P36" s="527" t="str">
        <f t="shared" si="40"/>
        <v>N/A</v>
      </c>
      <c r="Q36" s="9"/>
      <c r="R36" s="9"/>
      <c r="S36" s="2"/>
      <c r="T36" s="2"/>
      <c r="U36" s="2"/>
      <c r="V36" s="2"/>
      <c r="W36" s="2"/>
      <c r="X36" s="2"/>
      <c r="Y36" s="2"/>
      <c r="Z36" s="2"/>
    </row>
    <row r="37" spans="1:26" ht="14.25" customHeight="1" x14ac:dyDescent="0.25">
      <c r="A37" s="9"/>
      <c r="B37" s="9"/>
      <c r="C37" s="9" t="e">
        <f>'Segment Analysis'!#REF!</f>
        <v>#REF!</v>
      </c>
      <c r="D37" s="9"/>
      <c r="E37" s="9"/>
      <c r="F37" s="9"/>
      <c r="G37" s="9"/>
      <c r="H37" s="810" t="e">
        <f t="array" ref="H37">INDEX(Data,MATCH($C37,Line_Items,0),MATCH($H$6,Fiscal_Periods,0))</f>
        <v>#REF!</v>
      </c>
      <c r="I37" s="810" t="e">
        <f t="array" ref="I37">INDEX(Data,MATCH($C37,Line_Items,0),MATCH($H$6,Fiscal_Periods,0))</f>
        <v>#REF!</v>
      </c>
      <c r="J37" s="811">
        <v>300</v>
      </c>
      <c r="K37" s="810" t="e">
        <f t="array" ref="K37">INDEX(Data,MATCH($C37,Line_Items,0),MATCH(LEFT(K$24,4),Fiscal_Periods,0))</f>
        <v>#REF!</v>
      </c>
      <c r="L37" s="810" t="e">
        <f t="array" ref="L37">INDEX(Data,MATCH($C37,Line_Items,0),MATCH(LEFT(L$24,4),Fiscal_Periods,0))</f>
        <v>#REF!</v>
      </c>
      <c r="M37" s="809" t="str">
        <f t="shared" ref="M37:N37" si="41">IFERROR($H37/I37-1,"N/A")</f>
        <v>N/A</v>
      </c>
      <c r="N37" s="527" t="str">
        <f t="shared" si="41"/>
        <v>N/A</v>
      </c>
      <c r="O37" s="527" t="str">
        <f t="shared" ref="O37:P37" si="42">IFERROR($I37/K37-1,"N/A")</f>
        <v>N/A</v>
      </c>
      <c r="P37" s="527" t="str">
        <f t="shared" si="42"/>
        <v>N/A</v>
      </c>
      <c r="Q37" s="9"/>
      <c r="R37" s="9"/>
      <c r="S37" s="2"/>
      <c r="T37" s="2"/>
      <c r="U37" s="2"/>
      <c r="V37" s="2"/>
      <c r="W37" s="2"/>
      <c r="X37" s="2"/>
      <c r="Y37" s="2"/>
      <c r="Z37" s="2"/>
    </row>
    <row r="38" spans="1:26" ht="14.25" customHeight="1" x14ac:dyDescent="0.25">
      <c r="A38" s="9"/>
      <c r="B38" s="9"/>
      <c r="C38" s="9"/>
      <c r="D38" s="9"/>
      <c r="E38" s="9"/>
      <c r="F38" s="9"/>
      <c r="G38" s="9"/>
      <c r="H38" s="64"/>
      <c r="I38" s="64"/>
      <c r="J38" s="64"/>
      <c r="K38" s="64"/>
      <c r="L38" s="64"/>
      <c r="M38" s="64"/>
      <c r="N38" s="64"/>
      <c r="O38" s="64"/>
      <c r="P38" s="64"/>
      <c r="Q38" s="9"/>
      <c r="R38" s="9"/>
      <c r="S38" s="2"/>
      <c r="T38" s="2"/>
      <c r="U38" s="2"/>
      <c r="V38" s="2"/>
      <c r="W38" s="2"/>
      <c r="X38" s="2"/>
      <c r="Y38" s="2"/>
      <c r="Z38" s="2"/>
    </row>
    <row r="39" spans="1:26" ht="14.25" customHeight="1" x14ac:dyDescent="0.25">
      <c r="A39" s="9"/>
      <c r="B39" s="9"/>
      <c r="C39" s="9"/>
      <c r="D39" s="9"/>
      <c r="E39" s="9"/>
      <c r="F39" s="9"/>
      <c r="G39" s="9"/>
      <c r="H39" s="64"/>
      <c r="I39" s="64"/>
      <c r="J39" s="64"/>
      <c r="K39" s="64"/>
      <c r="L39" s="64"/>
      <c r="M39" s="64"/>
      <c r="N39" s="64"/>
      <c r="O39" s="64"/>
      <c r="P39" s="64"/>
      <c r="Q39" s="9"/>
      <c r="R39" s="9"/>
      <c r="S39" s="2"/>
      <c r="T39" s="2"/>
      <c r="U39" s="2"/>
      <c r="V39" s="2"/>
      <c r="W39" s="2"/>
      <c r="X39" s="2"/>
      <c r="Y39" s="2"/>
      <c r="Z39" s="2"/>
    </row>
    <row r="40" spans="1:26" ht="14.25" customHeight="1" x14ac:dyDescent="0.25">
      <c r="A40" s="9"/>
      <c r="B40" s="205" t="s">
        <v>0</v>
      </c>
      <c r="C40" s="76" t="str">
        <f>Ticker&amp;" "&amp;H4&amp;RIGHT(H5,2)&amp;" Cash Flow Results"</f>
        <v>AXP 4Q26 Cash Flow Results</v>
      </c>
      <c r="D40" s="76"/>
      <c r="E40" s="76"/>
      <c r="F40" s="76"/>
      <c r="G40" s="76"/>
      <c r="H40" s="78" t="str">
        <f t="shared" ref="H40:P40" si="43">H10</f>
        <v>4Q26a</v>
      </c>
      <c r="I40" s="78" t="str">
        <f t="shared" si="43"/>
        <v>OFe</v>
      </c>
      <c r="J40" s="78" t="str">
        <f t="shared" si="43"/>
        <v>Consensus</v>
      </c>
      <c r="K40" s="78" t="str">
        <f t="shared" si="43"/>
        <v>4Q25a</v>
      </c>
      <c r="L40" s="78" t="str">
        <f t="shared" si="43"/>
        <v>1Q26a</v>
      </c>
      <c r="M40" s="806" t="str">
        <f t="shared" si="43"/>
        <v>v. OFe</v>
      </c>
      <c r="N40" s="78" t="str">
        <f t="shared" si="43"/>
        <v>v. Consensus</v>
      </c>
      <c r="O40" s="78" t="str">
        <f t="shared" si="43"/>
        <v>v. 4Q25a</v>
      </c>
      <c r="P40" s="78" t="str">
        <f t="shared" si="43"/>
        <v>v. 1Q26a</v>
      </c>
      <c r="Q40" s="9"/>
      <c r="R40" s="9"/>
      <c r="S40" s="2"/>
      <c r="T40" s="2"/>
      <c r="U40" s="2"/>
      <c r="V40" s="2"/>
      <c r="W40" s="2"/>
      <c r="X40" s="2"/>
      <c r="Y40" s="2"/>
      <c r="Z40" s="2"/>
    </row>
    <row r="41" spans="1:26" ht="4.5" customHeight="1" x14ac:dyDescent="0.25">
      <c r="A41" s="9"/>
      <c r="B41" s="9"/>
      <c r="C41" s="9"/>
      <c r="D41" s="9"/>
      <c r="E41" s="9"/>
      <c r="F41" s="9"/>
      <c r="G41" s="9"/>
      <c r="H41" s="64"/>
      <c r="I41" s="64"/>
      <c r="J41" s="64"/>
      <c r="K41" s="64"/>
      <c r="L41" s="64"/>
      <c r="M41" s="64"/>
      <c r="N41" s="64"/>
      <c r="O41" s="64"/>
      <c r="P41" s="64"/>
      <c r="Q41" s="9"/>
      <c r="R41" s="9"/>
      <c r="S41" s="2"/>
      <c r="T41" s="2"/>
      <c r="U41" s="2"/>
      <c r="V41" s="2"/>
      <c r="W41" s="2"/>
      <c r="X41" s="2"/>
      <c r="Y41" s="2"/>
      <c r="Z41" s="2"/>
    </row>
    <row r="42" spans="1:26" ht="14.25" customHeight="1" x14ac:dyDescent="0.25">
      <c r="A42" s="9"/>
      <c r="B42" s="9"/>
      <c r="C42" s="9" t="str">
        <f>Model!C80</f>
        <v>Net Cash From Operating Activities</v>
      </c>
      <c r="D42" s="9"/>
      <c r="E42" s="9"/>
      <c r="F42" s="9"/>
      <c r="G42" s="9"/>
      <c r="H42" s="807">
        <f t="array" ref="H42">INDEX(Data,MATCH($C42,Line_Items,0),MATCH($H$6,Fiscal_Periods,0))</f>
        <v>6827.9139401537996</v>
      </c>
      <c r="I42" s="807">
        <f t="array" ref="I42">INDEX(Data,MATCH($C42,Line_Items,0),MATCH($H$6,Fiscal_Periods,0))</f>
        <v>6827.9139401537996</v>
      </c>
      <c r="J42" s="808">
        <v>50</v>
      </c>
      <c r="K42" s="807">
        <f t="array" ref="K42">INDEX(Data,MATCH($C42,Line_Items,0),MATCH(LEFT(K$40,4),Fiscal_Periods,0))</f>
        <v>0</v>
      </c>
      <c r="L42" s="807">
        <f t="array" ref="L42">INDEX(Data,MATCH($C42,Line_Items,0),MATCH(LEFT(L$40,4),Fiscal_Periods,0))</f>
        <v>0</v>
      </c>
      <c r="M42" s="809">
        <f t="shared" ref="M42:N42" si="44">IFERROR($H42/I42-1,"N/A")</f>
        <v>0</v>
      </c>
      <c r="N42" s="527">
        <f t="shared" si="44"/>
        <v>135.55827880307598</v>
      </c>
      <c r="O42" s="527" t="str">
        <f t="shared" ref="O42:P42" si="45">IFERROR($I42/K42-1,"N/A")</f>
        <v>N/A</v>
      </c>
      <c r="P42" s="527" t="str">
        <f t="shared" si="45"/>
        <v>N/A</v>
      </c>
      <c r="Q42" s="9"/>
      <c r="R42" s="9"/>
      <c r="S42" s="2"/>
      <c r="T42" s="2"/>
      <c r="U42" s="2"/>
      <c r="V42" s="2"/>
      <c r="W42" s="2"/>
      <c r="X42" s="2"/>
      <c r="Y42" s="2"/>
      <c r="Z42" s="2"/>
    </row>
    <row r="43" spans="1:26" ht="14.25" customHeight="1" x14ac:dyDescent="0.25">
      <c r="A43" s="9"/>
      <c r="B43" s="9"/>
      <c r="C43" s="9" t="str">
        <f>Model!C82</f>
        <v>Capital Expenditures</v>
      </c>
      <c r="D43" s="9"/>
      <c r="E43" s="9"/>
      <c r="F43" s="9"/>
      <c r="G43" s="9"/>
      <c r="H43" s="810">
        <f t="array" ref="H43">INDEX(Data,MATCH($C43,Line_Items,0),MATCH($H$6,Fiscal_Periods,0))</f>
        <v>-578.11000948000003</v>
      </c>
      <c r="I43" s="810">
        <f t="array" ref="I43">INDEX(Data,MATCH($C43,Line_Items,0),MATCH($H$6,Fiscal_Periods,0))</f>
        <v>-578.11000948000003</v>
      </c>
      <c r="J43" s="811">
        <v>-668</v>
      </c>
      <c r="K43" s="810">
        <f t="array" ref="K43">INDEX(Data,MATCH($C43,Line_Items,0),MATCH(LEFT(K$40,4),Fiscal_Periods,0))</f>
        <v>0</v>
      </c>
      <c r="L43" s="810">
        <f t="array" ref="L43">INDEX(Data,MATCH($C43,Line_Items,0),MATCH(LEFT(L$40,4),Fiscal_Periods,0))</f>
        <v>0</v>
      </c>
      <c r="M43" s="809">
        <f t="shared" ref="M43:N43" si="46">IFERROR($H43/I43-1,"N/A")</f>
        <v>0</v>
      </c>
      <c r="N43" s="527">
        <f t="shared" si="46"/>
        <v>-0.13456585407185628</v>
      </c>
      <c r="O43" s="527" t="str">
        <f t="shared" ref="O43:P43" si="47">IFERROR($I43/K43-1,"N/A")</f>
        <v>N/A</v>
      </c>
      <c r="P43" s="527" t="str">
        <f t="shared" si="47"/>
        <v>N/A</v>
      </c>
      <c r="Q43" s="9"/>
      <c r="R43" s="9"/>
      <c r="S43" s="2"/>
      <c r="T43" s="2"/>
      <c r="U43" s="2"/>
      <c r="V43" s="2"/>
      <c r="W43" s="2"/>
      <c r="X43" s="2"/>
      <c r="Y43" s="2"/>
      <c r="Z43" s="2"/>
    </row>
    <row r="44" spans="1:26" ht="14.25" customHeight="1" x14ac:dyDescent="0.25">
      <c r="A44" s="9"/>
      <c r="B44" s="9"/>
      <c r="C44" s="9" t="str">
        <f>Model!C112</f>
        <v>Free Cash Flow (FCF)</v>
      </c>
      <c r="D44" s="9"/>
      <c r="E44" s="9"/>
      <c r="F44" s="9"/>
      <c r="G44" s="9"/>
      <c r="H44" s="810">
        <f t="array" ref="H44">INDEX(Data,MATCH($C44,Line_Items,0),MATCH($H$6,Fiscal_Periods,0))</f>
        <v>1496.914608424277</v>
      </c>
      <c r="I44" s="810">
        <f t="array" ref="I44">INDEX(Data,MATCH($C44,Line_Items,0),MATCH($H$6,Fiscal_Periods,0))</f>
        <v>1496.914608424277</v>
      </c>
      <c r="J44" s="811">
        <v>1412.6</v>
      </c>
      <c r="K44" s="810">
        <f t="array" ref="K44">INDEX(Data,MATCH($C44,Line_Items,0),MATCH(LEFT(K$40,4),Fiscal_Periods,0))</f>
        <v>1148.25</v>
      </c>
      <c r="L44" s="810">
        <f t="array" ref="L44">INDEX(Data,MATCH($C44,Line_Items,0),MATCH(LEFT(L$40,4),Fiscal_Periods,0))</f>
        <v>64076</v>
      </c>
      <c r="M44" s="809">
        <f t="shared" ref="M44:N44" si="48">IFERROR($H44/I44-1,"N/A")</f>
        <v>0</v>
      </c>
      <c r="N44" s="527">
        <f t="shared" si="48"/>
        <v>5.9687532510460883E-2</v>
      </c>
      <c r="O44" s="527">
        <f t="shared" ref="O44:P44" si="49">IFERROR($I44/K44-1,"N/A")</f>
        <v>0.30364869011476348</v>
      </c>
      <c r="P44" s="527">
        <f t="shared" si="49"/>
        <v>-0.97663845108270997</v>
      </c>
      <c r="Q44" s="9"/>
      <c r="R44" s="9"/>
      <c r="S44" s="2"/>
      <c r="T44" s="2"/>
      <c r="U44" s="2"/>
      <c r="V44" s="2"/>
      <c r="W44" s="2"/>
      <c r="X44" s="2"/>
      <c r="Y44" s="2"/>
      <c r="Z44" s="2"/>
    </row>
    <row r="45" spans="1:26" ht="14.2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conditionalFormatting sqref="H12:H21">
    <cfRule type="expression" dxfId="15" priority="1">
      <formula>$H$8="Report"</formula>
    </cfRule>
  </conditionalFormatting>
  <conditionalFormatting sqref="H26:L37">
    <cfRule type="expression" dxfId="14" priority="2">
      <formula>$H$8="Report"</formula>
    </cfRule>
  </conditionalFormatting>
  <conditionalFormatting sqref="H42:L44">
    <cfRule type="expression" dxfId="13" priority="3">
      <formula>$H$8="Report"</formula>
    </cfRule>
  </conditionalFormatting>
  <conditionalFormatting sqref="I13 K13:L13 J16 J18">
    <cfRule type="expression" dxfId="12" priority="4">
      <formula>$H$8="Report"</formula>
    </cfRule>
  </conditionalFormatting>
  <conditionalFormatting sqref="I15:I19">
    <cfRule type="expression" dxfId="11" priority="5">
      <formula>$H$8="Report"</formula>
    </cfRule>
  </conditionalFormatting>
  <conditionalFormatting sqref="I12:L15">
    <cfRule type="expression" dxfId="10" priority="6">
      <formula>$H$8="Report"</formula>
    </cfRule>
  </conditionalFormatting>
  <conditionalFormatting sqref="I17:L17">
    <cfRule type="expression" dxfId="9" priority="7">
      <formula>$H$8="Report"</formula>
    </cfRule>
  </conditionalFormatting>
  <conditionalFormatting sqref="I19:L21">
    <cfRule type="expression" dxfId="8" priority="8">
      <formula>$H$8="Report"</formula>
    </cfRule>
  </conditionalFormatting>
  <conditionalFormatting sqref="K15:L19">
    <cfRule type="expression" dxfId="7" priority="9">
      <formula>$H$8="Report"</formula>
    </cfRule>
  </conditionalFormatting>
  <conditionalFormatting sqref="K43:L44">
    <cfRule type="expression" dxfId="6" priority="10">
      <formula>$H$8="Report"</formula>
    </cfRule>
  </conditionalFormatting>
  <conditionalFormatting sqref="M12:P21">
    <cfRule type="cellIs" dxfId="5" priority="11" operator="lessThan">
      <formula>0</formula>
    </cfRule>
    <cfRule type="cellIs" dxfId="4" priority="12" operator="greaterThan">
      <formula>0</formula>
    </cfRule>
  </conditionalFormatting>
  <conditionalFormatting sqref="M26:P37">
    <cfRule type="cellIs" dxfId="3" priority="13" operator="lessThan">
      <formula>0</formula>
    </cfRule>
    <cfRule type="cellIs" dxfId="2" priority="14" operator="greaterThan">
      <formula>0</formula>
    </cfRule>
  </conditionalFormatting>
  <conditionalFormatting sqref="M42:P44">
    <cfRule type="cellIs" dxfId="1" priority="15" operator="lessThan">
      <formula>0</formula>
    </cfRule>
    <cfRule type="cellIs" dxfId="0" priority="16" operator="greaterThan">
      <formula>0</formula>
    </cfRule>
  </conditionalFormatting>
  <dataValidations count="2">
    <dataValidation type="list" allowBlank="1" showErrorMessage="1" sqref="H8" xr:uid="{00000000-0002-0000-1200-000000000000}">
      <formula1>"Working,Report"</formula1>
    </dataValidation>
    <dataValidation type="list" allowBlank="1" showErrorMessage="1" sqref="H4" xr:uid="{00000000-0002-0000-1200-000001000000}">
      <formula1>"1Q,2Q,3Q,4Q"</formula1>
    </dataValidation>
  </dataValidations>
  <pageMargins left="0.7" right="0.7" top="0.75" bottom="0.75"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254</vt:i4>
      </vt:variant>
    </vt:vector>
  </HeadingPairs>
  <TitlesOfParts>
    <vt:vector size="272" baseType="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_bdm.001de5d049b6489bbc2025ad50c87030.edm</vt:lpstr>
      <vt:lpstr>Model!_bdm.146e958bbea04416b86a4d5943392c04.edm</vt:lpstr>
      <vt:lpstr>_bdm.1ff456f35144482ea0525e6d75d0206f.edm</vt:lpstr>
      <vt:lpstr>_bdm.a65ed6e2cd6142fea39714a1a8762f97.edm</vt:lpstr>
      <vt:lpstr>Integrity!_bdm.bf5a9ed53fe44c598e3cfb84ac34b21f.edm</vt:lpstr>
      <vt:lpstr>_bdm.dca432f6461240c98baf2847c1b05465.edm</vt:lpstr>
      <vt:lpstr>Cover!_Toc209821136</vt:lpstr>
      <vt:lpstr>'CIQ ID Locater'!Case_Scenario</vt:lpstr>
      <vt:lpstr>Case_Scenario</vt:lpstr>
      <vt:lpstr>Company_Cyclical_Multiples_Data</vt:lpstr>
      <vt:lpstr>'CIQ ID Locater'!Company_Name</vt:lpstr>
      <vt:lpstr>Company_Name</vt:lpstr>
      <vt:lpstr>Company_Rev_Methodology</vt:lpstr>
      <vt:lpstr>'CIQ ID Locater'!Cost_of_Debt</vt:lpstr>
      <vt:lpstr>Cost_of_Debt</vt:lpstr>
      <vt:lpstr>'CIQ ID Locater'!Cost_of_Equity</vt:lpstr>
      <vt:lpstr>Cost_of_Equity</vt:lpstr>
      <vt:lpstr>'CIQ ID Locater'!Cost_of_Preferred</vt:lpstr>
      <vt:lpstr>Cost_of_Preferred</vt:lpstr>
      <vt:lpstr>'CIQ ID Locater'!Current_Date</vt:lpstr>
      <vt:lpstr>Current_Date</vt:lpstr>
      <vt:lpstr>'CIQ ID Locater'!Cycle_Period_Toggle</vt:lpstr>
      <vt:lpstr>Cycle_Period_Toggle</vt:lpstr>
      <vt:lpstr>'CIQ ID Locater'!Cycle_Toggle</vt:lpstr>
      <vt:lpstr>Cycle_Toggle</vt:lpstr>
      <vt:lpstr>'CIQ ID Locater'!Cyclical_LTM_NTM_Toggle</vt:lpstr>
      <vt:lpstr>Cyclical_LTM_NTM_Toggle</vt:lpstr>
      <vt:lpstr>Cyclical_Peer_Group_Toggle</vt:lpstr>
      <vt:lpstr>'CIQ ID Locater'!Data</vt:lpstr>
      <vt:lpstr>Data</vt:lpstr>
      <vt:lpstr>'CIQ ID Locater'!Diluted_Shares</vt:lpstr>
      <vt:lpstr>Diluted_Shares</vt:lpstr>
      <vt:lpstr>'CIQ ID Locater'!Discount_Rate</vt:lpstr>
      <vt:lpstr>Discount_Rate</vt:lpstr>
      <vt:lpstr>Div_Yield</vt:lpstr>
      <vt:lpstr>'CIQ ID Locater'!ERP</vt:lpstr>
      <vt:lpstr>ERP</vt:lpstr>
      <vt:lpstr>'CIQ ID Locater'!Fiscal_Periods</vt:lpstr>
      <vt:lpstr>Fiscal_Periods</vt:lpstr>
      <vt:lpstr>Hun</vt:lpstr>
      <vt:lpstr>IQRCIQIDLocaterI13</vt:lpstr>
      <vt:lpstr>IQRCIQIDLocaterI14</vt:lpstr>
      <vt:lpstr>IQRCIQIDLocaterI15</vt:lpstr>
      <vt:lpstr>IQRCIQIDLocaterI16</vt:lpstr>
      <vt:lpstr>IQRCIQIDLocaterI17</vt:lpstr>
      <vt:lpstr>IQRCIQIDLocaterI18</vt:lpstr>
      <vt:lpstr>IQRCIQIDLocaterI19</vt:lpstr>
      <vt:lpstr>IQRCIQIDLocaterI20</vt:lpstr>
      <vt:lpstr>IQRCIQIDLocaterI21</vt:lpstr>
      <vt:lpstr>IQRCIQIDLocaterI22</vt:lpstr>
      <vt:lpstr>IQRCIQIDLocaterI23</vt:lpstr>
      <vt:lpstr>IQRCIQIDLocaterI24</vt:lpstr>
      <vt:lpstr>IQRCIQIDLocaterI25</vt:lpstr>
      <vt:lpstr>IQRCIQIDLocaterI26</vt:lpstr>
      <vt:lpstr>IQRCIQIDLocaterI27</vt:lpstr>
      <vt:lpstr>IQRCIQIDLocaterI28</vt:lpstr>
      <vt:lpstr>IQRCIQIDLocaterI29</vt:lpstr>
      <vt:lpstr>IQRCIQIDLocaterO13</vt:lpstr>
      <vt:lpstr>IQRCIQIDLocaterO14</vt:lpstr>
      <vt:lpstr>IQRCIQIDLocaterO15</vt:lpstr>
      <vt:lpstr>IQRCIQIDLocaterO16</vt:lpstr>
      <vt:lpstr>IQRCIQIDLocaterO17</vt:lpstr>
      <vt:lpstr>IQRCIQIDLocaterO18</vt:lpstr>
      <vt:lpstr>IQRCIQIDLocaterO19</vt:lpstr>
      <vt:lpstr>IQRCIQIDLocaterO20</vt:lpstr>
      <vt:lpstr>IQRCIQIDLocaterO21</vt:lpstr>
      <vt:lpstr>IQRCIQIDLocaterO22</vt:lpstr>
      <vt:lpstr>IQRCIQIDLocaterO23</vt:lpstr>
      <vt:lpstr>IQRCIQIDLocaterO24</vt:lpstr>
      <vt:lpstr>IQRCIQIDLocaterO25</vt:lpstr>
      <vt:lpstr>IQRCIQIDLocaterO26</vt:lpstr>
      <vt:lpstr>IQRCIQIDLocaterO27</vt:lpstr>
      <vt:lpstr>IQRCIQIDLocaterO28</vt:lpstr>
      <vt:lpstr>IQRCIQIDLocaterO29</vt:lpstr>
      <vt:lpstr>IQRCompaniesH13</vt:lpstr>
      <vt:lpstr>IQRCompaniesH14</vt:lpstr>
      <vt:lpstr>IQRCompaniesH15</vt:lpstr>
      <vt:lpstr>IQRCompaniesH17</vt:lpstr>
      <vt:lpstr>IQRCompaniesH18</vt:lpstr>
      <vt:lpstr>IQRCompaniesH19</vt:lpstr>
      <vt:lpstr>IQRCompaniesH20</vt:lpstr>
      <vt:lpstr>IQRCompaniesI13</vt:lpstr>
      <vt:lpstr>IQRCompaniesI14</vt:lpstr>
      <vt:lpstr>IQRCompaniesI15</vt:lpstr>
      <vt:lpstr>IQRCompaniesI16</vt:lpstr>
      <vt:lpstr>IQRCompaniesI17</vt:lpstr>
      <vt:lpstr>IQRCompaniesI18</vt:lpstr>
      <vt:lpstr>IQRCompaniesI19</vt:lpstr>
      <vt:lpstr>IQRCompaniesI20</vt:lpstr>
      <vt:lpstr>IQRCompaniesI21</vt:lpstr>
      <vt:lpstr>IQRCompaniesI22</vt:lpstr>
      <vt:lpstr>IQRCompaniesI23</vt:lpstr>
      <vt:lpstr>IQRCompaniesI24</vt:lpstr>
      <vt:lpstr>IQRCompaniesI25</vt:lpstr>
      <vt:lpstr>IQRCompaniesI26</vt:lpstr>
      <vt:lpstr>IQRCompaniesI27</vt:lpstr>
      <vt:lpstr>IQRCompaniesI28</vt:lpstr>
      <vt:lpstr>IQRCompaniesI29</vt:lpstr>
      <vt:lpstr>IQRCompaniesI30</vt:lpstr>
      <vt:lpstr>IQRCompaniesI31</vt:lpstr>
      <vt:lpstr>IQRCompaniesN13</vt:lpstr>
      <vt:lpstr>IQRCompaniesN14</vt:lpstr>
      <vt:lpstr>IQRCompaniesN15</vt:lpstr>
      <vt:lpstr>IQRCompaniesN17</vt:lpstr>
      <vt:lpstr>IQRCompaniesN18</vt:lpstr>
      <vt:lpstr>IQRCompaniesN19</vt:lpstr>
      <vt:lpstr>IQRCompaniesN20</vt:lpstr>
      <vt:lpstr>IQRCompaniesO13</vt:lpstr>
      <vt:lpstr>IQRCompaniesO14</vt:lpstr>
      <vt:lpstr>IQRCompaniesO15</vt:lpstr>
      <vt:lpstr>IQRCompaniesO16</vt:lpstr>
      <vt:lpstr>IQRCompaniesO17</vt:lpstr>
      <vt:lpstr>IQRCompaniesO18</vt:lpstr>
      <vt:lpstr>IQRCompaniesO19</vt:lpstr>
      <vt:lpstr>IQRCompaniesO20</vt:lpstr>
      <vt:lpstr>IQRCompaniesO21</vt:lpstr>
      <vt:lpstr>IQRCompaniesO22</vt:lpstr>
      <vt:lpstr>IQRCompaniesO23</vt:lpstr>
      <vt:lpstr>IQRCompaniesO24</vt:lpstr>
      <vt:lpstr>IQRCompaniesO25</vt:lpstr>
      <vt:lpstr>IQRCompaniesO26</vt:lpstr>
      <vt:lpstr>IQRCompaniesO27</vt:lpstr>
      <vt:lpstr>IQRCompaniesO28</vt:lpstr>
      <vt:lpstr>IQRCompaniesO29</vt:lpstr>
      <vt:lpstr>IQRCompaniesO30</vt:lpstr>
      <vt:lpstr>IQRCompaniesO31</vt:lpstr>
      <vt:lpstr>IQRCompayIDLocaterI13</vt:lpstr>
      <vt:lpstr>IQRCompayIDLocaterI14</vt:lpstr>
      <vt:lpstr>IQRCompayIDLocaterI15</vt:lpstr>
      <vt:lpstr>IQRCompayIDLocaterI16</vt:lpstr>
      <vt:lpstr>IQRCompayIDLocaterI17</vt:lpstr>
      <vt:lpstr>IQRCompayIDLocaterI18</vt:lpstr>
      <vt:lpstr>IQRCompayIDLocaterI19</vt:lpstr>
      <vt:lpstr>IQRCompayIDLocaterI20</vt:lpstr>
      <vt:lpstr>IQRCompayIDLocaterI21</vt:lpstr>
      <vt:lpstr>IQRCompayIDLocaterI22</vt:lpstr>
      <vt:lpstr>IQRCompayIDLocaterI23</vt:lpstr>
      <vt:lpstr>IQRCompayIDLocaterI24</vt:lpstr>
      <vt:lpstr>IQRCompayIDLocaterI25</vt:lpstr>
      <vt:lpstr>IQRCompayIDLocaterI26</vt:lpstr>
      <vt:lpstr>IQRCompayIDLocaterI27</vt:lpstr>
      <vt:lpstr>IQRCompayIDLocaterI28</vt:lpstr>
      <vt:lpstr>IQRCompayIDLocaterI29</vt:lpstr>
      <vt:lpstr>IQRCompayIDLocaterI30</vt:lpstr>
      <vt:lpstr>IQRCompayIDLocaterO13</vt:lpstr>
      <vt:lpstr>IQRCompayIDLocaterO14</vt:lpstr>
      <vt:lpstr>IQRCompayIDLocaterO15</vt:lpstr>
      <vt:lpstr>IQRCompayIDLocaterO16</vt:lpstr>
      <vt:lpstr>IQRCompayIDLocaterO17</vt:lpstr>
      <vt:lpstr>IQRCompayIDLocaterO18</vt:lpstr>
      <vt:lpstr>IQRCompayIDLocaterO19</vt:lpstr>
      <vt:lpstr>IQRCompayIDLocaterO20</vt:lpstr>
      <vt:lpstr>IQRCompayIDLocaterO21</vt:lpstr>
      <vt:lpstr>IQRCompayIDLocaterO22</vt:lpstr>
      <vt:lpstr>IQRCompayIDLocaterO23</vt:lpstr>
      <vt:lpstr>IQRCompayIDLocaterO24</vt:lpstr>
      <vt:lpstr>IQRCompayIDLocaterO25</vt:lpstr>
      <vt:lpstr>IQRCompayIDLocaterO26</vt:lpstr>
      <vt:lpstr>IQRCompayIDLocaterO27</vt:lpstr>
      <vt:lpstr>IQRCompayIDLocaterO28</vt:lpstr>
      <vt:lpstr>IQRCompayIDLocaterO29</vt:lpstr>
      <vt:lpstr>IQRCompayIDLocaterO30</vt:lpstr>
      <vt:lpstr>IQRSheet1H13</vt:lpstr>
      <vt:lpstr>IQRSheet1H14</vt:lpstr>
      <vt:lpstr>IQRSheet1H15</vt:lpstr>
      <vt:lpstr>IQRSheet1H17</vt:lpstr>
      <vt:lpstr>IQRSheet1H18</vt:lpstr>
      <vt:lpstr>IQRSheet1H19</vt:lpstr>
      <vt:lpstr>IQRSheet1H20</vt:lpstr>
      <vt:lpstr>IQRSheet1I13</vt:lpstr>
      <vt:lpstr>IQRSheet1I14</vt:lpstr>
      <vt:lpstr>IQRSheet1I15</vt:lpstr>
      <vt:lpstr>IQRSheet1I16</vt:lpstr>
      <vt:lpstr>IQRSheet1I17</vt:lpstr>
      <vt:lpstr>IQRSheet1I18</vt:lpstr>
      <vt:lpstr>IQRSheet1I19</vt:lpstr>
      <vt:lpstr>IQRSheet1I20</vt:lpstr>
      <vt:lpstr>IQRSheet1I21</vt:lpstr>
      <vt:lpstr>IQRSheet1I22</vt:lpstr>
      <vt:lpstr>IQRSheet1I23</vt:lpstr>
      <vt:lpstr>IQRSheet1I24</vt:lpstr>
      <vt:lpstr>IQRSheet1I25</vt:lpstr>
      <vt:lpstr>IQRSheet1I26</vt:lpstr>
      <vt:lpstr>IQRSheet1I27</vt:lpstr>
      <vt:lpstr>IQRSheet1I28</vt:lpstr>
      <vt:lpstr>IQRSheet1I29</vt:lpstr>
      <vt:lpstr>IQRSheet1I30</vt:lpstr>
      <vt:lpstr>IQRSheet1N13</vt:lpstr>
      <vt:lpstr>IQRSheet1N14</vt:lpstr>
      <vt:lpstr>IQRSheet1N15</vt:lpstr>
      <vt:lpstr>IQRSheet1N17</vt:lpstr>
      <vt:lpstr>IQRSheet1N18</vt:lpstr>
      <vt:lpstr>IQRSheet1N19</vt:lpstr>
      <vt:lpstr>IQRSheet1N20</vt:lpstr>
      <vt:lpstr>IQRSheet1O13</vt:lpstr>
      <vt:lpstr>IQRSheet1O14</vt:lpstr>
      <vt:lpstr>IQRSheet1O15</vt:lpstr>
      <vt:lpstr>IQRSheet1O16</vt:lpstr>
      <vt:lpstr>IQRSheet1O17</vt:lpstr>
      <vt:lpstr>IQRSheet1O18</vt:lpstr>
      <vt:lpstr>IQRSheet1O19</vt:lpstr>
      <vt:lpstr>IQRSheet1O20</vt:lpstr>
      <vt:lpstr>IQRSheet1O21</vt:lpstr>
      <vt:lpstr>IQRSheet1O22</vt:lpstr>
      <vt:lpstr>IQRSheet1O23</vt:lpstr>
      <vt:lpstr>IQRSheet1O24</vt:lpstr>
      <vt:lpstr>IQRSheet1O25</vt:lpstr>
      <vt:lpstr>IQRSheet1O26</vt:lpstr>
      <vt:lpstr>IQRSheet1O27</vt:lpstr>
      <vt:lpstr>IQRSheet1O28</vt:lpstr>
      <vt:lpstr>IQRSheet1O29</vt:lpstr>
      <vt:lpstr>IQRSheet1O30</vt:lpstr>
      <vt:lpstr>'CIQ ID Locater'!Last_FQR</vt:lpstr>
      <vt:lpstr>Last_FQR</vt:lpstr>
      <vt:lpstr>'CIQ ID Locater'!Last_FYE</vt:lpstr>
      <vt:lpstr>Last_FYE</vt:lpstr>
      <vt:lpstr>'CIQ ID Locater'!Line_Items</vt:lpstr>
      <vt:lpstr>Line_Items</vt:lpstr>
      <vt:lpstr>Mil</vt:lpstr>
      <vt:lpstr>'CIQ ID Locater'!Next_FYE</vt:lpstr>
      <vt:lpstr>Next_FYE</vt:lpstr>
      <vt:lpstr>NTM_Earnings</vt:lpstr>
      <vt:lpstr>'CIQ ID Locater'!NTM_EBITDA</vt:lpstr>
      <vt:lpstr>NTM_EBITDA</vt:lpstr>
      <vt:lpstr>'CIQ ID Locater'!NTM_EPS</vt:lpstr>
      <vt:lpstr>NTM_EPS</vt:lpstr>
      <vt:lpstr>PeerGroup2_Cyclical_Valuation_Data</vt:lpstr>
      <vt:lpstr>PeerGroup3_Cyclical_Valuation_Data</vt:lpstr>
      <vt:lpstr>Primary_Peer_Cyclical_Valuation_Data</vt:lpstr>
      <vt:lpstr>Revenue_Data_Summary</vt:lpstr>
      <vt:lpstr>'CIQ ID Locater'!Risk_Free_Rate</vt:lpstr>
      <vt:lpstr>Risk_Free_Rate</vt:lpstr>
      <vt:lpstr>Segment1_Rev_Methodology</vt:lpstr>
      <vt:lpstr>Segment2_Rev_Methodology</vt:lpstr>
      <vt:lpstr>Segment3_Rev_Methodology</vt:lpstr>
      <vt:lpstr>Segment4_Rev_Methodology</vt:lpstr>
      <vt:lpstr>Segment5_Rev_Methodology</vt:lpstr>
      <vt:lpstr>Segment6_Rev_Methodology</vt:lpstr>
      <vt:lpstr>'CIQ ID Locater'!Share_Price</vt:lpstr>
      <vt:lpstr>Share_Price</vt:lpstr>
      <vt:lpstr>'CIQ ID Locater'!Share_Price_High</vt:lpstr>
      <vt:lpstr>Share_Price_High</vt:lpstr>
      <vt:lpstr>'CIQ ID Locater'!Share_Price_Low</vt:lpstr>
      <vt:lpstr>Share_Price_Low</vt:lpstr>
      <vt:lpstr>'CIQ ID Locater'!Tax_Rate</vt:lpstr>
      <vt:lpstr>Tax_Rate</vt:lpstr>
      <vt:lpstr>Thou</vt:lpstr>
      <vt:lpstr>'CIQ ID Locater'!Ticker</vt:lpstr>
      <vt:lpstr>Ticker</vt:lpstr>
      <vt:lpstr>'CIQ ID Locater'!Weight_of_Debt</vt:lpstr>
      <vt:lpstr>Weight_of_Debt</vt:lpstr>
      <vt:lpstr>Weight_of_Equity</vt:lpstr>
      <vt:lpstr>'CIQ ID Locater'!Weight_of_Preferred</vt:lpstr>
      <vt:lpstr>Weight_of_Preferred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Alexander Shukakidze</cp:lastModifiedBy>
  <cp:lastPrinted>2026-04-04T00:05:39Z</cp:lastPrinted>
  <dcterms:created xsi:type="dcterms:W3CDTF">2019-08-15T14:34:41Z</dcterms:created>
  <dcterms:modified xsi:type="dcterms:W3CDTF">2026-05-05T16:35:27Z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0x0101003EDF1C1147E6F44F8CD35B7038471988</vt:lpwstr>
  </property>
  <property fmtid="{D5CDD505-2E9C-101B-9397-08002B2CF9AE}" pid="3" name="{A44787D4-0540-4523-9961-78E4036D8C6D}">
    <vt:lpwstr>{66E0ABD5-ED30-427C-B968-ACA35A3AD3F7}</vt:lpwstr>
  </property>
</Properties>
</file>